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 defaultThemeVersion="124226"/>
  <bookViews>
    <workbookView xWindow="64966" yWindow="65356" windowWidth="28830" windowHeight="6525" tabRatio="979" activeTab="0"/>
  </bookViews>
  <sheets>
    <sheet name="Income Statement Cash Flows" sheetId="12" r:id="rId1"/>
    <sheet name="Current Revenue Test" sheetId="22" r:id="rId2"/>
    <sheet name="Current Evans Table" sheetId="25" r:id="rId3"/>
    <sheet name="Revised Revenue Test" sheetId="23" r:id="rId4"/>
    <sheet name="Revised Evans Table" sheetId="26" r:id="rId5"/>
    <sheet name="Rev Test Summary (Table1)" sheetId="42" r:id="rId6"/>
    <sheet name="Inputs for Evans Tables" sheetId="27" r:id="rId7"/>
    <sheet name="Statement D Table 1" sheetId="41" r:id="rId8"/>
    <sheet name="Statement E" sheetId="40" r:id="rId9"/>
    <sheet name="cost table" sheetId="1" r:id="rId10"/>
    <sheet name="Modeling results" sheetId="24" r:id="rId11"/>
    <sheet name="RCD reduction" sheetId="43" r:id="rId12"/>
    <sheet name="Calculating RCD reduction" sheetId="44" r:id="rId13"/>
    <sheet name="IPR Data" sheetId="36" r:id="rId14"/>
    <sheet name="interest credit calculations" sheetId="7" r:id="rId15"/>
    <sheet name="Billing Credits" sheetId="38" r:id="rId16"/>
    <sheet name="Federal Capital Costs" sheetId="28" r:id="rId17"/>
    <sheet name="Fed Projections" sheetId="35" r:id="rId18"/>
    <sheet name="Non-Federal DS" sheetId="9" r:id="rId19"/>
    <sheet name="R&amp;D split" sheetId="4" r:id="rId20"/>
    <sheet name="REP staff costs" sheetId="3" r:id="rId21"/>
    <sheet name="EE staffing split" sheetId="5" r:id="rId22"/>
    <sheet name="COSA" sheetId="14" r:id="rId23"/>
    <sheet name="equivalent annual costs" sheetId="13" r:id="rId24"/>
  </sheets>
  <externalReferences>
    <externalReference r:id="rId27"/>
    <externalReference r:id="rId28"/>
    <externalReference r:id="rId29"/>
  </externalReferences>
  <definedNames>
    <definedName name="_Key1" hidden="1">#REF!</definedName>
    <definedName name="_Sort" hidden="1">#REF!</definedName>
    <definedName name="APA">#REF!</definedName>
    <definedName name="ASD">#REF!</definedName>
    <definedName name="Augmentation">'[1]LU_R'!$E$20:$E$21</definedName>
    <definedName name="BaseCodes">#REF!</definedName>
    <definedName name="basemonth">'[1]Init'!$C$11</definedName>
    <definedName name="baseyear">#REF!</definedName>
    <definedName name="BPAPrograms_Cost">'[1]LU_C'!$H$29:$H$34</definedName>
    <definedName name="BPAPrograms7b2_Cost">'[1]LU_C'!$H$29:$H$34</definedName>
    <definedName name="BU">#REF!</definedName>
    <definedName name="CHWM">'[1]Init'!$C$8</definedName>
    <definedName name="ConsAmortYears">#REF!</definedName>
    <definedName name="Conservation_Cost">'[1]LU_C'!$H$24:$H$27</definedName>
    <definedName name="ConsExpRate">#REF!</definedName>
    <definedName name="ConsResourcesRow">#REF!</definedName>
    <definedName name="ConsYearsRow">#REF!</definedName>
    <definedName name="Contracts">'[1]LU_R'!$E$14:$E$18</definedName>
    <definedName name="Cosa_Cost">'[1]LU_C'!$N$5:$N$46</definedName>
    <definedName name="COSAcat">'[1]LU_C'!$E$5:$E$16</definedName>
    <definedName name="Diurnal_Year">'[1]Init'!$E$5</definedName>
    <definedName name="entry">'[3]Data'!$A$3:$M$20089,#REF!,#REF!,#REF!,#REF!,#REF!</definedName>
    <definedName name="EntryFields">'[3]Data'!$A$3:$M$20089,#REF!,#REF!,#REF!,#REF!,#REF!</definedName>
    <definedName name="exchangeloads">#REF!</definedName>
    <definedName name="exchyr1">#REF!</definedName>
    <definedName name="exchyr10">#REF!</definedName>
    <definedName name="exchyr2">#REF!</definedName>
    <definedName name="exchyr3">#REF!</definedName>
    <definedName name="exchyr4">#REF!</definedName>
    <definedName name="exchyr5">#REF!</definedName>
    <definedName name="exchyr6">#REF!</definedName>
    <definedName name="exchyr7">#REF!</definedName>
    <definedName name="exchyr8">#REF!</definedName>
    <definedName name="exchyr9">#REF!</definedName>
    <definedName name="Exclude">'[1]LU_R'!$B$11</definedName>
    <definedName name="ExpenseCodes">#REF!</definedName>
    <definedName name="FBS_Cost">'[1]LU_C'!$H$5:$H$13</definedName>
    <definedName name="FBS7b2_Cost">'[1]LU_C'!$H$5:$H$13</definedName>
    <definedName name="FBSObligation">'[1]LU_L'!$H$38:$H$49</definedName>
    <definedName name="FirmPowerandServices">'[1]LU_L'!$E$5:$E$8</definedName>
    <definedName name="form">#REF!</definedName>
    <definedName name="FW_Cost">'[1]LU_C'!$K$10:$K$13</definedName>
    <definedName name="FY">#REF!</definedName>
    <definedName name="FYLapsed">#REF!</definedName>
    <definedName name="GDPDeflators">#REF!</definedName>
    <definedName name="Header">#REF!</definedName>
    <definedName name="Hydro">'[1]LU_R'!$E$5:$E$7</definedName>
    <definedName name="Hydro_Cost">'[1]LU_C'!$K$5:$K$8</definedName>
    <definedName name="HydroOther">'[1]LU_R'!$H$16:$H$25</definedName>
    <definedName name="Imports">'[1]LU_R'!$H$27:$H$36</definedName>
    <definedName name="Independent">'[1]LU_R'!$H$5:$H$14</definedName>
    <definedName name="Industrial">'[1]LU_L'!$E$10:$E$11</definedName>
    <definedName name="inlieu">'[2]INPUTS'!$C$7</definedName>
    <definedName name="Interest_Cost">'[1]LU_C'!$H$40</definedName>
    <definedName name="IntraregionalTransfer">'[1]LU_L'!$H$5:$H$14</definedName>
    <definedName name="IntreregionalTransfer">'[1]LU_L'!$H$5:$H$14</definedName>
    <definedName name="IPPFMargin">#REF!</definedName>
    <definedName name="Loadcat">'[1]LU_L'!$B$5:$B$10</definedName>
    <definedName name="LoadDataSource">#REF!</definedName>
    <definedName name="loadmonthlystart">'[1]Init'!$C$22</definedName>
    <definedName name="loadstart">'[1]Init'!$C$20</definedName>
    <definedName name="loadstudy">'[1]Init'!$C$16</definedName>
    <definedName name="LocationalExchange">'[1]LU_L'!$H$27:$H$36</definedName>
    <definedName name="market">'[2]INPUTS'!$B$54:$C$63</definedName>
    <definedName name="MRNR_Cost">'[1]LU_C'!$H$42</definedName>
    <definedName name="NewResources_Cost">'[1]LU_C'!$H$19:$H$22</definedName>
    <definedName name="NLSLService">'[1]Class_NLSL'!$G$5:$G$7</definedName>
    <definedName name="NonHydro">'[1]LU_R'!$E$9:$E$12</definedName>
    <definedName name="NvsASD">"V2002-09-30"</definedName>
    <definedName name="NvsAutoDrillOk">"VY"</definedName>
    <definedName name="NvsElapsedTime">0.000717592592991423</definedName>
    <definedName name="NvsEndTime">37592.3305208333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"V2002-10-01"</definedName>
    <definedName name="NvsValTbl.ACCOUNT">"GL_ACCOUNT_TBL"</definedName>
    <definedName name="NvsValTbl.BUSINESS_UNIT">"BUS_UNIT_TBL_GL"</definedName>
    <definedName name="ObligationCredit_Cost">'[1]LU_C'!$K$20:$K$22</definedName>
    <definedName name="PED">#REF!</definedName>
    <definedName name="Preference">'[1]LU_L'!$E$13:$E$18</definedName>
    <definedName name="_xlnm.Print_Area" localSheetId="9">'cost table'!$A$1:$F$130</definedName>
    <definedName name="_xlnm.Print_Area" localSheetId="18">'Non-Federal DS'!$A$1:$O$1</definedName>
    <definedName name="_xlnm.Print_Area" localSheetId="7">'Statement D Table 1'!$C$1:$U$74</definedName>
    <definedName name="PurchaseCosts_Cost">'[1]LU_C'!$K$29:$K$30</definedName>
    <definedName name="RateDesignCosts_Cost">'[1]LU_C'!$K$32:$K$33</definedName>
    <definedName name="RDCreditorCost_Cost">'[1]LU_C'!$H$44:$H$64</definedName>
    <definedName name="Remarketing_Cost">'[1]LU_C'!$K$35:$K$36</definedName>
    <definedName name="Renewable">'[1]LU_R'!$H$104:$H$115</definedName>
    <definedName name="REP_Cost">'[1]LU_C'!$H$15:$H$17</definedName>
    <definedName name="Resourcecat">'[1]LU_R'!$B$5:$B$11</definedName>
    <definedName name="RHWMlock">'[1]Init'!$C$14</definedName>
    <definedName name="RID">#REF!</definedName>
    <definedName name="RSCNonslice_Cost">#REF!</definedName>
    <definedName name="RSSandRSCCharges_Cost">'[1]LU_C'!$K$24:$K$27</definedName>
    <definedName name="RSSComposite_Cost">#REF!</definedName>
    <definedName name="RSSNonslice_Cost">#REF!</definedName>
    <definedName name="SeasonalorCapacityExchange">'[1]LU_L'!$H$16:$H$25</definedName>
    <definedName name="startmonth">'[1]Init'!$C$12</definedName>
    <definedName name="StartOfYear">#REF!</definedName>
    <definedName name="temp">'[1]Init'!$E$5</definedName>
    <definedName name="Thermal">'[1]LU_R'!$H$82:$H$91</definedName>
    <definedName name="Tier1Resources">'[1]LU_R'!$H$117:$H$128</definedName>
    <definedName name="Tier2">'[1]LU_R'!$H$60:$H$69</definedName>
    <definedName name="Tier2_Cost">'[1]LU_C'!$K$15:$K$18</definedName>
    <definedName name="Totcat_Cost">'[1]LU_C'!$B$13</definedName>
    <definedName name="transmission">'[2]INPUTS'!$C$6</definedName>
    <definedName name="Transmission_Cost">'[1]LU_C'!$H$36:$H$38</definedName>
    <definedName name="TRMcat">'[1]LU_C'!$B$5:$B$13</definedName>
    <definedName name="TxLossPct">#REF!</definedName>
    <definedName name="Water">'[1]LU_R'!$H$71:$H$80</definedName>
    <definedName name="Wind">'[1]LU_R'!$H$93:$H$102</definedName>
    <definedName name="wrn.7b2." hidden="1">{"pfexch7b2",#N/A,FALSE,"7(b)(2)";"PFPREF7b2",#N/A,FALSE,"7(b)(2)"}</definedName>
    <definedName name="wrn.COSTS." hidden="1">{"costs97",#N/A,FALSE,"COSA";"costs98",#N/A,FALSE,"COSA";"costs99",#N/A,FALSE,"COSA";"costs00",#N/A,FALSE,"COSA";"costs01",#N/A,FALSE,"COSA";"costsTP",#N/A,FALSE,"COSA"}</definedName>
    <definedName name="wrn.rates." hidden="1">{"dsino7b2",#N/A,FALSE,"RATES";"nrno7b2",#N/A,FALSE,"RATES";"pfno7b2",#N/A,FALSE,"RATES"}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years">'[2]INPUTS'!$B$54:$B$63</definedName>
  </definedNames>
  <calcPr calcId="145621"/>
</workbook>
</file>

<file path=xl/sharedStrings.xml><?xml version="1.0" encoding="utf-8"?>
<sst xmlns="http://schemas.openxmlformats.org/spreadsheetml/2006/main" count="1790" uniqueCount="738">
  <si>
    <t>Power System Generation Resources</t>
  </si>
  <si>
    <t>Operating Generation</t>
  </si>
  <si>
    <t>Columbia Generating Station (WNP-2)</t>
  </si>
  <si>
    <t>Bureau of Reclamation</t>
  </si>
  <si>
    <t>Corps of Engineers</t>
  </si>
  <si>
    <t>Billing Credits Generation</t>
  </si>
  <si>
    <t>Cowlitz Falls O&amp;M</t>
  </si>
  <si>
    <t>Idaho Falls Bulb Turbine</t>
  </si>
  <si>
    <t>Clearwater Hatchery Generation</t>
  </si>
  <si>
    <t>Operating Generation Settlement Payment</t>
  </si>
  <si>
    <t>Non-Operating Generation</t>
  </si>
  <si>
    <t>Trojan Decomissioning</t>
  </si>
  <si>
    <t>WNP-1&amp;3 Decomissioning</t>
  </si>
  <si>
    <t>Contracted and Augmentation Power Purchases</t>
  </si>
  <si>
    <t>Hedging/Mitigation</t>
  </si>
  <si>
    <t>Bookout Adj to Contracted Power Purchases</t>
  </si>
  <si>
    <t>Exchanges and Settlements</t>
  </si>
  <si>
    <t>Residential Exchange Program Support</t>
  </si>
  <si>
    <t>Renewable and Conservation Generation</t>
  </si>
  <si>
    <t>Generation Conservation R&amp;D</t>
  </si>
  <si>
    <t>Conservation Acquisition</t>
  </si>
  <si>
    <t>Legacy Conservation</t>
  </si>
  <si>
    <t>Market Transformation</t>
  </si>
  <si>
    <t>Transmission Acquisition and Ancillary Services</t>
  </si>
  <si>
    <t>Third Party GTA Wheeling</t>
  </si>
  <si>
    <t>Power Non-Generation Operations</t>
  </si>
  <si>
    <t>PS System Operation</t>
  </si>
  <si>
    <t>Efficiencies Program</t>
  </si>
  <si>
    <t>Information Technology</t>
  </si>
  <si>
    <t>Slice Implementation</t>
  </si>
  <si>
    <t>PS Scheduling</t>
  </si>
  <si>
    <t>Operations Scheduling</t>
  </si>
  <si>
    <t>Operations Planning</t>
  </si>
  <si>
    <t>PS Marketing and Business Support</t>
  </si>
  <si>
    <t>Strategy, Finance &amp; Risk Mgmt</t>
  </si>
  <si>
    <t>Conservation Support</t>
  </si>
  <si>
    <t>Fish and Wildlife/USF&amp;W/Planning Council/Env Req.</t>
  </si>
  <si>
    <t>USF&amp;W Lower Snake Hatcheries</t>
  </si>
  <si>
    <t>Planning Council</t>
  </si>
  <si>
    <t>Environmental Requirements</t>
  </si>
  <si>
    <t>BPA Internal Support</t>
  </si>
  <si>
    <t>Additional Post-Retirement Contribution</t>
  </si>
  <si>
    <t>Bad Debt Expense/Other</t>
  </si>
  <si>
    <t>Bad Debt Expense (composite)</t>
  </si>
  <si>
    <t>Bad Debt Expense (non-slice)</t>
  </si>
  <si>
    <t>Non-Federal Debt Service</t>
  </si>
  <si>
    <t>Energy Northwest Debt Service</t>
  </si>
  <si>
    <t>WNP-1 Debt Service</t>
  </si>
  <si>
    <t>WNP-3 Debt Service</t>
  </si>
  <si>
    <t>Non-Energy Northwest Debt Service</t>
  </si>
  <si>
    <t>Northern Wasco Debt Service</t>
  </si>
  <si>
    <t>Depreciation and Amortization</t>
  </si>
  <si>
    <t>Depreciation</t>
  </si>
  <si>
    <t xml:space="preserve">Depreciation - BPA </t>
  </si>
  <si>
    <t>Depreciation - Corps</t>
  </si>
  <si>
    <t>Depreciation - Bureau</t>
  </si>
  <si>
    <t>Amortization</t>
  </si>
  <si>
    <t>Amortization - Legacy Conservation</t>
  </si>
  <si>
    <t>Amortization - Conservation Acquisitions</t>
  </si>
  <si>
    <t>Interest Expense</t>
  </si>
  <si>
    <t>Net Interest</t>
  </si>
  <si>
    <t>Interest On Appropriated Funds</t>
  </si>
  <si>
    <t>Capitalization Adjustment</t>
  </si>
  <si>
    <t>Interest On Treasury Bonds</t>
  </si>
  <si>
    <t>Interest Earned on BPA Fund for Power (composite)</t>
  </si>
  <si>
    <t>Interest Earned on BPA Fund for Power (non-slice)</t>
  </si>
  <si>
    <t>Net Interest into Cost Pools</t>
  </si>
  <si>
    <t>Net Interest into Cost Pools 7b2</t>
  </si>
  <si>
    <t>Net Revenue</t>
  </si>
  <si>
    <t>Minimum Required Net Revenue</t>
  </si>
  <si>
    <t>Payment of Irrigation Assistance</t>
  </si>
  <si>
    <t>Minimum Net Revenue into Cost Pools</t>
  </si>
  <si>
    <t>Minimum Net Revenue into Cost Pools 7b2</t>
  </si>
  <si>
    <t>Planned Net Revenues for Risk into Cost Pools</t>
  </si>
  <si>
    <t>Planned Net Revenues for Risk into Cost Pools 7b2</t>
  </si>
  <si>
    <t>Revenue Requirement Input Sheet</t>
  </si>
  <si>
    <t>RAM Input</t>
  </si>
  <si>
    <t>Category</t>
  </si>
  <si>
    <t>SubCategory</t>
  </si>
  <si>
    <t>SubSubCategory</t>
  </si>
  <si>
    <t>Year</t>
  </si>
  <si>
    <t>New Resources Integration Wheeling</t>
  </si>
  <si>
    <t>Operating Generation Settlement Payment (Colville)</t>
  </si>
  <si>
    <t>PNCA Headwater Benefits</t>
  </si>
  <si>
    <t>Tier 1 Augmentation Resources (Klondike III)</t>
  </si>
  <si>
    <t>Other Committed Purchase (excl. Hedging)</t>
  </si>
  <si>
    <t>Residential Exchange (IOU)</t>
  </si>
  <si>
    <t>Residential Exchange (COU)</t>
  </si>
  <si>
    <t>Residential Exchange (Refund)</t>
  </si>
  <si>
    <t>Renewables R&amp;D</t>
  </si>
  <si>
    <t>Renewable Generation</t>
  </si>
  <si>
    <t>Low Income Energy Efficiency</t>
  </si>
  <si>
    <t>Reimbursable Energy Efficiency Development</t>
  </si>
  <si>
    <t>Trans &amp; Ancillary Svcs</t>
  </si>
  <si>
    <t>Trans &amp; Ancillary Svcs (sys oblig)</t>
  </si>
  <si>
    <t xml:space="preserve">Power 3rd Party Trans &amp; Ancillary Svcs </t>
  </si>
  <si>
    <t>Trans Acq Generation Integration</t>
  </si>
  <si>
    <t xml:space="preserve">Power Telemetering/Equipment Replacement </t>
  </si>
  <si>
    <t xml:space="preserve">Generation Project Coordination  </t>
  </si>
  <si>
    <t xml:space="preserve">Slice costs Charged to Slice Customers </t>
  </si>
  <si>
    <t xml:space="preserve">Sales and Support </t>
  </si>
  <si>
    <t>Executive and Administrative Svcs</t>
  </si>
  <si>
    <t xml:space="preserve">Fish and Wildlife </t>
  </si>
  <si>
    <t>Agency Svs for Power for Rev Req schedule</t>
  </si>
  <si>
    <t>Agency Svs for Energy Efficiency for Rev Req schedule</t>
  </si>
  <si>
    <t>CGS Debt Service</t>
  </si>
  <si>
    <t>EN Retired Debt</t>
  </si>
  <si>
    <t>Cowlitz Falls (Lewis County) Debt Service</t>
  </si>
  <si>
    <t>Amortization - CRFM</t>
  </si>
  <si>
    <t xml:space="preserve">Capitalized Bond Premium  </t>
  </si>
  <si>
    <t>Power Net Interest - Hydro Allocation</t>
  </si>
  <si>
    <t>Power Net Interest - Fish &amp; Wildlife Allocation</t>
  </si>
  <si>
    <t>Power Net Interest - Conservation Allocation</t>
  </si>
  <si>
    <t>Power Net Interest - BPA Programs Allocation</t>
  </si>
  <si>
    <t>Power Net Interest Hydro 7b2 Allocation</t>
  </si>
  <si>
    <t>Power Net Interest Fish &amp; Wildlife 7b2 Allocation</t>
  </si>
  <si>
    <t>Power Net Interest BPA Programs 7b2 Allocation</t>
  </si>
  <si>
    <t>Repayment of Treasury Borrowings</t>
  </si>
  <si>
    <t>Depreciation (MRNR - Reverse sign)</t>
  </si>
  <si>
    <t>Amortization (MRNR - Reverse sign)</t>
  </si>
  <si>
    <t>Capitalization Adjustment (MRNR - Reverse Sign)</t>
  </si>
  <si>
    <t>Capitalized Bond Premium (Reverse Sign)</t>
  </si>
  <si>
    <t>Repayment of Federal Appropriations</t>
  </si>
  <si>
    <t>Accrual Revenues (MRNR Adjustment - Reverse Sign)</t>
  </si>
  <si>
    <t>Revenue Financing Requirement</t>
  </si>
  <si>
    <t>Depreciation Exceeds Cash Expense</t>
  </si>
  <si>
    <t>Power MNetRev - Hydro 7b2 Allocation</t>
  </si>
  <si>
    <t>Power MNetRev - Fish &amp; Wildlife 7b2 Allocation</t>
  </si>
  <si>
    <t>Power MNetRev - PBA Programs 7b2 Allocation</t>
  </si>
  <si>
    <t>AFUDC</t>
  </si>
  <si>
    <t>Power MNetRev - Hydro Allocation</t>
  </si>
  <si>
    <t>Power MNetRev - Fish &amp; Wildlife Allocation</t>
  </si>
  <si>
    <t>Power MNetRev - Conservation Allocation</t>
  </si>
  <si>
    <t>Power MNetRev - BPA Programs Allocation</t>
  </si>
  <si>
    <t>Power PNetRev - Hydro Allocation</t>
  </si>
  <si>
    <t>Power PNetRev - Fish &amp; Wildlife Allocation</t>
  </si>
  <si>
    <t>Power PNetRev - Conservation Allocation</t>
  </si>
  <si>
    <t>Power PNetRev - BPA Programs Allocation</t>
  </si>
  <si>
    <t>Power PNetRev - Hydro 7b2 Allocation</t>
  </si>
  <si>
    <t>Power PNetRev - Fish &amp; Wildlife 7b2 Allocation</t>
  </si>
  <si>
    <t>Power PNetRev - BPA Programs 7b2 Allocation</t>
  </si>
  <si>
    <t>Residential Exchange Interest Accrual</t>
  </si>
  <si>
    <t>PNCA HEADWATER BENEFITS</t>
  </si>
  <si>
    <t>AUGMENTATION POWER PURCHASES</t>
  </si>
  <si>
    <t>RENEWABLES</t>
  </si>
  <si>
    <t>CONSERVATION ACQUISITION</t>
  </si>
  <si>
    <t>LEGACY</t>
  </si>
  <si>
    <t>MARKET TRANSFORMATION</t>
  </si>
  <si>
    <t>INFORMATION TECHNOLOGY</t>
  </si>
  <si>
    <t>SLICE IMPLEMENTATION</t>
  </si>
  <si>
    <t>OPERATIONS PLANNING</t>
  </si>
  <si>
    <t>POWER R&amp;D</t>
  </si>
  <si>
    <t>SALES &amp; SUPPORT</t>
  </si>
  <si>
    <t>CONSERVATION SUPPORT</t>
  </si>
  <si>
    <t>3RD PARTY GTA WHEELING</t>
  </si>
  <si>
    <t>Interest Income</t>
  </si>
  <si>
    <t xml:space="preserve">R&amp;D </t>
  </si>
  <si>
    <t>Net Amt</t>
  </si>
  <si>
    <t>PSI</t>
  </si>
  <si>
    <t>NON-GENERATION OPERATIONS</t>
  </si>
  <si>
    <t>EXECUTIVE &amp; ADMINISTRATIVE SVC</t>
  </si>
  <si>
    <t>STRATEGY, FINANCE &amp; RISK MGMT</t>
  </si>
  <si>
    <t>RES EXCH &amp; IOU SETTLEMENTS</t>
  </si>
  <si>
    <t>Total</t>
  </si>
  <si>
    <t>IDAHO FALLS BULB TURBINE</t>
  </si>
  <si>
    <t>COWLITZ FALLS O&amp;M</t>
  </si>
  <si>
    <t>BILLING CREDITS GENERATION</t>
  </si>
  <si>
    <t>WAUNA</t>
  </si>
  <si>
    <t>NEW RESOURCS INTEGRTN WHEELING</t>
  </si>
  <si>
    <t>CLEARWATER HATCHERY GENERATION</t>
  </si>
  <si>
    <t>Allocation of Interest Earned on the Bonneville Fund</t>
  </si>
  <si>
    <t>($ in thousands)</t>
  </si>
  <si>
    <t>A</t>
  </si>
  <si>
    <t>B</t>
  </si>
  <si>
    <t>C</t>
  </si>
  <si>
    <t>D</t>
  </si>
  <si>
    <t>E</t>
  </si>
  <si>
    <t>F</t>
  </si>
  <si>
    <t>Reserves Prior to FY 2002</t>
  </si>
  <si>
    <t xml:space="preserve">Adjustments for pre-2002 Sales/Purchases </t>
  </si>
  <si>
    <t>Other Adjustments</t>
  </si>
  <si>
    <t>Total Reserves for Composite Cost Pool
(Line 1 + Line 2 + Line 3)</t>
  </si>
  <si>
    <t>Interest rate</t>
  </si>
  <si>
    <t>Composite Pool interest credit
(Line 4 X Line 5)</t>
  </si>
  <si>
    <t>Total interest credit from Rev Req</t>
  </si>
  <si>
    <t>Non-Slice Pool interest credit
(Line 7 - Line 6)</t>
  </si>
  <si>
    <t>OPERATING EXPENSES</t>
  </si>
  <si>
    <t>POWER SYSTEM GENERATION RESOURCES</t>
  </si>
  <si>
    <t>OPERATING GENERATION RESOURCES</t>
  </si>
  <si>
    <t>OPERATING GENERATION SETTLEMENT PAYMENTS</t>
  </si>
  <si>
    <t>NON-OPERATING GENERATION</t>
  </si>
  <si>
    <t>CONTRACTED POWER PURCHASES</t>
  </si>
  <si>
    <t>EXCHANGES &amp; SETTLEMENTS</t>
  </si>
  <si>
    <t>RENEWABLE GENERATION</t>
  </si>
  <si>
    <t>GENERATION CONSERVATION</t>
  </si>
  <si>
    <t>POWER NON-GENERATION OPERATIONS</t>
  </si>
  <si>
    <t>PS TRANSMISSION ACQUISITION AND ANCILLARY SERVICES</t>
  </si>
  <si>
    <t>GENERAL AND ADMINISTRATIVE/SHARED SERVICES</t>
  </si>
  <si>
    <t>OTHER INCOME, EXPENSES AND ADJUSTMENTS</t>
  </si>
  <si>
    <t>Irrigation Assistance</t>
  </si>
  <si>
    <t>Depreciation/Amortization</t>
  </si>
  <si>
    <t>INTEREST EXPENSE:</t>
  </si>
  <si>
    <t>INTEREST</t>
  </si>
  <si>
    <t>APPROPRIATED FUNDS</t>
  </si>
  <si>
    <t>CAPITALIZATION ADJUSTMENT</t>
  </si>
  <si>
    <t>BONDS ISSUED TO U.S. TREASURY</t>
  </si>
  <si>
    <t>AMORTIZATION OF CAPITALIZED BOND PREMIUMS</t>
  </si>
  <si>
    <t>ALLOWANCE FOR FUNDS USED DURING CONSTRUCTION</t>
  </si>
  <si>
    <t xml:space="preserve">INTEREST CREDIT ON CASH RESERVES </t>
  </si>
  <si>
    <t>NET INTEREST EXPENSE</t>
  </si>
  <si>
    <t>TOTAL EXPENSES</t>
  </si>
  <si>
    <t>MINIMUM REQUIRED NET REVENUE 1/</t>
  </si>
  <si>
    <t>PLANNED NET REVENUE FOR RISK</t>
  </si>
  <si>
    <t>NON-FEDERAL DEBT SERVICE</t>
  </si>
  <si>
    <t>DEPRECIATION</t>
  </si>
  <si>
    <t>AMORTIZATION</t>
  </si>
  <si>
    <t>TOTAL OPERATING EXPENSES</t>
  </si>
  <si>
    <t>Federal Bonds</t>
  </si>
  <si>
    <t>Federal Appropriations</t>
  </si>
  <si>
    <t>Uses of Cash</t>
  </si>
  <si>
    <t>Cash from Operations</t>
  </si>
  <si>
    <t>Accrual Revenues</t>
  </si>
  <si>
    <t>Cash flow generated</t>
  </si>
  <si>
    <t>Total Cash from Operations</t>
  </si>
  <si>
    <t>Total Uses of Cash</t>
  </si>
  <si>
    <t>repayment study interest credit</t>
  </si>
  <si>
    <t>Fiscal Year</t>
  </si>
  <si>
    <t>WNP-1</t>
  </si>
  <si>
    <t>CGS</t>
  </si>
  <si>
    <t>Wasco</t>
  </si>
  <si>
    <t>Cowlitz</t>
  </si>
  <si>
    <t>WNP-3</t>
  </si>
  <si>
    <t>Non Federal Interest (prepay)</t>
  </si>
  <si>
    <t>Prepay  Credits (MRNR Adjustment - Reverse Sign)</t>
  </si>
  <si>
    <t>Non Federal Interest (prepay))MRNR-reverse sign)</t>
  </si>
  <si>
    <t>SOY Cash Balance</t>
  </si>
  <si>
    <t>EOY Cash Balance 1/</t>
  </si>
  <si>
    <t>Average Cash Balance</t>
  </si>
  <si>
    <t>prepay credit</t>
  </si>
  <si>
    <t>nonfederal interest</t>
  </si>
  <si>
    <t>LONG-TERM CONTRACT GEN PROJ Total</t>
  </si>
  <si>
    <t>TROJAN O&amp;M</t>
  </si>
  <si>
    <t>WNP-1,3&amp;4 O&amp;M</t>
  </si>
  <si>
    <t>NON-OPERATING GENERATION Total</t>
  </si>
  <si>
    <t>OTHER POWER PURCH(SHORT TERM)</t>
  </si>
  <si>
    <t>TIER 2 PWR PURCHASES-FY12RATES</t>
  </si>
  <si>
    <t>CONTRACT &amp; AUGMENT POWER PURCH Total</t>
  </si>
  <si>
    <t>ENERGY EFFICIENCY DEVELOPMENT</t>
  </si>
  <si>
    <t>LOW INCOME WEATHRZTN &amp; TRIBAL</t>
  </si>
  <si>
    <t>GENERATION CONSERVATION Total</t>
  </si>
  <si>
    <t>GENERATION INTEGRATION</t>
  </si>
  <si>
    <t>PBL- TRANS &amp; ANCILLARY SVCS</t>
  </si>
  <si>
    <t>3RD PARTY TRANS &amp; ANCILLRY SVC</t>
  </si>
  <si>
    <t>PBL TRANSMISSION ACQUISITION Total</t>
  </si>
  <si>
    <t>GENERATION PROJ COORDINATION</t>
  </si>
  <si>
    <t>OPERATIONS (SCHEDULING)</t>
  </si>
  <si>
    <t>NON-GENERATION OPERATIONS Total</t>
  </si>
  <si>
    <t>LOWER SNAKE HATCHERIES</t>
  </si>
  <si>
    <t>PLANNING COUNCIL</t>
  </si>
  <si>
    <t>FISH &amp; WILDLIFE</t>
  </si>
  <si>
    <t>FISH&amp;WILDLIFE&amp;PLANNING COUNCIL Total</t>
  </si>
  <si>
    <t>Interest</t>
  </si>
  <si>
    <t>GENERATION REVENUE REQUIREMENT</t>
  </si>
  <si>
    <t>INCOME STATEMENT</t>
  </si>
  <si>
    <t>TOTAL REVENUE REQUIREMENT</t>
  </si>
  <si>
    <t>1/</t>
  </si>
  <si>
    <t>STATEMENT OF CASH FLOWS</t>
  </si>
  <si>
    <t>CASH FROM OPERATING ACTIVITIES</t>
  </si>
  <si>
    <t>NON-CASH ITEMS:</t>
  </si>
  <si>
    <t>DEPRECIATION AND AMORTIZATION</t>
  </si>
  <si>
    <t>CASH PROVIDED BY OPERATING ACTIVITIES</t>
  </si>
  <si>
    <t>INVESTMENT IN:</t>
  </si>
  <si>
    <t>UTILITY PLANT (INCLUDING AFUDC)</t>
  </si>
  <si>
    <t>ENERGY EFFICIENCY</t>
  </si>
  <si>
    <t>CASH FROM BORROWING AND APPROPRIATIONS:</t>
  </si>
  <si>
    <t>INCREASE IN BONDS ISSUED TO U.S. TREASURY</t>
  </si>
  <si>
    <t>REPAYMENT OF BONDS ISSUED TO U.S. TREASURY</t>
  </si>
  <si>
    <t>INCREASE IN FEDERAL CONSTRUCTION APPROPRIATIONS</t>
  </si>
  <si>
    <t>REPAYMENT OF FEDERAL CONSTRUCTION APPROPRIATIONS</t>
  </si>
  <si>
    <t>PAYMENT OF IRRIGATION ASSISTANCE</t>
  </si>
  <si>
    <t>CASH PROVIDED BY BORROWING AND APPROPRIATIONS</t>
  </si>
  <si>
    <t>ANNUAL INCREASE (DECREASE) IN CASH</t>
  </si>
  <si>
    <t>TOTAL ANNUAL INCREASE (DECREASE) IN CASH</t>
  </si>
  <si>
    <t>($000s)</t>
  </si>
  <si>
    <t>NON-FEDERAL INTEREST</t>
  </si>
  <si>
    <t>EQUIVALENT ANNUAL COSTS</t>
  </si>
  <si>
    <t>G</t>
  </si>
  <si>
    <t>H</t>
  </si>
  <si>
    <t>I</t>
  </si>
  <si>
    <t>J</t>
  </si>
  <si>
    <t>K</t>
  </si>
  <si>
    <t>COMP</t>
  </si>
  <si>
    <t>WT AV</t>
  </si>
  <si>
    <t>AVG</t>
  </si>
  <si>
    <t>PLANT</t>
  </si>
  <si>
    <t>INT</t>
  </si>
  <si>
    <t>EQ ANN</t>
  </si>
  <si>
    <t>LIFE</t>
  </si>
  <si>
    <t>RATE</t>
  </si>
  <si>
    <t>COSTS</t>
  </si>
  <si>
    <t>Corps of Engineers/Bureau of Reclamation</t>
  </si>
  <si>
    <t>BPA F&amp;W</t>
  </si>
  <si>
    <t>PBL General Plant</t>
  </si>
  <si>
    <t>Energy Efficiency</t>
  </si>
  <si>
    <t>PBL</t>
  </si>
  <si>
    <t xml:space="preserve">  OFFICE FURNITURE &amp; FIXTURES</t>
  </si>
  <si>
    <t xml:space="preserve">  DATA PROCESSING EQUIPMENT</t>
  </si>
  <si>
    <t xml:space="preserve">  DATA PROCESSING SOFTWARE</t>
  </si>
  <si>
    <t>TOTAL GENERAL PLANT - PBL</t>
  </si>
  <si>
    <t>CONSERVATION</t>
  </si>
  <si>
    <t xml:space="preserve">   LEGACY</t>
  </si>
  <si>
    <t xml:space="preserve">   CONAUG</t>
  </si>
  <si>
    <t xml:space="preserve">   CONSERVATION ACQUISITION</t>
  </si>
  <si>
    <t>TOTAL CONSERVATION</t>
  </si>
  <si>
    <t>Generation Revenue Requirements by Resource Pool</t>
  </si>
  <si>
    <t>PROGRAM CASE</t>
  </si>
  <si>
    <t>FY:</t>
  </si>
  <si>
    <t>INVEST</t>
  </si>
  <si>
    <t>NET</t>
  </si>
  <si>
    <t>OPER</t>
  </si>
  <si>
    <t>TOTAL</t>
  </si>
  <si>
    <t>BASE</t>
  </si>
  <si>
    <t>REVS</t>
  </si>
  <si>
    <t>EXP</t>
  </si>
  <si>
    <t>(B+C+D)</t>
  </si>
  <si>
    <t xml:space="preserve"> 1. GENERATION COSTS</t>
  </si>
  <si>
    <t xml:space="preserve"> 2.  FEDERAL BASE SYSTEM</t>
  </si>
  <si>
    <t>Hydro</t>
  </si>
  <si>
    <t>All Other</t>
  </si>
  <si>
    <t>Generation</t>
  </si>
  <si>
    <t xml:space="preserve"> 3.    HYDRO</t>
  </si>
  <si>
    <t>Equivalent Annual Costs</t>
  </si>
  <si>
    <t xml:space="preserve"> 4.    FISH AND WILDLIFE</t>
  </si>
  <si>
    <t>Percent</t>
  </si>
  <si>
    <t xml:space="preserve"> 5.    TROJAN</t>
  </si>
  <si>
    <t xml:space="preserve"> 6.    WNP #1</t>
  </si>
  <si>
    <t>Net Interest Expense</t>
  </si>
  <si>
    <t xml:space="preserve"> 7.    CGS</t>
  </si>
  <si>
    <t xml:space="preserve"> 8.    WNP #3</t>
  </si>
  <si>
    <t>Planned Net Revenues</t>
  </si>
  <si>
    <t xml:space="preserve"> 9.    SYSTEM AUGMENTATION</t>
  </si>
  <si>
    <t>10.   BALANCING POWER PURCHASES</t>
  </si>
  <si>
    <t>11. TOTAL FEDERAL BASE SYSTEM</t>
  </si>
  <si>
    <t>12.  NEW RESOURCES</t>
  </si>
  <si>
    <t>13.    IDAHO FALLS</t>
  </si>
  <si>
    <t>14.    COWLITZ FALLS</t>
  </si>
  <si>
    <t>15.    OTHER LONG-TERM POWER PURCHASES</t>
  </si>
  <si>
    <t>16.  TOTAL NEW RESOURCES</t>
  </si>
  <si>
    <t xml:space="preserve">17.  RESIDENTIAL EXCHANGE </t>
  </si>
  <si>
    <t>18.  CONSERVATION</t>
  </si>
  <si>
    <t>19.  OTHER GENERATION COSTS</t>
  </si>
  <si>
    <t>20.    BPA PROGRAMS</t>
  </si>
  <si>
    <t>21.    WNP #3 PLANT</t>
  </si>
  <si>
    <t>22.  TOTAL OTHER GENERATION COSTS</t>
  </si>
  <si>
    <t>23. TOTAL GENERATION COSTS</t>
  </si>
  <si>
    <t>24. TRANSMISSION COSTS</t>
  </si>
  <si>
    <t>25.    TBL TRANSMISSION/ANCILLARY SERVICES</t>
  </si>
  <si>
    <t>26.    3RD PARTY TRANS/ANCILLARY SERVICES</t>
  </si>
  <si>
    <t>27.    GENERAL TRANSFER AGREEMENTS</t>
  </si>
  <si>
    <t>28. TOTAL TRANSMISSION COSTS</t>
  </si>
  <si>
    <t>29. TOTAL PBL REVENUE REQUIREMENT</t>
  </si>
  <si>
    <t>Average</t>
  </si>
  <si>
    <t>GENERATION</t>
  </si>
  <si>
    <t>Minimum Required Net Revenues</t>
  </si>
  <si>
    <t>Total Revenue Requirement</t>
  </si>
  <si>
    <t>2/</t>
  </si>
  <si>
    <t>($thousands)</t>
  </si>
  <si>
    <t>MRNR</t>
  </si>
  <si>
    <t>Fish &amp; Wildlife</t>
  </si>
  <si>
    <t>CRFM</t>
  </si>
  <si>
    <t>GENERATION REVISED REVENUE TEST</t>
  </si>
  <si>
    <t>REVENUES FROM PROPOSED RATES</t>
  </si>
  <si>
    <t>OPERATING GENERATION</t>
  </si>
  <si>
    <t>OPERATING GENERATION SETTLEMENTS</t>
  </si>
  <si>
    <t>F&amp;W/USF&amp;W/PLANNING COUNCIL</t>
  </si>
  <si>
    <t>BPA INTERNAL SUPPORT</t>
  </si>
  <si>
    <t>INTEREST EXPENSE</t>
  </si>
  <si>
    <t>NET REVENUES</t>
  </si>
  <si>
    <t>NET REVENUES for Interest Income Calculation</t>
  </si>
  <si>
    <t>NON-CASH REVENUES</t>
  </si>
  <si>
    <t>CASH FLOW ADJUSTMENT (RESERVE)/APPLICATION</t>
  </si>
  <si>
    <t>CASH USED FOR INVESTMENT ACTIVITIES</t>
  </si>
  <si>
    <t>FEDERAL UTILITY PLANT (INCLUDING AFUDC)</t>
  </si>
  <si>
    <t>CASH FROM (AND USED FOR) FINANCING ACTIVITIES</t>
  </si>
  <si>
    <t>INCREASE IN TREASURY DEBT</t>
  </si>
  <si>
    <t>CUSTOMER PROCEEDS</t>
  </si>
  <si>
    <t>REPAYMENT OF TREASURY DEBT</t>
  </si>
  <si>
    <t>CASH USED FOR FINANCING ACTIVITIES</t>
  </si>
  <si>
    <t>Change in Cash for Interest Income Calculation</t>
  </si>
  <si>
    <t>GENERATION CURRENT REVENUE TEST</t>
  </si>
  <si>
    <t>REVENUES FROM CURRENT RATES</t>
  </si>
  <si>
    <t>Renewables Portion</t>
  </si>
  <si>
    <t>Conservation Portion</t>
  </si>
  <si>
    <t>Calculation of Total Interest Earned on the Bonneville Fund</t>
  </si>
  <si>
    <t>Interest Income from Projected Cash Balances</t>
  </si>
  <si>
    <t>Generation Revised Revenue Test</t>
  </si>
  <si>
    <t>Repayment</t>
  </si>
  <si>
    <t>Period</t>
  </si>
  <si>
    <t>Annual Cash Surplus/(Deficit)</t>
  </si>
  <si>
    <t>SOY Cash Balance 1/</t>
  </si>
  <si>
    <t>EOY Cash Balance</t>
  </si>
  <si>
    <t>Interest Income Rate</t>
  </si>
  <si>
    <t>Interest on BPA Fund/Investments</t>
  </si>
  <si>
    <t>Repayment Study Interest Income</t>
  </si>
  <si>
    <t>Annual Interest Income</t>
  </si>
  <si>
    <t>credit for end of prior year</t>
  </si>
  <si>
    <t>in-year cash flow (rep study)</t>
  </si>
  <si>
    <t>total credit for first interation</t>
  </si>
  <si>
    <t>Prepayment Program Proceeds</t>
  </si>
  <si>
    <t>Generation Current Revenue Test</t>
  </si>
  <si>
    <t>Transmission Acquisition</t>
  </si>
  <si>
    <t>Secondary Market Power Purchases</t>
  </si>
  <si>
    <t>Augmentation Purchases</t>
  </si>
  <si>
    <t>Revenues at Proposed Rates</t>
  </si>
  <si>
    <t>Revenues at Current Rates</t>
  </si>
  <si>
    <t>Bonds</t>
  </si>
  <si>
    <t>Appropriations</t>
  </si>
  <si>
    <t>Prepay</t>
  </si>
  <si>
    <t>EE 3rd Party</t>
  </si>
  <si>
    <t>Principal</t>
  </si>
  <si>
    <t>Interest Credit</t>
  </si>
  <si>
    <t>Capitalized Bond Premiums</t>
  </si>
  <si>
    <t>Capitalized Bond Discounts</t>
  </si>
  <si>
    <t>Prepay Credit</t>
  </si>
  <si>
    <t>Total Power IPR Operating Expenses; FY 2015 through FY 2017- Excluding Non-Federal Debt Service and Depreciation</t>
  </si>
  <si>
    <t>Program/Project</t>
  </si>
  <si>
    <t>COLUMBIA GEN STATION L2</t>
  </si>
  <si>
    <t>BUREAU OF RECLAMATION L2</t>
  </si>
  <si>
    <t>CORPS OF ENGINEERS L2</t>
  </si>
  <si>
    <t>OPERATING GEN SETTLEMENT</t>
  </si>
  <si>
    <t>DR &amp; SMART GRID</t>
  </si>
  <si>
    <t>POST-RETIREMENT BENEFITS</t>
  </si>
  <si>
    <t>AGENCY SERVICES G&amp;A</t>
  </si>
  <si>
    <t>Energy Efficiency Percentage of Total Power Staffing</t>
  </si>
  <si>
    <t>IPR1521</t>
  </si>
  <si>
    <t>PERSONNEL COMP &amp; BENEFITS</t>
  </si>
  <si>
    <t>2P</t>
  </si>
  <si>
    <t>2PB</t>
  </si>
  <si>
    <t>2PE</t>
  </si>
  <si>
    <t>2PG</t>
  </si>
  <si>
    <t>2PS</t>
  </si>
  <si>
    <t>2PT</t>
  </si>
  <si>
    <t>Percentage of Total Power Staffing</t>
  </si>
  <si>
    <t>Summary of PSI Department Expense</t>
  </si>
  <si>
    <t>Direct Funding</t>
  </si>
  <si>
    <t>BPA Programs</t>
  </si>
  <si>
    <t>total</t>
  </si>
  <si>
    <t>Total Interest Credit (ln 8 + 10 + 17)</t>
  </si>
  <si>
    <t>TVA Rev Offset</t>
  </si>
  <si>
    <t>CGS Total</t>
  </si>
  <si>
    <t>CGS Expenses</t>
  </si>
  <si>
    <t>CGS Adjustments</t>
  </si>
  <si>
    <t>DR &amp; Smart Grid</t>
  </si>
  <si>
    <t>PGE WNP3 Settlement</t>
  </si>
  <si>
    <t>Prepay Offset Credit</t>
  </si>
  <si>
    <t>Amort Expense (Principal)</t>
  </si>
  <si>
    <t>Total Credit</t>
  </si>
  <si>
    <t>CASH FROM INVESTMENT ACTIVITIES</t>
  </si>
  <si>
    <t>2044 STUDY YEAR</t>
  </si>
  <si>
    <t>Debt Service Revenue Requirement</t>
  </si>
  <si>
    <t>Non-Federal Principal Payments</t>
  </si>
  <si>
    <t>Non-Federal Premium / Discounts (Net)</t>
  </si>
  <si>
    <t>Non-Federal  Principal Offsets</t>
  </si>
  <si>
    <t>Non-Federal Interest Payments</t>
  </si>
  <si>
    <t>Federal Principal Payments</t>
  </si>
  <si>
    <t>Federal Premium / Discounts (Net)</t>
  </si>
  <si>
    <t>Federal Interest Payments</t>
  </si>
  <si>
    <t>Irrigation Payments</t>
  </si>
  <si>
    <t>Revenue Surplus / (Shortfall)</t>
  </si>
  <si>
    <t>Total:</t>
  </si>
  <si>
    <t>Repayment Study</t>
  </si>
  <si>
    <t>Total NonFederal DS</t>
  </si>
  <si>
    <t>Fed Interest</t>
  </si>
  <si>
    <t>TABLE 3-10</t>
  </si>
  <si>
    <t>FEDERAL COLUMBIA RIVER POWER SYSTEM</t>
  </si>
  <si>
    <t>GENERATION REVENUES FROM PROPOSED RATES</t>
  </si>
  <si>
    <t>REVENUE REQUIREMENT AND REPAYMENT STUDY RESULTS THROUGH THE REPAYMENT PERIOD</t>
  </si>
  <si>
    <t>($000)</t>
  </si>
  <si>
    <t>PURCHASE</t>
  </si>
  <si>
    <t>AND</t>
  </si>
  <si>
    <t>FUNDS</t>
  </si>
  <si>
    <t>YEAR</t>
  </si>
  <si>
    <t>OPERATION &amp;</t>
  </si>
  <si>
    <t>EXCHANGE</t>
  </si>
  <si>
    <t>NONCASH</t>
  </si>
  <si>
    <t>FROM</t>
  </si>
  <si>
    <t>IRRIGATION</t>
  </si>
  <si>
    <t>COMBINED</t>
  </si>
  <si>
    <t>REVENUES</t>
  </si>
  <si>
    <t>MAINTENANCE</t>
  </si>
  <si>
    <t>POWER</t>
  </si>
  <si>
    <t>EXPENSES 1/</t>
  </si>
  <si>
    <t>OPERATION 2/</t>
  </si>
  <si>
    <t>(REV REQ STUDY</t>
  </si>
  <si>
    <t>POSITION</t>
  </si>
  <si>
    <t>CUMULATIVE</t>
  </si>
  <si>
    <t>(STATEMENT A)</t>
  </si>
  <si>
    <t>(STATEMENT E)</t>
  </si>
  <si>
    <t>(STATEMENT D)</t>
  </si>
  <si>
    <t>(F=A-B-C-D-E)</t>
  </si>
  <si>
    <t>(COLUMN D)</t>
  </si>
  <si>
    <t>(H=F+G)</t>
  </si>
  <si>
    <t>DOCUMENTATION)</t>
  </si>
  <si>
    <t>(STATEMENT C)</t>
  </si>
  <si>
    <t>(K=H-I-J)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</si>
  <si>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</si>
  <si>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</si>
  <si>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</si>
  <si>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</si>
  <si>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</si>
  <si>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</si>
  <si>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</si>
  <si>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</si>
  <si>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</si>
  <si>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</si>
  <si>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</si>
  <si>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</si>
  <si>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</si>
  <si>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</si>
  <si>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</si>
  <si>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</si>
  <si>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</si>
  <si>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COST EVALUATION</t>
  </si>
  <si>
    <t>PERIOD</t>
  </si>
  <si>
    <t>RATE APPROVAL</t>
  </si>
  <si>
    <t>REPAYMENT</t>
  </si>
  <si>
    <t>TOTALS</t>
  </si>
  <si>
    <t>Rep Pd INT CREDIT w/out rep study amount:</t>
  </si>
  <si>
    <t>Includes normalization for CGS refueling, which affects Augmentation</t>
  </si>
  <si>
    <t xml:space="preserve">(takes total P&amp;E $, subtracts non-Fed debt service from last year of the </t>
  </si>
  <si>
    <t>Captialization Adj and</t>
  </si>
  <si>
    <t>rate period and adjusts for the difference between last year CGS</t>
  </si>
  <si>
    <t>Non-Federal Interest</t>
  </si>
  <si>
    <t>O&amp;M/Augmentation and the normalized version of CGS/Aug.)</t>
  </si>
  <si>
    <t>Non Fed (Prepay)</t>
  </si>
  <si>
    <t>Ave</t>
  </si>
  <si>
    <t>Normalization</t>
  </si>
  <si>
    <t>TABLE E-1</t>
  </si>
  <si>
    <t>ACTUAL O&amp;M AND PURCHASE AND EXCHANGE POWER</t>
  </si>
  <si>
    <t>Residential Exchange Program/IOU Settlement Benefits</t>
  </si>
  <si>
    <t>Purchase Power</t>
  </si>
  <si>
    <t>Trojan</t>
  </si>
  <si>
    <t>Columbia Generating Station</t>
  </si>
  <si>
    <t>EN LIBOR Interest Rate Swap</t>
  </si>
  <si>
    <t>Short-Term Power Purchases</t>
  </si>
  <si>
    <t>Purchases for Service at Tier 2 Rates</t>
  </si>
  <si>
    <t>Augmentation Power Purchases</t>
  </si>
  <si>
    <t>Long-Term Power Purchases</t>
  </si>
  <si>
    <t>DSI Monetized Power Sales</t>
  </si>
  <si>
    <t>Bookout Adjustment to Power Purchases</t>
  </si>
  <si>
    <t>Total Purchase Power</t>
  </si>
  <si>
    <t>Total Purchase &amp; Exchange Power</t>
  </si>
  <si>
    <t>Operation &amp; Maintenance Expenses</t>
  </si>
  <si>
    <t>Conseration and Renewable Discount</t>
  </si>
  <si>
    <t>Additional Post-retirement Contribution</t>
  </si>
  <si>
    <t>Power Marketing &amp; Business Support</t>
  </si>
  <si>
    <t>PS Systems Operations</t>
  </si>
  <si>
    <t>Power Scheduling</t>
  </si>
  <si>
    <t xml:space="preserve">Generation Conservation </t>
  </si>
  <si>
    <t>Fish &amp; Wildlife Program</t>
  </si>
  <si>
    <t>Transmission Acquisition &amp; Ancillary Services</t>
  </si>
  <si>
    <t>General &amp; Administrative/Shared Services</t>
  </si>
  <si>
    <t>U.S. Fish &amp; Wildlife</t>
  </si>
  <si>
    <t>Colville Settlement Payment</t>
  </si>
  <si>
    <t>Bad Debt Expense</t>
  </si>
  <si>
    <t>Other Income, Expenses, Adjustments</t>
  </si>
  <si>
    <t>Total O&amp;M</t>
  </si>
  <si>
    <t>Total O&amp;M and Purchase &amp; Exchange</t>
  </si>
  <si>
    <t>Rate Test Period</t>
  </si>
  <si>
    <t>Items not forecasted for rate development</t>
  </si>
  <si>
    <t>Adjustment</t>
  </si>
  <si>
    <t>Historical Period</t>
  </si>
  <si>
    <t>Forecast</t>
  </si>
  <si>
    <t>of Capitalized</t>
  </si>
  <si>
    <t>Credit</t>
  </si>
  <si>
    <t>Bond Premiums</t>
  </si>
  <si>
    <t>Credit on</t>
  </si>
  <si>
    <t>Net</t>
  </si>
  <si>
    <t>Fiscal</t>
  </si>
  <si>
    <t>Gross</t>
  </si>
  <si>
    <t>Bond</t>
  </si>
  <si>
    <t>(Repayment</t>
  </si>
  <si>
    <t>Subtotal</t>
  </si>
  <si>
    <t>&amp; Capitalization</t>
  </si>
  <si>
    <t>Cash</t>
  </si>
  <si>
    <t>Study)</t>
  </si>
  <si>
    <t>(B+C+D+E)</t>
  </si>
  <si>
    <t>Reserves</t>
  </si>
  <si>
    <t>Expense</t>
  </si>
  <si>
    <t>Historical</t>
  </si>
  <si>
    <t>Cost Evaluation Period</t>
  </si>
  <si>
    <t>Repayment Period</t>
  </si>
  <si>
    <t>Discounts</t>
  </si>
  <si>
    <t>Premiums/</t>
  </si>
  <si>
    <t>Hedging &amp; Mitigation</t>
  </si>
  <si>
    <t>Transmission Acquisition (sys oblig)</t>
  </si>
  <si>
    <t>Klondike III (Tier 1 augmentation)</t>
  </si>
  <si>
    <t>Tier 2</t>
  </si>
  <si>
    <t xml:space="preserve">  FY 2016</t>
  </si>
  <si>
    <t xml:space="preserve">   FY 2017</t>
  </si>
  <si>
    <t>Projected Revenues from Proposed Rates</t>
  </si>
  <si>
    <t>Projected Expenses</t>
  </si>
  <si>
    <t>Net Revenues</t>
  </si>
  <si>
    <t>Reserves for Risk</t>
  </si>
  <si>
    <t>Other</t>
  </si>
  <si>
    <t>Expense Offset</t>
  </si>
  <si>
    <t>Power Cash and Accrual Capital Revenue Requirement Components</t>
  </si>
  <si>
    <t>Repayment Study Output</t>
  </si>
  <si>
    <t>Non-Federal Principal</t>
  </si>
  <si>
    <t>Federal Principal</t>
  </si>
  <si>
    <t>Bond Discounts</t>
  </si>
  <si>
    <t>Federal Interest</t>
  </si>
  <si>
    <t>Total Repayment Debt Service</t>
  </si>
  <si>
    <t>Revenue Requirement</t>
  </si>
  <si>
    <t>Non-Federal Debt Service (Ln 3 + Ln 4)</t>
  </si>
  <si>
    <t>accelerate RCD</t>
  </si>
  <si>
    <t>Federal Net Interest 1/</t>
  </si>
  <si>
    <t>MRNR  2/</t>
  </si>
  <si>
    <t>2/ Cash Flow Generated</t>
  </si>
  <si>
    <t>1/ Difference in Interest</t>
  </si>
  <si>
    <t>Prepay Interest</t>
  </si>
  <si>
    <t>Prepay Credits</t>
  </si>
  <si>
    <t>Income Rates (melded)</t>
  </si>
  <si>
    <t xml:space="preserve">beginning cash reserves </t>
  </si>
  <si>
    <t>ending cash reserves</t>
  </si>
  <si>
    <t>Income Statement</t>
  </si>
  <si>
    <t>Depreciation/Amortization Expense</t>
  </si>
  <si>
    <t xml:space="preserve">   Gross Interest, Bonds/Appropriations</t>
  </si>
  <si>
    <t xml:space="preserve">   Non-Federal Interest</t>
  </si>
  <si>
    <t xml:space="preserve">   Interest Income</t>
  </si>
  <si>
    <t xml:space="preserve">   Capitalization Adjustment</t>
  </si>
  <si>
    <t xml:space="preserve">   AFUDC</t>
  </si>
  <si>
    <t xml:space="preserve">   TOTAL</t>
  </si>
  <si>
    <t>Cash Flows</t>
  </si>
  <si>
    <t xml:space="preserve">     MRNR</t>
  </si>
  <si>
    <t xml:space="preserve">     Depreciation/Amortization</t>
  </si>
  <si>
    <t xml:space="preserve">     Capitalization Adjustment</t>
  </si>
  <si>
    <t xml:space="preserve">     Prepay Credits</t>
  </si>
  <si>
    <t xml:space="preserve">     Non-Federal Interest</t>
  </si>
  <si>
    <t xml:space="preserve">     Accrual Reveneus</t>
  </si>
  <si>
    <t xml:space="preserve">     TOTAL</t>
  </si>
  <si>
    <t xml:space="preserve">     Repayment of Bonds/Appropriations</t>
  </si>
  <si>
    <t xml:space="preserve">     Repayment of 3rd Party EE debt</t>
  </si>
  <si>
    <t xml:space="preserve">     Irrigation Assistance</t>
  </si>
  <si>
    <t xml:space="preserve">Non-Federal Debt Service </t>
  </si>
  <si>
    <t>Base W/ Full Extension</t>
  </si>
  <si>
    <t>Adjustments</t>
  </si>
  <si>
    <t>Prepay Interest Offset Credit</t>
  </si>
  <si>
    <t>Minimum required net revenues are added to ensure suffcient cash flow is available</t>
  </si>
  <si>
    <t>to repay the federal investment.</t>
  </si>
  <si>
    <t>Generation Detail of Net Interest Expense</t>
  </si>
  <si>
    <t>Interest on</t>
  </si>
  <si>
    <t>Customer Prepaid</t>
  </si>
  <si>
    <t>Power Expense</t>
  </si>
  <si>
    <t>In the repayment period, the effect of the CGS refueling cycle (occurs every 2 years) was normalized by averaging a refueling year and a non-refueling year</t>
  </si>
  <si>
    <t xml:space="preserve"> (2018 and 2019, repectively).  The normalization reflects the higher costs for CGS of refueling and maintenance while plant is down plus power</t>
  </si>
  <si>
    <t>purchases made to compensate for the plant outage.  The total normalization is the sum of the normalized amounts less the test year amounts for those items.</t>
  </si>
  <si>
    <t>2019 STUDY YEAR</t>
  </si>
  <si>
    <t>EXPENSE OFFSETS</t>
  </si>
  <si>
    <t>Summary of Repayment ($000s) (FY 2019)</t>
  </si>
  <si>
    <t>NON-CASH EXPENSES</t>
  </si>
  <si>
    <t>REPAYMENT OF NON-FEDERAL OBLIGATIONS</t>
  </si>
  <si>
    <t>Non-Cash Expenses</t>
  </si>
  <si>
    <t>Repayment of Non-Federal Obligations</t>
  </si>
  <si>
    <t>Customer Proceeds</t>
  </si>
  <si>
    <t>Rate Case Run</t>
  </si>
  <si>
    <t>Cash from DSR</t>
  </si>
  <si>
    <t>Lines of Credit to be repaid</t>
  </si>
  <si>
    <t xml:space="preserve">Nonfederal </t>
  </si>
  <si>
    <t>SCRUB</t>
  </si>
  <si>
    <t>Non Cash</t>
  </si>
  <si>
    <t>Cash not Income Statement</t>
  </si>
  <si>
    <t>cash basis</t>
  </si>
  <si>
    <t>accrual</t>
  </si>
  <si>
    <t>Funds provided by Prepay</t>
  </si>
  <si>
    <t>Cash from LOC</t>
  </si>
  <si>
    <t>offset to fed principal</t>
  </si>
  <si>
    <t>offset to fed principal AND EN LOC payment</t>
  </si>
  <si>
    <t>offset to nonfederal debt service</t>
  </si>
  <si>
    <t>offset to nonfederal debt service AND EN LOC payment</t>
  </si>
  <si>
    <t>CONSERVATION INFRASTRUCTURE</t>
  </si>
  <si>
    <t>ENERGY EFFICIENCY INITIATIVE</t>
  </si>
  <si>
    <t>BPA Managed EE</t>
  </si>
  <si>
    <t>KSI ASSET MANAGEMENT EXP</t>
  </si>
  <si>
    <t>KSI LT FINANCE&amp;RATES EXP</t>
  </si>
  <si>
    <t>KSI COM OPERATIONS EXP</t>
  </si>
  <si>
    <t>CORPORATE G&amp;A</t>
  </si>
  <si>
    <t>F&amp;W CORPORATE SUPPORT - G&amp;A</t>
  </si>
  <si>
    <t>Other Income &amp; Adjustment</t>
  </si>
  <si>
    <t>leaving out EE offset</t>
  </si>
  <si>
    <t>Sources of Cash</t>
  </si>
  <si>
    <t>Base</t>
  </si>
  <si>
    <t>IPR1719FIN</t>
  </si>
  <si>
    <t>Amortization - Fish &amp; Wildlife</t>
  </si>
  <si>
    <t>Other Income &amp; Expense (composite) -- IPR undistrib reduction</t>
  </si>
  <si>
    <t>Other Income &amp; Expense (composite) -- RCD Effect</t>
  </si>
  <si>
    <t>Other Income &amp; Expense (non-slice) -- RCD Offset</t>
  </si>
  <si>
    <t>Other Income &amp; Expense (composite) --Expense Offset (EE)</t>
  </si>
  <si>
    <t>Power R&amp;D</t>
  </si>
  <si>
    <t>all other Power R&amp;D</t>
  </si>
  <si>
    <t>Source: Repayment Study 2623</t>
  </si>
  <si>
    <t>P2623</t>
  </si>
  <si>
    <t>18-19 Annual Average</t>
  </si>
  <si>
    <t>Reserves not for Risk</t>
  </si>
  <si>
    <t>FY 2019 Study</t>
  </si>
  <si>
    <t>FY 2044 Study</t>
  </si>
  <si>
    <t>P2625</t>
  </si>
  <si>
    <t>Full RCD Study</t>
  </si>
  <si>
    <t>Generation Integration</t>
  </si>
  <si>
    <t>Residential Exchange net of PSE costs</t>
  </si>
  <si>
    <t>Res Ex</t>
  </si>
  <si>
    <t>Staffing costs</t>
  </si>
  <si>
    <t>RCD Effect</t>
  </si>
  <si>
    <t xml:space="preserve">MRNR  </t>
  </si>
  <si>
    <t>Federal Net Interest</t>
  </si>
  <si>
    <t>Difference between Base &amp; Full Extension</t>
  </si>
  <si>
    <t/>
  </si>
  <si>
    <t xml:space="preserve">FROM </t>
  </si>
  <si>
    <t>See note on Statement of Cash Flows</t>
  </si>
  <si>
    <t xml:space="preserve">   PURCH&amp;EXCH ANNUAL COSTS:</t>
  </si>
  <si>
    <t>1/Consists of depreciation plus other non-cash expenses and other adjustments and any accounting write-offs included in expenses.</t>
  </si>
  <si>
    <t>2/Includes adjustmetns for non-cash revenues or other accrual to cash adjustments.</t>
  </si>
  <si>
    <t>PNRR</t>
  </si>
  <si>
    <t>Allocation factor for MRNR &amp; PNRR</t>
  </si>
  <si>
    <t>Line of Credit</t>
  </si>
  <si>
    <t>From run 2726</t>
  </si>
  <si>
    <t>=-'cost table'!D111</t>
  </si>
  <si>
    <t>=-'cost table'!D109</t>
  </si>
  <si>
    <t>Study 2786 (2019) base run</t>
  </si>
  <si>
    <t>Study 2786 (2044 study)</t>
  </si>
  <si>
    <t>Study 2798, SHIFT $22m from FY18 to FY19</t>
  </si>
  <si>
    <t>PURCH&amp;EXCH ANNUAL COSTS:</t>
  </si>
  <si>
    <r>
      <t xml:space="preserve">&lt;&lt;&lt;IOC rate </t>
    </r>
    <r>
      <rPr>
        <i/>
        <sz val="10"/>
        <rFont val="Arial"/>
        <family val="2"/>
      </rPr>
      <t>per email chain 4/27/2017.  `1/4 of the 1yr appropriations rate</t>
    </r>
  </si>
  <si>
    <t>&lt;&lt;from Q2 FY17 QRM reserves split, assume FY17 EOY forecast carries forward</t>
  </si>
  <si>
    <t>&lt;&lt;subtracts $70.2m for RCD Offest adds $60.5m left from EN refi to support expensing EE</t>
  </si>
  <si>
    <t>PLANNED NET REVENUE, TOTAL (34+35)</t>
  </si>
  <si>
    <t>FYs 2012 - 2069</t>
  </si>
  <si>
    <t>Table 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</si>
</sst>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0%"/>
    <numFmt numFmtId="167" formatCode="0.0%"/>
    <numFmt numFmtId="168" formatCode="0.0_)\%;\(0.0\)\%;0.0_)\%;@_)_%"/>
    <numFmt numFmtId="169" formatCode="#,##0.0_)_%;\(#,##0.0\)_%;0.0_)_%;@_)_%"/>
    <numFmt numFmtId="170" formatCode="0.000000"/>
    <numFmt numFmtId="171" formatCode="#,##0.0_);\(#,##0.0\);#,##0.0_);@_)"/>
    <numFmt numFmtId="172" formatCode="_(* #,##0.00000_);_(* \(#,##0.00000\);_(* &quot;-&quot;??_);_(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#,##0.0_)\x;\(#,##0.0\)\x;0.0_)\x;@_)_x"/>
    <numFmt numFmtId="177" formatCode="#,##0.0_)_x;\(#,##0.0\)_x;0.0_)_x;@_)_x"/>
    <numFmt numFmtId="178" formatCode="d\.mmm\.yy"/>
    <numFmt numFmtId="179" formatCode="_(* #,##0.00_);\(* #,##0.00\);_(* &quot;-&quot;??_);_(@_)"/>
    <numFmt numFmtId="180" formatCode="0.00_)"/>
    <numFmt numFmtId="181" formatCode="0.000%;;"/>
    <numFmt numFmtId="182" formatCode="_(* #,##0.0_);_(* \(#,##0.0\);_(* &quot;-&quot;_);_(@_)"/>
    <numFmt numFmtId="185" formatCode="_([$$-409]* #,##0_);_([$$-409]* \(#,##0\);_([$$-409]* &quot;-&quot;??_);_(@_)"/>
    <numFmt numFmtId="186" formatCode="[$-10409]#,###;\(#,###\);\-;"/>
    <numFmt numFmtId="187" formatCode="[$-10409]&quot;$&quot;#,###;\(&quot;$&quot;#,###\);\-;"/>
    <numFmt numFmtId="188" formatCode="[$-10409]#,###;\(#,###\);0"/>
    <numFmt numFmtId="189" formatCode="_(* #,##0.0_);_(* \(#,##0.0\);_(* &quot;-&quot;??_);_(@_)"/>
    <numFmt numFmtId="190" formatCode="0_);\(0\)"/>
    <numFmt numFmtId="191" formatCode="_(&quot;$&quot;* #,##0_);_(&quot;$&quot;* \(#,##0\);_(&quot;$&quot;* &quot;-&quot;??_);_(@_)"/>
    <numFmt numFmtId="192" formatCode="#,##0.00000000000_);\(#,##0.00000000000\)"/>
  </numFmts>
  <fonts count="1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48"/>
      <name val="Times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8"/>
      <color indexed="9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0"/>
      <color indexed="12"/>
      <name val="Arial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0"/>
      <name val="Tahoma"/>
      <family val="2"/>
    </font>
    <font>
      <b/>
      <sz val="10"/>
      <name val="Arial Unicode MS"/>
      <family val="2"/>
    </font>
    <font>
      <sz val="10"/>
      <name val="Helv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55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8"/>
      <name val="Times New Roman"/>
      <family val="1"/>
    </font>
    <font>
      <sz val="11"/>
      <color indexed="58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21"/>
      <name val="Calibri"/>
      <family val="2"/>
    </font>
    <font>
      <b/>
      <sz val="15"/>
      <color indexed="62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b/>
      <sz val="18"/>
      <color indexed="21"/>
      <name val="Cambria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ourier"/>
      <family val="3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sz val="9"/>
      <color theme="1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  <scheme val="minor"/>
    </font>
    <font>
      <b/>
      <sz val="8"/>
      <name val="Calibri"/>
      <family val="2"/>
    </font>
    <font>
      <sz val="10"/>
      <name val="Consolas"/>
      <family val="3"/>
    </font>
    <font>
      <sz val="10"/>
      <color theme="0"/>
      <name val="Arial"/>
      <family val="2"/>
    </font>
    <font>
      <u val="singleAccounting"/>
      <sz val="12"/>
      <name val="Times New Roman"/>
      <family val="1"/>
    </font>
    <font>
      <sz val="10"/>
      <color rgb="FFFF0000"/>
      <name val="Arial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u val="single"/>
      <sz val="10"/>
      <name val="Consolas"/>
      <family val="3"/>
    </font>
    <font>
      <b/>
      <sz val="16"/>
      <color rgb="FFFF0000"/>
      <name val="Arial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b/>
      <sz val="11"/>
      <color rgb="FFFF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3FBF1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16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>
        <color indexed="9"/>
      </top>
      <bottom style="double">
        <color indexed="9"/>
      </bottom>
    </border>
    <border>
      <left/>
      <right/>
      <top/>
      <bottom style="thin">
        <color indexed="9"/>
      </bottom>
    </border>
  </borders>
  <cellStyleXfs count="1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0" fillId="0" borderId="0">
      <alignment horizontal="left" wrapText="1"/>
      <protection/>
    </xf>
    <xf numFmtId="171" fontId="22" fillId="0" borderId="0" applyFont="0" applyFill="0" applyBorder="0" applyAlignment="0" applyProtection="0"/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0" fillId="0" borderId="0">
      <alignment horizontal="left" wrapText="1"/>
      <protection/>
    </xf>
    <xf numFmtId="0" fontId="49" fillId="0" borderId="0" applyNumberFormat="0" applyFill="0" applyBorder="0" applyAlignment="0" applyProtection="0"/>
    <xf numFmtId="0" fontId="22" fillId="2" borderId="0" applyNumberFormat="0" applyFont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Protection="0">
      <alignment horizontal="right"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0" fillId="0" borderId="0" applyNumberFormat="0" applyFill="0" applyBorder="0" applyProtection="0">
      <alignment vertical="top"/>
    </xf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51" fillId="0" borderId="2" applyNumberFormat="0" applyFill="0" applyProtection="0">
      <alignment horizontal="center"/>
    </xf>
    <xf numFmtId="0" fontId="51" fillId="0" borderId="2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172" fontId="0" fillId="0" borderId="0">
      <alignment horizontal="left" wrapText="1"/>
      <protection/>
    </xf>
    <xf numFmtId="0" fontId="2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40" fillId="3" borderId="0" applyNumberFormat="0" applyBorder="0" applyAlignment="0" applyProtection="0"/>
    <xf numFmtId="0" fontId="54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40" fillId="7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40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40" fillId="13" borderId="0" applyNumberFormat="0" applyBorder="0" applyAlignment="0" applyProtection="0"/>
    <xf numFmtId="0" fontId="54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5" borderId="0" applyNumberFormat="0" applyBorder="0" applyAlignment="0" applyProtection="0"/>
    <xf numFmtId="0" fontId="40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7" borderId="0" applyNumberFormat="0" applyBorder="0" applyAlignment="0" applyProtection="0"/>
    <xf numFmtId="0" fontId="2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40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40" fillId="19" borderId="0" applyNumberFormat="0" applyBorder="0" applyAlignment="0" applyProtection="0"/>
    <xf numFmtId="0" fontId="54" fillId="21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40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40" fillId="25" borderId="0" applyNumberFormat="0" applyBorder="0" applyAlignment="0" applyProtection="0"/>
    <xf numFmtId="0" fontId="54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13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40" fillId="13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" fillId="27" borderId="0" applyNumberFormat="0" applyBorder="0" applyAlignment="0" applyProtection="0"/>
    <xf numFmtId="0" fontId="2" fillId="19" borderId="0" applyNumberFormat="0" applyBorder="0" applyAlignment="0" applyProtection="0"/>
    <xf numFmtId="0" fontId="53" fillId="16" borderId="0" applyNumberFormat="0" applyBorder="0" applyAlignment="0" applyProtection="0"/>
    <xf numFmtId="0" fontId="54" fillId="19" borderId="0" applyNumberFormat="0" applyBorder="0" applyAlignment="0" applyProtection="0"/>
    <xf numFmtId="0" fontId="53" fillId="16" borderId="0" applyNumberFormat="0" applyBorder="0" applyAlignment="0" applyProtection="0"/>
    <xf numFmtId="0" fontId="54" fillId="19" borderId="0" applyNumberFormat="0" applyBorder="0" applyAlignment="0" applyProtection="0"/>
    <xf numFmtId="0" fontId="40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40" fillId="29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47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08" fillId="33" borderId="0" applyNumberFormat="0" applyBorder="0" applyAlignment="0" applyProtection="0"/>
    <xf numFmtId="0" fontId="3" fillId="23" borderId="0" applyNumberFormat="0" applyBorder="0" applyAlignment="0" applyProtection="0"/>
    <xf numFmtId="0" fontId="55" fillId="23" borderId="0" applyNumberFormat="0" applyBorder="0" applyAlignment="0" applyProtection="0"/>
    <xf numFmtId="0" fontId="53" fillId="23" borderId="0" applyNumberFormat="0" applyBorder="0" applyAlignment="0" applyProtection="0"/>
    <xf numFmtId="0" fontId="55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08" fillId="34" borderId="0" applyNumberFormat="0" applyBorder="0" applyAlignment="0" applyProtection="0"/>
    <xf numFmtId="0" fontId="3" fillId="25" borderId="0" applyNumberFormat="0" applyBorder="0" applyAlignment="0" applyProtection="0"/>
    <xf numFmtId="0" fontId="55" fillId="2" borderId="0" applyNumberFormat="0" applyBorder="0" applyAlignment="0" applyProtection="0"/>
    <xf numFmtId="0" fontId="53" fillId="2" borderId="0" applyNumberFormat="0" applyBorder="0" applyAlignment="0" applyProtection="0"/>
    <xf numFmtId="0" fontId="55" fillId="2" borderId="0" applyNumberFormat="0" applyBorder="0" applyAlignment="0" applyProtection="0"/>
    <xf numFmtId="0" fontId="53" fillId="2" borderId="0" applyNumberFormat="0" applyBorder="0" applyAlignment="0" applyProtection="0"/>
    <xf numFmtId="0" fontId="47" fillId="25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08" fillId="35" borderId="0" applyNumberFormat="0" applyBorder="0" applyAlignment="0" applyProtection="0"/>
    <xf numFmtId="0" fontId="3" fillId="36" borderId="0" applyNumberFormat="0" applyBorder="0" applyAlignment="0" applyProtection="0"/>
    <xf numFmtId="0" fontId="55" fillId="21" borderId="0" applyNumberFormat="0" applyBorder="0" applyAlignment="0" applyProtection="0"/>
    <xf numFmtId="0" fontId="53" fillId="21" borderId="0" applyNumberFormat="0" applyBorder="0" applyAlignment="0" applyProtection="0"/>
    <xf numFmtId="0" fontId="55" fillId="21" borderId="0" applyNumberFormat="0" applyBorder="0" applyAlignment="0" applyProtection="0"/>
    <xf numFmtId="0" fontId="53" fillId="21" borderId="0" applyNumberFormat="0" applyBorder="0" applyAlignment="0" applyProtection="0"/>
    <xf numFmtId="0" fontId="47" fillId="36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08" fillId="37" borderId="0" applyNumberFormat="0" applyBorder="0" applyAlignment="0" applyProtection="0"/>
    <xf numFmtId="0" fontId="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4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08" fillId="38" borderId="0" applyNumberFormat="0" applyBorder="0" applyAlignment="0" applyProtection="0"/>
    <xf numFmtId="0" fontId="3" fillId="39" borderId="0" applyNumberFormat="0" applyBorder="0" applyAlignment="0" applyProtection="0"/>
    <xf numFmtId="0" fontId="55" fillId="40" borderId="0" applyNumberFormat="0" applyBorder="0" applyAlignment="0" applyProtection="0"/>
    <xf numFmtId="0" fontId="53" fillId="8" borderId="0" applyNumberFormat="0" applyBorder="0" applyAlignment="0" applyProtection="0"/>
    <xf numFmtId="0" fontId="55" fillId="40" borderId="0" applyNumberFormat="0" applyBorder="0" applyAlignment="0" applyProtection="0"/>
    <xf numFmtId="0" fontId="53" fillId="8" borderId="0" applyNumberFormat="0" applyBorder="0" applyAlignment="0" applyProtection="0"/>
    <xf numFmtId="0" fontId="47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08" fillId="41" borderId="0" applyNumberFormat="0" applyBorder="0" applyAlignment="0" applyProtection="0"/>
    <xf numFmtId="0" fontId="3" fillId="4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47" fillId="4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08" fillId="43" borderId="0" applyNumberFormat="0" applyBorder="0" applyAlignment="0" applyProtection="0"/>
    <xf numFmtId="0" fontId="3" fillId="44" borderId="0" applyNumberFormat="0" applyBorder="0" applyAlignment="0" applyProtection="0"/>
    <xf numFmtId="0" fontId="55" fillId="44" borderId="0" applyNumberFormat="0" applyBorder="0" applyAlignment="0" applyProtection="0"/>
    <xf numFmtId="0" fontId="53" fillId="44" borderId="0" applyNumberFormat="0" applyBorder="0" applyAlignment="0" applyProtection="0"/>
    <xf numFmtId="0" fontId="55" fillId="44" borderId="0" applyNumberFormat="0" applyBorder="0" applyAlignment="0" applyProtection="0"/>
    <xf numFmtId="0" fontId="53" fillId="44" borderId="0" applyNumberFormat="0" applyBorder="0" applyAlignment="0" applyProtection="0"/>
    <xf numFmtId="0" fontId="47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08" fillId="45" borderId="0" applyNumberFormat="0" applyBorder="0" applyAlignment="0" applyProtection="0"/>
    <xf numFmtId="0" fontId="3" fillId="46" borderId="0" applyNumberFormat="0" applyBorder="0" applyAlignment="0" applyProtection="0"/>
    <xf numFmtId="0" fontId="55" fillId="46" borderId="0" applyNumberFormat="0" applyBorder="0" applyAlignment="0" applyProtection="0"/>
    <xf numFmtId="0" fontId="53" fillId="46" borderId="0" applyNumberFormat="0" applyBorder="0" applyAlignment="0" applyProtection="0"/>
    <xf numFmtId="0" fontId="55" fillId="46" borderId="0" applyNumberFormat="0" applyBorder="0" applyAlignment="0" applyProtection="0"/>
    <xf numFmtId="0" fontId="53" fillId="46" borderId="0" applyNumberFormat="0" applyBorder="0" applyAlignment="0" applyProtection="0"/>
    <xf numFmtId="0" fontId="47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08" fillId="47" borderId="0" applyNumberFormat="0" applyBorder="0" applyAlignment="0" applyProtection="0"/>
    <xf numFmtId="0" fontId="3" fillId="36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47" fillId="3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08" fillId="49" borderId="0" applyNumberFormat="0" applyBorder="0" applyAlignment="0" applyProtection="0"/>
    <xf numFmtId="0" fontId="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55" fillId="32" borderId="0" applyNumberFormat="0" applyBorder="0" applyAlignment="0" applyProtection="0"/>
    <xf numFmtId="0" fontId="53" fillId="32" borderId="0" applyNumberFormat="0" applyBorder="0" applyAlignment="0" applyProtection="0"/>
    <xf numFmtId="0" fontId="4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08" fillId="50" borderId="0" applyNumberFormat="0" applyBorder="0" applyAlignment="0" applyProtection="0"/>
    <xf numFmtId="0" fontId="3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47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08" fillId="52" borderId="0" applyNumberFormat="0" applyBorder="0" applyAlignment="0" applyProtection="0"/>
    <xf numFmtId="0" fontId="56" fillId="0" borderId="0" applyNumberFormat="0" applyFill="0" applyBorder="0" applyAlignment="0">
      <protection locked="0"/>
    </xf>
    <xf numFmtId="0" fontId="4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109" fillId="53" borderId="0" applyNumberFormat="0" applyBorder="0" applyAlignment="0" applyProtection="0"/>
    <xf numFmtId="178" fontId="37" fillId="0" borderId="0" applyFill="0" applyBorder="0" applyAlignment="0">
      <protection/>
    </xf>
    <xf numFmtId="0" fontId="5" fillId="21" borderId="3" applyNumberFormat="0" applyAlignment="0" applyProtection="0"/>
    <xf numFmtId="0" fontId="60" fillId="25" borderId="4" applyNumberFormat="0" applyAlignment="0" applyProtection="0"/>
    <xf numFmtId="0" fontId="60" fillId="5" borderId="3" applyNumberFormat="0" applyAlignment="0" applyProtection="0"/>
    <xf numFmtId="0" fontId="60" fillId="25" borderId="4" applyNumberFormat="0" applyAlignment="0" applyProtection="0"/>
    <xf numFmtId="0" fontId="60" fillId="5" borderId="3" applyNumberFormat="0" applyAlignment="0" applyProtection="0"/>
    <xf numFmtId="0" fontId="61" fillId="21" borderId="3" applyNumberFormat="0" applyAlignment="0" applyProtection="0"/>
    <xf numFmtId="0" fontId="60" fillId="25" borderId="4" applyNumberFormat="0" applyAlignment="0" applyProtection="0"/>
    <xf numFmtId="0" fontId="60" fillId="25" borderId="4" applyNumberFormat="0" applyAlignment="0" applyProtection="0"/>
    <xf numFmtId="0" fontId="60" fillId="25" borderId="4" applyNumberFormat="0" applyAlignment="0" applyProtection="0"/>
    <xf numFmtId="0" fontId="61" fillId="21" borderId="3" applyNumberFormat="0" applyAlignment="0" applyProtection="0"/>
    <xf numFmtId="0" fontId="110" fillId="54" borderId="5" applyNumberFormat="0" applyAlignment="0" applyProtection="0"/>
    <xf numFmtId="0" fontId="6" fillId="5" borderId="6" applyNumberFormat="0" applyAlignment="0" applyProtection="0"/>
    <xf numFmtId="0" fontId="62" fillId="5" borderId="6" applyNumberFormat="0" applyAlignment="0" applyProtection="0"/>
    <xf numFmtId="0" fontId="63" fillId="21" borderId="6" applyNumberFormat="0" applyAlignment="0" applyProtection="0"/>
    <xf numFmtId="0" fontId="62" fillId="5" borderId="6" applyNumberFormat="0" applyAlignment="0" applyProtection="0"/>
    <xf numFmtId="0" fontId="63" fillId="21" borderId="6" applyNumberFormat="0" applyAlignment="0" applyProtection="0"/>
    <xf numFmtId="0" fontId="36" fillId="5" borderId="6" applyNumberFormat="0" applyAlignment="0" applyProtection="0"/>
    <xf numFmtId="0" fontId="62" fillId="5" borderId="6" applyNumberFormat="0" applyAlignment="0" applyProtection="0"/>
    <xf numFmtId="0" fontId="62" fillId="5" borderId="6" applyNumberFormat="0" applyAlignment="0" applyProtection="0"/>
    <xf numFmtId="0" fontId="62" fillId="5" borderId="6" applyNumberFormat="0" applyAlignment="0" applyProtection="0"/>
    <xf numFmtId="0" fontId="36" fillId="5" borderId="6" applyNumberFormat="0" applyAlignment="0" applyProtection="0"/>
    <xf numFmtId="0" fontId="111" fillId="55" borderId="7" applyNumberFormat="0" applyAlignment="0" applyProtection="0"/>
    <xf numFmtId="0" fontId="64" fillId="0" borderId="0" applyFont="0" applyFill="0" applyBorder="0" applyProtection="0">
      <alignment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Font="0" applyFill="0" applyBorder="0" applyProtection="0">
      <alignment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4" fillId="0" borderId="0" applyFont="0" applyFill="0" applyBorder="0" applyProtection="0">
      <alignment/>
    </xf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Font="0" applyFill="0" applyBorder="0" applyProtection="0">
      <alignment/>
    </xf>
    <xf numFmtId="0" fontId="64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7" fillId="0" borderId="0">
      <alignment/>
      <protection/>
    </xf>
    <xf numFmtId="0" fontId="68" fillId="0" borderId="0" applyNumberFormat="0">
      <alignment/>
      <protection/>
    </xf>
    <xf numFmtId="0" fontId="69" fillId="0" borderId="0" applyNumberFormat="0" applyAlignment="0">
      <protection/>
    </xf>
    <xf numFmtId="0" fontId="67" fillId="0" borderId="0">
      <alignment/>
      <protection/>
    </xf>
    <xf numFmtId="0" fontId="67" fillId="0" borderId="0">
      <alignment/>
      <protection/>
    </xf>
    <xf numFmtId="0" fontId="64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4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4" fillId="0" borderId="0" applyFont="0" applyFill="0" applyBorder="0" applyProtection="0">
      <alignment/>
    </xf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8" applyNumberFormat="0" applyFont="0" applyFill="0" applyAlignment="0" applyProtection="0"/>
    <xf numFmtId="170" fontId="0" fillId="0" borderId="0">
      <alignment/>
      <protection/>
    </xf>
    <xf numFmtId="0" fontId="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" fontId="73" fillId="0" borderId="0" applyFont="0" applyFill="0" applyBorder="0" applyAlignment="0" applyProtection="0"/>
    <xf numFmtId="0" fontId="67" fillId="0" borderId="0">
      <alignment/>
      <protection/>
    </xf>
    <xf numFmtId="0" fontId="74" fillId="0" borderId="0" applyFill="0" applyBorder="0" applyProtection="0">
      <alignment horizontal="left"/>
    </xf>
    <xf numFmtId="0" fontId="8" fillId="10" borderId="0" applyNumberFormat="0" applyBorder="0" applyAlignment="0" applyProtection="0"/>
    <xf numFmtId="0" fontId="75" fillId="16" borderId="0" applyNumberFormat="0" applyBorder="0" applyAlignment="0" applyProtection="0"/>
    <xf numFmtId="0" fontId="76" fillId="10" borderId="0" applyNumberFormat="0" applyBorder="0" applyAlignment="0" applyProtection="0"/>
    <xf numFmtId="0" fontId="75" fillId="16" borderId="0" applyNumberFormat="0" applyBorder="0" applyAlignment="0" applyProtection="0"/>
    <xf numFmtId="0" fontId="76" fillId="10" borderId="0" applyNumberFormat="0" applyBorder="0" applyAlignment="0" applyProtection="0"/>
    <xf numFmtId="0" fontId="46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13" fillId="56" borderId="0" applyNumberFormat="0" applyBorder="0" applyAlignment="0" applyProtection="0"/>
    <xf numFmtId="0" fontId="22" fillId="21" borderId="0" applyNumberFormat="0" applyBorder="0" applyAlignment="0" applyProtection="0"/>
    <xf numFmtId="0" fontId="64" fillId="0" borderId="0" applyFont="0" applyFill="0" applyBorder="0" applyProtection="0">
      <alignment/>
    </xf>
    <xf numFmtId="0" fontId="77" fillId="0" borderId="0" applyProtection="0">
      <alignment horizontal="right"/>
    </xf>
    <xf numFmtId="0" fontId="32" fillId="0" borderId="9" applyNumberFormat="0" applyProtection="0">
      <alignment/>
    </xf>
    <xf numFmtId="0" fontId="32" fillId="0" borderId="10">
      <alignment horizontal="left"/>
      <protection/>
    </xf>
    <xf numFmtId="0" fontId="9" fillId="0" borderId="11" applyNumberFormat="0" applyFill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9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9" fillId="0" borderId="11" applyNumberFormat="0" applyFill="0" applyAlignment="0" applyProtection="0"/>
    <xf numFmtId="0" fontId="114" fillId="0" borderId="13" applyNumberFormat="0" applyFill="0" applyAlignment="0" applyProtection="0"/>
    <xf numFmtId="0" fontId="10" fillId="0" borderId="14" applyNumberFormat="0" applyFill="0" applyAlignment="0" applyProtection="0"/>
    <xf numFmtId="0" fontId="80" fillId="0" borderId="15" applyNumberForma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10" fillId="0" borderId="14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0" fillId="0" borderId="14" applyNumberFormat="0" applyFill="0" applyAlignment="0" applyProtection="0"/>
    <xf numFmtId="0" fontId="115" fillId="0" borderId="16" applyNumberFormat="0" applyFill="0" applyAlignment="0" applyProtection="0"/>
    <xf numFmtId="0" fontId="11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1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1" fillId="0" borderId="17" applyNumberFormat="0" applyFill="0" applyAlignment="0" applyProtection="0"/>
    <xf numFmtId="0" fontId="116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8" fontId="48" fillId="0" borderId="0">
      <alignment/>
      <protection/>
    </xf>
    <xf numFmtId="40" fontId="48" fillId="0" borderId="0">
      <alignment/>
      <protection/>
    </xf>
    <xf numFmtId="0" fontId="12" fillId="0" borderId="0" applyNumberFormat="0" applyFill="0" applyBorder="0">
      <alignment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1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18" fillId="0" borderId="0" applyNumberFormat="0" applyFill="0" applyBorder="0">
      <alignment/>
      <protection locked="0"/>
    </xf>
    <xf numFmtId="0" fontId="117" fillId="0" borderId="0" applyNumberFormat="0" applyFill="0" applyBorder="0" applyAlignment="0" applyProtection="0"/>
    <xf numFmtId="0" fontId="13" fillId="8" borderId="3" applyNumberFormat="0" applyAlignment="0" applyProtection="0"/>
    <xf numFmtId="0" fontId="22" fillId="57" borderId="20" applyNumberFormat="0" applyBorder="0" applyAlignment="0" applyProtection="0"/>
    <xf numFmtId="0" fontId="84" fillId="8" borderId="4" applyNumberFormat="0" applyAlignment="0" applyProtection="0"/>
    <xf numFmtId="0" fontId="84" fillId="8" borderId="3" applyNumberFormat="0" applyAlignment="0" applyProtection="0"/>
    <xf numFmtId="0" fontId="84" fillId="8" borderId="4" applyNumberFormat="0" applyAlignment="0" applyProtection="0"/>
    <xf numFmtId="0" fontId="84" fillId="8" borderId="3" applyNumberFormat="0" applyAlignment="0" applyProtection="0"/>
    <xf numFmtId="0" fontId="85" fillId="8" borderId="3" applyNumberFormat="0" applyAlignment="0" applyProtection="0"/>
    <xf numFmtId="0" fontId="84" fillId="8" borderId="4" applyNumberFormat="0" applyAlignment="0" applyProtection="0"/>
    <xf numFmtId="0" fontId="84" fillId="8" borderId="4" applyNumberFormat="0" applyAlignment="0" applyProtection="0"/>
    <xf numFmtId="0" fontId="84" fillId="8" borderId="4" applyNumberFormat="0" applyAlignment="0" applyProtection="0"/>
    <xf numFmtId="0" fontId="84" fillId="8" borderId="3" applyNumberFormat="0" applyAlignment="0" applyProtection="0"/>
    <xf numFmtId="0" fontId="84" fillId="8" borderId="3" applyNumberFormat="0" applyAlignment="0" applyProtection="0"/>
    <xf numFmtId="0" fontId="84" fillId="8" borderId="3" applyNumberFormat="0" applyAlignment="0" applyProtection="0"/>
    <xf numFmtId="0" fontId="84" fillId="8" borderId="3" applyNumberFormat="0" applyAlignment="0" applyProtection="0"/>
    <xf numFmtId="0" fontId="84" fillId="8" borderId="3" applyNumberFormat="0" applyAlignment="0" applyProtection="0"/>
    <xf numFmtId="0" fontId="85" fillId="8" borderId="3" applyNumberFormat="0" applyAlignment="0" applyProtection="0"/>
    <xf numFmtId="0" fontId="119" fillId="58" borderId="5" applyNumberFormat="0" applyAlignment="0" applyProtection="0"/>
    <xf numFmtId="41" fontId="56" fillId="2" borderId="21">
      <alignment horizontal="left"/>
      <protection locked="0"/>
    </xf>
    <xf numFmtId="0" fontId="22" fillId="21" borderId="0">
      <alignment/>
      <protection/>
    </xf>
    <xf numFmtId="0" fontId="14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/>
    <xf numFmtId="0" fontId="120" fillId="0" borderId="23" applyNumberFormat="0" applyFill="0" applyAlignment="0" applyProtection="0"/>
    <xf numFmtId="0" fontId="33" fillId="0" borderId="24" applyNumberFormat="0" applyFont="0">
      <alignment/>
      <protection/>
    </xf>
    <xf numFmtId="0" fontId="33" fillId="0" borderId="25" applyNumberFormat="0" applyFont="0">
      <alignment/>
      <protection/>
    </xf>
    <xf numFmtId="0" fontId="64" fillId="0" borderId="0" applyFont="0" applyFill="0" applyBorder="0" applyProtection="0">
      <alignment/>
    </xf>
    <xf numFmtId="0" fontId="15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9" fillId="2" borderId="0" applyNumberFormat="0" applyBorder="0" applyAlignment="0" applyProtection="0"/>
    <xf numFmtId="0" fontId="88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121" fillId="59" borderId="0" applyNumberFormat="0" applyBorder="0" applyAlignment="0" applyProtection="0"/>
    <xf numFmtId="37" fontId="90" fillId="0" borderId="0">
      <alignment/>
      <protection/>
    </xf>
    <xf numFmtId="18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26" applyNumberFormat="0" applyFont="0" applyAlignment="0" applyProtection="0"/>
    <xf numFmtId="0" fontId="0" fillId="11" borderId="26" applyNumberFormat="0" applyFont="0" applyAlignment="0" applyProtection="0"/>
    <xf numFmtId="0" fontId="0" fillId="11" borderId="26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26" applyNumberFormat="0" applyFont="0" applyAlignment="0" applyProtection="0"/>
    <xf numFmtId="0" fontId="53" fillId="11" borderId="26" applyNumberFormat="0" applyFont="0" applyAlignment="0" applyProtection="0"/>
    <xf numFmtId="0" fontId="53" fillId="11" borderId="26" applyNumberFormat="0" applyFont="0" applyAlignment="0" applyProtection="0"/>
    <xf numFmtId="0" fontId="53" fillId="60" borderId="27" applyNumberFormat="0" applyFont="0" applyAlignment="0" applyProtection="0"/>
    <xf numFmtId="0" fontId="0" fillId="11" borderId="26" applyNumberFormat="0" applyFont="0" applyAlignment="0" applyProtection="0"/>
    <xf numFmtId="0" fontId="16" fillId="21" borderId="28" applyNumberFormat="0" applyAlignment="0" applyProtection="0"/>
    <xf numFmtId="0" fontId="93" fillId="25" borderId="28" applyNumberFormat="0" applyAlignment="0" applyProtection="0"/>
    <xf numFmtId="0" fontId="93" fillId="5" borderId="28" applyNumberFormat="0" applyAlignment="0" applyProtection="0"/>
    <xf numFmtId="0" fontId="93" fillId="25" borderId="28" applyNumberFormat="0" applyAlignment="0" applyProtection="0"/>
    <xf numFmtId="0" fontId="93" fillId="5" borderId="28" applyNumberFormat="0" applyAlignment="0" applyProtection="0"/>
    <xf numFmtId="0" fontId="94" fillId="21" borderId="28" applyNumberFormat="0" applyAlignment="0" applyProtection="0"/>
    <xf numFmtId="0" fontId="93" fillId="25" borderId="28" applyNumberFormat="0" applyAlignment="0" applyProtection="0"/>
    <xf numFmtId="0" fontId="93" fillId="25" borderId="28" applyNumberFormat="0" applyAlignment="0" applyProtection="0"/>
    <xf numFmtId="0" fontId="93" fillId="25" borderId="28" applyNumberFormat="0" applyAlignment="0" applyProtection="0"/>
    <xf numFmtId="0" fontId="94" fillId="21" borderId="28" applyNumberFormat="0" applyAlignment="0" applyProtection="0"/>
    <xf numFmtId="0" fontId="122" fillId="54" borderId="29" applyNumberFormat="0" applyAlignment="0" applyProtection="0"/>
    <xf numFmtId="1" fontId="95" fillId="0" borderId="0" applyProtection="0">
      <alignment horizontal="right" vertical="center"/>
    </xf>
    <xf numFmtId="0" fontId="6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0" fontId="17" fillId="0" borderId="0" applyNumberFormat="0" applyFont="0" applyFill="0" applyBorder="0" applyProtection="0">
      <alignment/>
    </xf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0">
      <alignment horizontal="center"/>
      <protection/>
    </xf>
    <xf numFmtId="0" fontId="18" fillId="0" borderId="30">
      <alignment horizontal="center"/>
      <protection/>
    </xf>
    <xf numFmtId="0" fontId="18" fillId="0" borderId="30">
      <alignment horizontal="center"/>
      <protection/>
    </xf>
    <xf numFmtId="0" fontId="18" fillId="0" borderId="30">
      <alignment horizontal="center"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61" borderId="0" applyNumberFormat="0" applyFont="0" applyBorder="0" applyAlignment="0" applyProtection="0"/>
    <xf numFmtId="0" fontId="17" fillId="61" borderId="0" applyNumberFormat="0" applyFont="0" applyBorder="0" applyAlignment="0" applyProtection="0"/>
    <xf numFmtId="0" fontId="17" fillId="61" borderId="0" applyNumberFormat="0" applyFont="0" applyBorder="0" applyAlignment="0" applyProtection="0"/>
    <xf numFmtId="181" fontId="74" fillId="0" borderId="31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Protection="0">
      <alignment/>
    </xf>
    <xf numFmtId="182" fontId="0" fillId="0" borderId="0" applyFont="0" applyFill="0">
      <alignment/>
      <protection/>
    </xf>
    <xf numFmtId="0" fontId="98" fillId="21" borderId="0" applyNumberFormat="0" applyFont="0" applyBorder="0" applyAlignment="0" applyProtection="0"/>
    <xf numFmtId="39" fontId="0" fillId="62" borderId="0">
      <alignment/>
      <protection/>
    </xf>
    <xf numFmtId="38" fontId="22" fillId="0" borderId="32">
      <alignment/>
      <protection/>
    </xf>
    <xf numFmtId="38" fontId="48" fillId="0" borderId="33">
      <alignment/>
      <protection/>
    </xf>
    <xf numFmtId="39" fontId="97" fillId="63" borderId="0">
      <alignment/>
      <protection/>
    </xf>
    <xf numFmtId="170" fontId="0" fillId="0" borderId="0">
      <alignment horizontal="left" wrapText="1"/>
      <protection/>
    </xf>
    <xf numFmtId="40" fontId="99" fillId="0" borderId="0" applyBorder="0">
      <alignment horizontal="right"/>
      <protection/>
    </xf>
    <xf numFmtId="0" fontId="100" fillId="0" borderId="0" applyBorder="0" applyProtection="0">
      <alignment vertical="center"/>
    </xf>
    <xf numFmtId="0" fontId="100" fillId="0" borderId="34" applyBorder="0" applyProtection="0">
      <alignment horizontal="right" vertical="center"/>
    </xf>
    <xf numFmtId="0" fontId="101" fillId="20" borderId="0" applyBorder="0" applyProtection="0">
      <alignment horizontal="centerContinuous" vertical="center"/>
    </xf>
    <xf numFmtId="0" fontId="101" fillId="64" borderId="34" applyBorder="0" applyProtection="0">
      <alignment horizontal="centerContinuous" vertical="center"/>
    </xf>
    <xf numFmtId="0" fontId="48" fillId="0" borderId="0" applyBorder="0" applyProtection="0">
      <alignment horizontal="left"/>
    </xf>
    <xf numFmtId="0" fontId="102" fillId="0" borderId="0" applyFill="0" applyBorder="0" applyProtection="0">
      <alignment horizontal="left"/>
    </xf>
    <xf numFmtId="0" fontId="22" fillId="0" borderId="31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3" fillId="57" borderId="0">
      <alignment horizontal="left" wrapText="1"/>
      <protection/>
    </xf>
    <xf numFmtId="0" fontId="105" fillId="0" borderId="0">
      <alignment horizontal="left" vertical="center"/>
      <protection/>
    </xf>
    <xf numFmtId="0" fontId="20" fillId="0" borderId="35" applyNumberFormat="0" applyFill="0" applyAlignment="0" applyProtection="0"/>
    <xf numFmtId="0" fontId="63" fillId="0" borderId="36" applyNumberFormat="0" applyFill="0" applyAlignment="0" applyProtection="0"/>
    <xf numFmtId="0" fontId="106" fillId="0" borderId="36" applyNumberFormat="0" applyFill="0" applyAlignment="0" applyProtection="0"/>
    <xf numFmtId="0" fontId="63" fillId="0" borderId="36" applyNumberFormat="0" applyFill="0" applyAlignment="0" applyProtection="0"/>
    <xf numFmtId="0" fontId="106" fillId="0" borderId="36" applyNumberFormat="0" applyFill="0" applyAlignment="0" applyProtection="0"/>
    <xf numFmtId="0" fontId="38" fillId="0" borderId="35" applyNumberFormat="0" applyFill="0" applyAlignment="0" applyProtection="0"/>
    <xf numFmtId="0" fontId="106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38" fillId="0" borderId="35" applyNumberFormat="0" applyFill="0" applyAlignment="0" applyProtection="0"/>
    <xf numFmtId="0" fontId="124" fillId="0" borderId="37" applyNumberFormat="0" applyFill="0" applyAlignment="0" applyProtection="0"/>
    <xf numFmtId="37" fontId="0" fillId="0" borderId="0">
      <alignment/>
      <protection/>
    </xf>
    <xf numFmtId="0" fontId="2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5" fillId="0" borderId="0" applyNumberFormat="0" applyFill="0" applyBorder="0" applyAlignment="0" applyProtection="0"/>
  </cellStyleXfs>
  <cellXfs count="413">
    <xf numFmtId="0" fontId="0" fillId="0" borderId="0" xfId="0"/>
    <xf numFmtId="0" fontId="29" fillId="0" borderId="0" xfId="0" applyFont="1" applyFill="1" applyBorder="1"/>
    <xf numFmtId="165" fontId="29" fillId="0" borderId="0" xfId="0" applyNumberFormat="1" applyFont="1" applyFill="1" applyBorder="1"/>
    <xf numFmtId="0" fontId="30" fillId="0" borderId="0" xfId="0" applyFont="1" applyFill="1" applyBorder="1"/>
    <xf numFmtId="165" fontId="2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3" fillId="0" borderId="0" xfId="0" applyFont="1" applyFill="1"/>
    <xf numFmtId="0" fontId="23" fillId="0" borderId="0" xfId="0" applyFont="1" applyFill="1" applyBorder="1"/>
    <xf numFmtId="164" fontId="0" fillId="0" borderId="0" xfId="18" applyNumberFormat="1" applyFont="1"/>
    <xf numFmtId="0" fontId="0" fillId="0" borderId="0" xfId="0" applyFill="1"/>
    <xf numFmtId="9" fontId="0" fillId="0" borderId="0" xfId="0" applyNumberFormat="1"/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18" applyNumberFormat="1" applyFont="1" applyBorder="1"/>
    <xf numFmtId="164" fontId="0" fillId="0" borderId="0" xfId="0" applyNumberFormat="1" applyFont="1" applyBorder="1" applyAlignment="1">
      <alignment horizontal="center"/>
    </xf>
    <xf numFmtId="164" fontId="43" fillId="0" borderId="0" xfId="18" applyNumberFormat="1" applyFont="1"/>
    <xf numFmtId="164" fontId="43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10" fontId="0" fillId="0" borderId="0" xfId="15" applyNumberFormat="1" applyFont="1" applyAlignment="1">
      <alignment horizontal="right"/>
    </xf>
    <xf numFmtId="10" fontId="0" fillId="0" borderId="0" xfId="15" applyNumberFormat="1" applyFont="1"/>
    <xf numFmtId="164" fontId="0" fillId="0" borderId="0" xfId="18" applyNumberFormat="1" applyFill="1" applyBorder="1"/>
    <xf numFmtId="166" fontId="0" fillId="0" borderId="0" xfId="15" applyNumberFormat="1" applyFont="1"/>
    <xf numFmtId="164" fontId="0" fillId="0" borderId="0" xfId="18" applyNumberFormat="1" applyFont="1" applyFill="1"/>
    <xf numFmtId="43" fontId="0" fillId="0" borderId="0" xfId="0" applyNumberFormat="1"/>
    <xf numFmtId="0" fontId="33" fillId="0" borderId="0" xfId="0" applyFont="1"/>
    <xf numFmtId="37" fontId="0" fillId="0" borderId="0" xfId="0" applyNumberFormat="1"/>
    <xf numFmtId="37" fontId="44" fillId="0" borderId="0" xfId="0" applyNumberFormat="1" applyFont="1"/>
    <xf numFmtId="167" fontId="0" fillId="0" borderId="0" xfId="15" applyNumberFormat="1"/>
    <xf numFmtId="37" fontId="0" fillId="0" borderId="0" xfId="0" applyNumberFormat="1" applyFill="1"/>
    <xf numFmtId="37" fontId="0" fillId="0" borderId="0" xfId="0" applyNumberFormat="1" applyFont="1"/>
    <xf numFmtId="166" fontId="0" fillId="0" borderId="0" xfId="15" applyNumberFormat="1" applyFont="1"/>
    <xf numFmtId="37" fontId="33" fillId="0" borderId="0" xfId="0" applyNumberFormat="1" applyFont="1" applyAlignment="1" quotePrefix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7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Font="1"/>
    <xf numFmtId="164" fontId="34" fillId="0" borderId="0" xfId="18" applyNumberFormat="1" applyFont="1" applyAlignment="1">
      <alignment vertical="center"/>
    </xf>
    <xf numFmtId="164" fontId="32" fillId="0" borderId="0" xfId="18" applyNumberFormat="1" applyFont="1" applyAlignment="1">
      <alignment horizontal="center" vertical="center"/>
    </xf>
    <xf numFmtId="164" fontId="0" fillId="0" borderId="0" xfId="18" applyNumberFormat="1"/>
    <xf numFmtId="37" fontId="0" fillId="0" borderId="0" xfId="18" applyNumberFormat="1"/>
    <xf numFmtId="0" fontId="0" fillId="0" borderId="0" xfId="0" applyAlignment="1" quotePrefix="1">
      <alignment horizontal="left"/>
    </xf>
    <xf numFmtId="0" fontId="45" fillId="0" borderId="0" xfId="0" applyFont="1" applyFill="1"/>
    <xf numFmtId="37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6" fontId="0" fillId="0" borderId="0" xfId="0" applyNumberFormat="1"/>
    <xf numFmtId="0" fontId="33" fillId="0" borderId="0" xfId="0" applyFont="1"/>
    <xf numFmtId="0" fontId="12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3" fillId="0" borderId="0" xfId="0" applyFont="1" applyAlignment="1" applyProtection="1">
      <alignment horizontal="left"/>
      <protection/>
    </xf>
    <xf numFmtId="14" fontId="33" fillId="0" borderId="0" xfId="0" applyNumberFormat="1" applyFont="1" applyAlignment="1">
      <alignment horizontal="left"/>
    </xf>
    <xf numFmtId="3" fontId="127" fillId="0" borderId="0" xfId="0" applyNumberFormat="1" applyFont="1"/>
    <xf numFmtId="3" fontId="0" fillId="0" borderId="0" xfId="0" applyNumberFormat="1" applyFont="1" applyAlignment="1">
      <alignment/>
    </xf>
    <xf numFmtId="3" fontId="33" fillId="0" borderId="0" xfId="0" applyNumberFormat="1" applyFont="1"/>
    <xf numFmtId="3" fontId="33" fillId="0" borderId="0" xfId="0" applyNumberFormat="1" applyFont="1" applyAlignment="1">
      <alignment horizontal="right"/>
    </xf>
    <xf numFmtId="1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0" fillId="0" borderId="0" xfId="0" applyNumberFormat="1" applyAlignment="1" quotePrefix="1">
      <alignment horizontal="left"/>
    </xf>
    <xf numFmtId="3" fontId="44" fillId="0" borderId="0" xfId="0" applyNumberFormat="1" applyFont="1"/>
    <xf numFmtId="3" fontId="33" fillId="0" borderId="0" xfId="0" applyNumberFormat="1" applyFont="1"/>
    <xf numFmtId="1" fontId="33" fillId="0" borderId="0" xfId="0" applyNumberFormat="1" applyFont="1" applyAlignment="1">
      <alignment horizontal="left"/>
    </xf>
    <xf numFmtId="3" fontId="0" fillId="0" borderId="0" xfId="0" applyNumberFormat="1" applyFont="1"/>
    <xf numFmtId="3" fontId="0" fillId="0" borderId="0" xfId="0" applyNumberFormat="1" applyBorder="1"/>
    <xf numFmtId="38" fontId="0" fillId="0" borderId="0" xfId="0" applyNumberFormat="1"/>
    <xf numFmtId="3" fontId="126" fillId="0" borderId="0" xfId="0" applyNumberFormat="1" applyFont="1" applyAlignment="1" applyProtection="1">
      <alignment horizontal="center"/>
      <protection/>
    </xf>
    <xf numFmtId="3" fontId="126" fillId="0" borderId="0" xfId="0" applyNumberFormat="1" applyFont="1"/>
    <xf numFmtId="3" fontId="0" fillId="0" borderId="0" xfId="0" applyNumberFormat="1" applyProtection="1">
      <protection/>
    </xf>
    <xf numFmtId="3" fontId="0" fillId="0" borderId="0" xfId="0" applyNumberFormat="1" applyAlignment="1">
      <alignment horizontal="center"/>
    </xf>
    <xf numFmtId="3" fontId="0" fillId="0" borderId="0" xfId="0" applyNumberFormat="1" quotePrefix="1"/>
    <xf numFmtId="0" fontId="31" fillId="0" borderId="0" xfId="0" applyFont="1" applyFill="1" applyAlignment="1">
      <alignment/>
    </xf>
    <xf numFmtId="0" fontId="24" fillId="0" borderId="0" xfId="0" applyFont="1" applyFill="1"/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25" fillId="0" borderId="0" xfId="15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38" xfId="0" applyFont="1" applyFill="1" applyBorder="1"/>
    <xf numFmtId="1" fontId="26" fillId="0" borderId="0" xfId="0" applyNumberFormat="1" applyFont="1" applyFill="1" applyBorder="1" applyAlignment="1">
      <alignment horizontal="center"/>
    </xf>
    <xf numFmtId="0" fontId="27" fillId="0" borderId="39" xfId="0" applyFont="1" applyFill="1" applyBorder="1"/>
    <xf numFmtId="0" fontId="28" fillId="0" borderId="40" xfId="0" applyFont="1" applyFill="1" applyBorder="1"/>
    <xf numFmtId="0" fontId="29" fillId="0" borderId="40" xfId="0" applyFont="1" applyFill="1" applyBorder="1"/>
    <xf numFmtId="0" fontId="28" fillId="0" borderId="0" xfId="0" applyFont="1" applyFill="1" applyBorder="1"/>
    <xf numFmtId="164" fontId="29" fillId="0" borderId="0" xfId="18" applyNumberFormat="1" applyFont="1" applyFill="1" applyBorder="1"/>
    <xf numFmtId="164" fontId="27" fillId="0" borderId="38" xfId="18" applyNumberFormat="1" applyFont="1" applyFill="1" applyBorder="1"/>
    <xf numFmtId="164" fontId="28" fillId="0" borderId="0" xfId="18" applyNumberFormat="1" applyFont="1" applyFill="1" applyBorder="1"/>
    <xf numFmtId="164" fontId="29" fillId="0" borderId="0" xfId="18" applyNumberFormat="1" applyFont="1" applyFill="1" applyBorder="1" applyAlignment="1">
      <alignment horizontal="left"/>
    </xf>
    <xf numFmtId="165" fontId="22" fillId="0" borderId="0" xfId="0" applyNumberFormat="1" applyFont="1" applyFill="1"/>
    <xf numFmtId="0" fontId="22" fillId="0" borderId="0" xfId="0" applyFont="1" applyFill="1"/>
    <xf numFmtId="0" fontId="27" fillId="0" borderId="0" xfId="0" applyFont="1" applyFill="1" applyBorder="1"/>
    <xf numFmtId="0" fontId="26" fillId="0" borderId="0" xfId="0" applyFont="1" applyFill="1" applyBorder="1"/>
    <xf numFmtId="165" fontId="26" fillId="0" borderId="0" xfId="0" applyNumberFormat="1" applyFont="1" applyFill="1" applyBorder="1"/>
    <xf numFmtId="0" fontId="33" fillId="0" borderId="0" xfId="0" applyFont="1" applyAlignment="1">
      <alignment horizontal="center"/>
    </xf>
    <xf numFmtId="9" fontId="0" fillId="0" borderId="0" xfId="15" applyFont="1"/>
    <xf numFmtId="164" fontId="33" fillId="0" borderId="0" xfId="18" applyNumberFormat="1" applyFont="1"/>
    <xf numFmtId="0" fontId="0" fillId="0" borderId="0" xfId="0" applyBorder="1"/>
    <xf numFmtId="0" fontId="33" fillId="0" borderId="0" xfId="0" applyFont="1" applyAlignment="1">
      <alignment/>
    </xf>
    <xf numFmtId="37" fontId="0" fillId="0" borderId="0" xfId="0" applyNumberFormat="1" applyFont="1"/>
    <xf numFmtId="164" fontId="0" fillId="0" borderId="0" xfId="358" applyNumberFormat="1"/>
    <xf numFmtId="164" fontId="0" fillId="0" borderId="0" xfId="358" applyNumberFormat="1" applyFont="1"/>
    <xf numFmtId="10" fontId="0" fillId="0" borderId="0" xfId="1127" applyNumberFormat="1"/>
    <xf numFmtId="164" fontId="33" fillId="0" borderId="0" xfId="358" applyNumberFormat="1" applyFont="1"/>
    <xf numFmtId="37" fontId="0" fillId="0" borderId="0" xfId="358" applyNumberFormat="1"/>
    <xf numFmtId="37" fontId="33" fillId="0" borderId="0" xfId="358" applyNumberFormat="1" applyFont="1"/>
    <xf numFmtId="0" fontId="33" fillId="0" borderId="0" xfId="0" applyFont="1" applyAlignment="1">
      <alignment horizontal="center"/>
    </xf>
    <xf numFmtId="0" fontId="0" fillId="65" borderId="0" xfId="0" applyFill="1"/>
    <xf numFmtId="164" fontId="0" fillId="0" borderId="0" xfId="18" applyNumberFormat="1" applyFont="1"/>
    <xf numFmtId="37" fontId="0" fillId="0" borderId="0" xfId="18" applyNumberFormat="1" applyFont="1"/>
    <xf numFmtId="10" fontId="0" fillId="0" borderId="0" xfId="1127" applyNumberFormat="1" applyFont="1"/>
    <xf numFmtId="37" fontId="0" fillId="0" borderId="0" xfId="358" applyNumberFormat="1" applyFont="1"/>
    <xf numFmtId="0" fontId="0" fillId="0" borderId="0" xfId="0" applyFont="1" applyAlignment="1" quotePrefix="1">
      <alignment horizontal="left"/>
    </xf>
    <xf numFmtId="0" fontId="32" fillId="0" borderId="0" xfId="18" applyNumberFormat="1" applyFont="1" applyAlignment="1">
      <alignment horizontal="center" vertical="center"/>
    </xf>
    <xf numFmtId="164" fontId="26" fillId="0" borderId="0" xfId="18" applyNumberFormat="1" applyFont="1" applyFill="1" applyBorder="1"/>
    <xf numFmtId="164" fontId="0" fillId="0" borderId="0" xfId="18" applyNumberFormat="1" applyFont="1" applyAlignment="1">
      <alignment horizontal="right"/>
    </xf>
    <xf numFmtId="0" fontId="33" fillId="0" borderId="0" xfId="0" applyFont="1" applyAlignment="1">
      <alignment horizontal="center"/>
    </xf>
    <xf numFmtId="164" fontId="0" fillId="0" borderId="0" xfId="358" applyNumberFormat="1" applyFill="1"/>
    <xf numFmtId="0" fontId="0" fillId="0" borderId="0" xfId="0" applyFill="1" applyAlignment="1">
      <alignment horizontal="left"/>
    </xf>
    <xf numFmtId="164" fontId="0" fillId="0" borderId="0" xfId="18" applyNumberFormat="1" applyFill="1"/>
    <xf numFmtId="0" fontId="33" fillId="0" borderId="0" xfId="0" applyFont="1" applyFill="1"/>
    <xf numFmtId="164" fontId="33" fillId="0" borderId="0" xfId="18" applyNumberFormat="1" applyFont="1" applyFill="1"/>
    <xf numFmtId="0" fontId="34" fillId="0" borderId="0" xfId="0" applyFont="1"/>
    <xf numFmtId="185" fontId="0" fillId="0" borderId="0" xfId="0" applyNumberFormat="1"/>
    <xf numFmtId="185" fontId="0" fillId="0" borderId="0" xfId="18" applyNumberFormat="1" applyFont="1"/>
    <xf numFmtId="0" fontId="128" fillId="0" borderId="0" xfId="0" applyFont="1" applyFill="1"/>
    <xf numFmtId="188" fontId="128" fillId="0" borderId="0" xfId="0" applyNumberFormat="1" applyFont="1" applyFill="1" applyAlignment="1" applyProtection="1">
      <alignment vertical="top" wrapText="1" readingOrder="1"/>
      <protection locked="0"/>
    </xf>
    <xf numFmtId="0" fontId="129" fillId="0" borderId="41" xfId="0" applyFont="1" applyFill="1" applyBorder="1" applyAlignment="1" applyProtection="1">
      <alignment horizontal="right" vertical="top" wrapText="1" readingOrder="1"/>
      <protection locked="0"/>
    </xf>
    <xf numFmtId="164" fontId="128" fillId="0" borderId="0" xfId="18" applyNumberFormat="1" applyFont="1" applyFill="1"/>
    <xf numFmtId="164" fontId="128" fillId="0" borderId="0" xfId="18" applyNumberFormat="1" applyFont="1" applyFill="1" applyAlignment="1" applyProtection="1">
      <alignment vertical="top" wrapText="1" readingOrder="1"/>
      <protection locked="0"/>
    </xf>
    <xf numFmtId="164" fontId="129" fillId="0" borderId="41" xfId="18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18" applyNumberFormat="1" applyFont="1"/>
    <xf numFmtId="9" fontId="0" fillId="0" borderId="0" xfId="15" applyFont="1"/>
    <xf numFmtId="0" fontId="130" fillId="66" borderId="0" xfId="0" applyFont="1" applyFill="1"/>
    <xf numFmtId="0" fontId="131" fillId="66" borderId="0" xfId="0" applyFont="1" applyFill="1"/>
    <xf numFmtId="4" fontId="0" fillId="0" borderId="0" xfId="0" applyNumberFormat="1"/>
    <xf numFmtId="0" fontId="0" fillId="66" borderId="0" xfId="0" applyFill="1"/>
    <xf numFmtId="0" fontId="124" fillId="66" borderId="0" xfId="0" applyFont="1" applyFill="1"/>
    <xf numFmtId="0" fontId="128" fillId="0" borderId="0" xfId="0" applyFont="1" applyFill="1"/>
    <xf numFmtId="0" fontId="128" fillId="0" borderId="0" xfId="0" applyFont="1" applyFill="1" applyAlignment="1">
      <alignment horizontal="right"/>
    </xf>
    <xf numFmtId="0" fontId="129" fillId="0" borderId="42" xfId="0" applyFont="1" applyFill="1" applyBorder="1" applyAlignment="1" applyProtection="1">
      <alignment horizontal="right" wrapText="1" readingOrder="1"/>
      <protection locked="0"/>
    </xf>
    <xf numFmtId="0" fontId="128" fillId="0" borderId="0" xfId="0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indent="1"/>
    </xf>
    <xf numFmtId="14" fontId="0" fillId="0" borderId="0" xfId="0" applyNumberFormat="1" applyAlignment="1">
      <alignment horizontal="right" indent="1"/>
    </xf>
    <xf numFmtId="186" fontId="34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34" fillId="0" borderId="0" xfId="18" applyNumberFormat="1" applyFont="1"/>
    <xf numFmtId="164" fontId="34" fillId="0" borderId="0" xfId="18" applyNumberFormat="1" applyFont="1" applyAlignment="1" quotePrefix="1">
      <alignment vertical="center"/>
    </xf>
    <xf numFmtId="164" fontId="132" fillId="0" borderId="0" xfId="18" applyNumberFormat="1" applyFont="1" applyFill="1" applyAlignment="1" applyProtection="1">
      <alignment horizontal="right" vertical="top" wrapText="1" readingOrder="1"/>
      <protection locked="0"/>
    </xf>
    <xf numFmtId="187" fontId="0" fillId="0" borderId="0" xfId="0" applyNumberFormat="1"/>
    <xf numFmtId="0" fontId="130" fillId="26" borderId="0" xfId="0" applyFont="1" applyFill="1" applyBorder="1"/>
    <xf numFmtId="164" fontId="0" fillId="26" borderId="0" xfId="18" applyNumberFormat="1" applyFont="1" applyFill="1" applyBorder="1"/>
    <xf numFmtId="164" fontId="0" fillId="0" borderId="0" xfId="18" applyNumberFormat="1" applyFont="1" applyBorder="1"/>
    <xf numFmtId="0" fontId="124" fillId="26" borderId="0" xfId="0" applyFont="1" applyFill="1" applyBorder="1"/>
    <xf numFmtId="164" fontId="124" fillId="26" borderId="0" xfId="18" applyNumberFormat="1" applyFont="1" applyFill="1" applyBorder="1"/>
    <xf numFmtId="0" fontId="124" fillId="66" borderId="0" xfId="0" applyFont="1" applyFill="1" applyBorder="1"/>
    <xf numFmtId="164" fontId="124" fillId="66" borderId="0" xfId="18" applyNumberFormat="1" applyFont="1" applyFill="1" applyBorder="1"/>
    <xf numFmtId="164" fontId="124" fillId="0" borderId="0" xfId="18" applyNumberFormat="1" applyFont="1" applyFill="1" applyBorder="1"/>
    <xf numFmtId="164" fontId="0" fillId="0" borderId="0" xfId="18" applyNumberFormat="1" applyFont="1" applyFill="1" applyBorder="1"/>
    <xf numFmtId="0" fontId="124" fillId="26" borderId="0" xfId="18" applyNumberFormat="1" applyFont="1" applyFill="1" applyBorder="1" applyAlignment="1">
      <alignment horizontal="center"/>
    </xf>
    <xf numFmtId="164" fontId="32" fillId="0" borderId="0" xfId="18" applyNumberFormat="1" applyFont="1" applyFill="1" applyAlignment="1">
      <alignment horizontal="center" vertical="center"/>
    </xf>
    <xf numFmtId="0" fontId="34" fillId="0" borderId="0" xfId="0" applyFont="1" applyFill="1"/>
    <xf numFmtId="164" fontId="34" fillId="0" borderId="0" xfId="18" applyNumberFormat="1" applyFont="1" applyFill="1"/>
    <xf numFmtId="164" fontId="35" fillId="0" borderId="0" xfId="18" applyNumberFormat="1" applyFont="1" applyFill="1"/>
    <xf numFmtId="164" fontId="32" fillId="0" borderId="0" xfId="18" applyNumberFormat="1" applyFont="1" applyFill="1" applyAlignment="1">
      <alignment horizontal="left" vertical="center"/>
    </xf>
    <xf numFmtId="164" fontId="32" fillId="0" borderId="0" xfId="18" applyNumberFormat="1" applyFont="1" applyAlignment="1">
      <alignment horizontal="left" vertical="center"/>
    </xf>
    <xf numFmtId="164" fontId="35" fillId="0" borderId="0" xfId="18" applyNumberFormat="1" applyFont="1"/>
    <xf numFmtId="164" fontId="34" fillId="0" borderId="0" xfId="18" applyNumberFormat="1" applyFont="1" applyFill="1" applyAlignment="1">
      <alignment horizontal="right" vertical="center"/>
    </xf>
    <xf numFmtId="0" fontId="0" fillId="0" borderId="0" xfId="0" applyNumberFormat="1"/>
    <xf numFmtId="164" fontId="124" fillId="66" borderId="0" xfId="18" applyNumberFormat="1" applyFont="1" applyFill="1"/>
    <xf numFmtId="0" fontId="0" fillId="0" borderId="0" xfId="0" applyFont="1" applyBorder="1"/>
    <xf numFmtId="0" fontId="133" fillId="0" borderId="0" xfId="0" applyFont="1"/>
    <xf numFmtId="164" fontId="134" fillId="0" borderId="0" xfId="18" applyNumberFormat="1" applyFont="1" applyAlignment="1">
      <alignment horizontal="left" vertical="center"/>
    </xf>
    <xf numFmtId="164" fontId="24" fillId="0" borderId="0" xfId="18" applyNumberFormat="1" applyFont="1" applyFill="1" applyAlignment="1">
      <alignment/>
    </xf>
    <xf numFmtId="164" fontId="25" fillId="0" borderId="0" xfId="18" applyNumberFormat="1" applyFont="1" applyFill="1" applyAlignment="1">
      <alignment/>
    </xf>
    <xf numFmtId="164" fontId="24" fillId="0" borderId="0" xfId="18" applyNumberFormat="1" applyFont="1" applyFill="1"/>
    <xf numFmtId="164" fontId="27" fillId="0" borderId="0" xfId="18" applyNumberFormat="1" applyFont="1" applyFill="1" applyBorder="1" applyAlignment="1">
      <alignment horizontal="center"/>
    </xf>
    <xf numFmtId="185" fontId="0" fillId="0" borderId="0" xfId="0" applyNumberFormat="1" applyFill="1"/>
    <xf numFmtId="185" fontId="0" fillId="0" borderId="0" xfId="18" applyNumberFormat="1" applyFont="1" applyFill="1"/>
    <xf numFmtId="189" fontId="0" fillId="0" borderId="0" xfId="18" applyNumberFormat="1" applyFont="1"/>
    <xf numFmtId="189" fontId="0" fillId="0" borderId="0" xfId="18" applyNumberFormat="1" applyFont="1" applyAlignment="1" applyProtection="1">
      <alignment horizontal="right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8" applyNumberFormat="1" applyFont="1" applyAlignment="1">
      <alignment horizontal="center" wrapText="1"/>
    </xf>
    <xf numFmtId="0" fontId="33" fillId="0" borderId="0" xfId="18" applyNumberFormat="1" applyFont="1" applyAlignment="1">
      <alignment horizontal="left"/>
    </xf>
    <xf numFmtId="0" fontId="0" fillId="0" borderId="0" xfId="0" applyFont="1" applyAlignment="1">
      <alignment horizontal="right"/>
    </xf>
    <xf numFmtId="164" fontId="33" fillId="0" borderId="0" xfId="18" applyNumberFormat="1" applyFont="1" applyAlignment="1">
      <alignment horizontal="center" wrapText="1"/>
    </xf>
    <xf numFmtId="37" fontId="136" fillId="0" borderId="0" xfId="0" applyNumberFormat="1" applyFont="1" applyAlignment="1">
      <alignment horizontal="center"/>
    </xf>
    <xf numFmtId="37" fontId="136" fillId="0" borderId="0" xfId="0" applyNumberFormat="1" applyFont="1"/>
    <xf numFmtId="37" fontId="136" fillId="0" borderId="0" xfId="0" applyNumberFormat="1" applyFont="1" applyAlignment="1">
      <alignment horizontal="centerContinuous"/>
    </xf>
    <xf numFmtId="37" fontId="137" fillId="0" borderId="0" xfId="0" applyNumberFormat="1" applyFont="1" applyAlignment="1">
      <alignment horizontal="centerContinuous"/>
    </xf>
    <xf numFmtId="37" fontId="137" fillId="0" borderId="0" xfId="0" applyNumberFormat="1" applyFont="1"/>
    <xf numFmtId="37" fontId="137" fillId="0" borderId="0" xfId="0" applyNumberFormat="1" applyFont="1" applyAlignment="1" applyProtection="1">
      <alignment horizontal="center"/>
      <protection/>
    </xf>
    <xf numFmtId="37" fontId="137" fillId="0" borderId="0" xfId="0" applyNumberFormat="1" applyFont="1" applyAlignment="1" applyProtection="1">
      <alignment horizontal="left"/>
      <protection/>
    </xf>
    <xf numFmtId="37" fontId="136" fillId="0" borderId="0" xfId="0" applyNumberFormat="1" applyFont="1" applyProtection="1">
      <protection/>
    </xf>
    <xf numFmtId="37" fontId="136" fillId="0" borderId="0" xfId="18" applyNumberFormat="1" applyFont="1" applyProtection="1">
      <protection/>
    </xf>
    <xf numFmtId="190" fontId="137" fillId="0" borderId="0" xfId="0" applyNumberFormat="1" applyFont="1" applyAlignment="1" applyProtection="1">
      <alignment horizontal="center"/>
      <protection/>
    </xf>
    <xf numFmtId="37" fontId="136" fillId="0" borderId="0" xfId="0" applyNumberFormat="1" applyFont="1" applyAlignment="1" applyProtection="1">
      <alignment/>
      <protection/>
    </xf>
    <xf numFmtId="190" fontId="136" fillId="0" borderId="0" xfId="0" applyNumberFormat="1" applyFont="1"/>
    <xf numFmtId="190" fontId="137" fillId="0" borderId="0" xfId="0" applyNumberFormat="1" applyFont="1" applyAlignment="1">
      <alignment horizontal="center"/>
    </xf>
    <xf numFmtId="190" fontId="137" fillId="0" borderId="0" xfId="0" applyNumberFormat="1" applyFont="1" applyAlignment="1" applyProtection="1">
      <alignment horizontal="left"/>
      <protection/>
    </xf>
    <xf numFmtId="37" fontId="136" fillId="0" borderId="0" xfId="0" applyNumberFormat="1" applyFont="1" applyAlignment="1" applyProtection="1">
      <alignment horizontal="left"/>
      <protection/>
    </xf>
    <xf numFmtId="164" fontId="0" fillId="0" borderId="0" xfId="18" applyNumberFormat="1" applyFont="1"/>
    <xf numFmtId="164" fontId="136" fillId="0" borderId="0" xfId="18" applyNumberFormat="1" applyFont="1" applyAlignment="1">
      <alignment readingOrder="1"/>
    </xf>
    <xf numFmtId="164" fontId="136" fillId="0" borderId="0" xfId="18" applyNumberFormat="1" applyFont="1"/>
    <xf numFmtId="164" fontId="136" fillId="0" borderId="0" xfId="18" applyNumberFormat="1" applyFont="1" applyAlignment="1">
      <alignment horizontal="centerContinuous"/>
    </xf>
    <xf numFmtId="164" fontId="137" fillId="0" borderId="0" xfId="18" applyNumberFormat="1" applyFont="1" applyAlignment="1">
      <alignment horizontal="centerContinuous"/>
    </xf>
    <xf numFmtId="164" fontId="137" fillId="0" borderId="0" xfId="18" applyNumberFormat="1" applyFont="1"/>
    <xf numFmtId="164" fontId="137" fillId="0" borderId="0" xfId="18" applyNumberFormat="1" applyFont="1" applyAlignment="1" applyProtection="1">
      <alignment horizontal="center"/>
      <protection/>
    </xf>
    <xf numFmtId="164" fontId="136" fillId="0" borderId="0" xfId="18" applyNumberFormat="1" applyFont="1" applyProtection="1">
      <protection/>
    </xf>
    <xf numFmtId="164" fontId="137" fillId="0" borderId="0" xfId="18" applyNumberFormat="1" applyFont="1" applyAlignment="1" applyProtection="1">
      <alignment horizontal="left"/>
      <protection/>
    </xf>
    <xf numFmtId="164" fontId="136" fillId="0" borderId="0" xfId="18" applyNumberFormat="1" applyFont="1" applyFill="1" applyAlignment="1" applyProtection="1">
      <alignment horizontal="right" vertical="top" wrapText="1" readingOrder="1"/>
      <protection locked="0"/>
    </xf>
    <xf numFmtId="37" fontId="136" fillId="65" borderId="0" xfId="0" applyNumberFormat="1" applyFont="1" applyFill="1" applyProtection="1">
      <protection/>
    </xf>
    <xf numFmtId="37" fontId="136" fillId="0" borderId="0" xfId="0" applyNumberFormat="1" applyFont="1" applyFill="1" applyProtection="1">
      <protection/>
    </xf>
    <xf numFmtId="3" fontId="40" fillId="0" borderId="0" xfId="18" applyNumberFormat="1" applyFont="1" applyAlignment="1" applyProtection="1">
      <alignment horizontal="left" vertical="center"/>
      <protection/>
    </xf>
    <xf numFmtId="3" fontId="40" fillId="0" borderId="0" xfId="18" applyNumberFormat="1" applyFont="1" applyAlignment="1" applyProtection="1">
      <alignment vertical="center"/>
      <protection/>
    </xf>
    <xf numFmtId="3" fontId="0" fillId="0" borderId="0" xfId="18" applyNumberFormat="1" applyFont="1"/>
    <xf numFmtId="3" fontId="0" fillId="0" borderId="0" xfId="0" applyNumberFormat="1" applyFont="1"/>
    <xf numFmtId="3" fontId="0" fillId="0" borderId="0" xfId="0" applyNumberFormat="1" applyFont="1" applyBorder="1"/>
    <xf numFmtId="164" fontId="0" fillId="0" borderId="0" xfId="18" applyNumberFormat="1" applyFont="1" applyAlignment="1">
      <alignment horizontal="right"/>
    </xf>
    <xf numFmtId="164" fontId="0" fillId="0" borderId="0" xfId="18" applyNumberFormat="1" applyFont="1" applyAlignment="1">
      <alignment horizontal="right" vertical="center"/>
    </xf>
    <xf numFmtId="164" fontId="0" fillId="0" borderId="0" xfId="18" applyNumberFormat="1" applyFont="1" applyAlignment="1">
      <alignment horizontal="right"/>
    </xf>
    <xf numFmtId="164" fontId="0" fillId="0" borderId="0" xfId="18" applyNumberFormat="1" applyFont="1" quotePrefix="1"/>
    <xf numFmtId="0" fontId="1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164" fontId="128" fillId="0" borderId="0" xfId="18" applyNumberFormat="1" applyFont="1" applyFill="1" applyAlignment="1">
      <alignment horizontal="right"/>
    </xf>
    <xf numFmtId="186" fontId="140" fillId="0" borderId="0" xfId="0" applyNumberFormat="1" applyFont="1" applyFill="1" applyAlignment="1" applyProtection="1">
      <alignment horizontal="right" vertical="top" wrapText="1" readingOrder="1"/>
      <protection locked="0"/>
    </xf>
    <xf numFmtId="0" fontId="141" fillId="65" borderId="0" xfId="0" applyFont="1" applyFill="1"/>
    <xf numFmtId="0" fontId="142" fillId="0" borderId="0" xfId="0" applyFont="1" applyFill="1"/>
    <xf numFmtId="164" fontId="0" fillId="0" borderId="0" xfId="0" applyNumberFormat="1" applyFill="1"/>
    <xf numFmtId="0" fontId="32" fillId="0" borderId="0" xfId="823" applyFont="1">
      <alignment/>
      <protection/>
    </xf>
    <xf numFmtId="0" fontId="124" fillId="0" borderId="0" xfId="0" applyFont="1"/>
    <xf numFmtId="0" fontId="33" fillId="0" borderId="30" xfId="823" applyFont="1" applyBorder="1">
      <alignment/>
      <protection/>
    </xf>
    <xf numFmtId="0" fontId="33" fillId="0" borderId="30" xfId="823" applyFont="1" applyBorder="1" applyAlignment="1">
      <alignment horizontal="center"/>
      <protection/>
    </xf>
    <xf numFmtId="0" fontId="0" fillId="0" borderId="0" xfId="0" applyFont="1" applyFill="1"/>
    <xf numFmtId="0" fontId="128" fillId="0" borderId="0" xfId="823" applyFont="1" applyFill="1">
      <alignment/>
      <protection/>
    </xf>
    <xf numFmtId="186" fontId="143" fillId="0" borderId="0" xfId="0" applyNumberFormat="1" applyFont="1" applyAlignment="1">
      <alignment/>
    </xf>
    <xf numFmtId="0" fontId="144" fillId="0" borderId="0" xfId="823" applyFont="1" applyFill="1">
      <alignment/>
      <protection/>
    </xf>
    <xf numFmtId="0" fontId="145" fillId="0" borderId="0" xfId="0" applyFont="1" applyFill="1"/>
    <xf numFmtId="0" fontId="146" fillId="0" borderId="0" xfId="823" applyFont="1" applyFill="1" applyAlignment="1">
      <alignment horizontal="right"/>
      <protection/>
    </xf>
    <xf numFmtId="0" fontId="143" fillId="0" borderId="0" xfId="0" applyFont="1" applyAlignment="1">
      <alignment/>
    </xf>
    <xf numFmtId="0" fontId="0" fillId="0" borderId="0" xfId="823" applyFont="1">
      <alignment/>
      <protection/>
    </xf>
    <xf numFmtId="0" fontId="0" fillId="0" borderId="0" xfId="823">
      <alignment/>
      <protection/>
    </xf>
    <xf numFmtId="0" fontId="147" fillId="0" borderId="0" xfId="0" applyFont="1" applyAlignment="1">
      <alignment vertical="center"/>
    </xf>
    <xf numFmtId="0" fontId="127" fillId="0" borderId="0" xfId="823" applyFont="1" applyAlignment="1">
      <alignment horizontal="right"/>
      <protection/>
    </xf>
    <xf numFmtId="0" fontId="33" fillId="0" borderId="0" xfId="823" applyFont="1">
      <alignment/>
      <protection/>
    </xf>
    <xf numFmtId="0" fontId="0" fillId="0" borderId="0" xfId="823" applyBorder="1" applyAlignment="1">
      <alignment horizontal="right"/>
      <protection/>
    </xf>
    <xf numFmtId="0" fontId="0" fillId="0" borderId="0" xfId="823" applyAlignment="1">
      <alignment horizontal="right"/>
      <protection/>
    </xf>
    <xf numFmtId="37" fontId="0" fillId="0" borderId="0" xfId="823" applyNumberFormat="1">
      <alignment/>
      <protection/>
    </xf>
    <xf numFmtId="10" fontId="0" fillId="0" borderId="0" xfId="15" applyNumberFormat="1" applyFont="1"/>
    <xf numFmtId="0" fontId="33" fillId="0" borderId="0" xfId="823" applyFont="1" applyAlignment="1">
      <alignment horizontal="left"/>
      <protection/>
    </xf>
    <xf numFmtId="186" fontId="0" fillId="0" borderId="0" xfId="0" applyNumberFormat="1"/>
    <xf numFmtId="186" fontId="148" fillId="0" borderId="0" xfId="0" applyNumberFormat="1" applyFont="1"/>
    <xf numFmtId="37" fontId="0" fillId="0" borderId="0" xfId="0" applyNumberFormat="1" applyFont="1"/>
    <xf numFmtId="37" fontId="148" fillId="0" borderId="0" xfId="0" applyNumberFormat="1" applyFont="1"/>
    <xf numFmtId="0" fontId="135" fillId="0" borderId="0" xfId="0" applyFont="1" applyFill="1" applyBorder="1"/>
    <xf numFmtId="164" fontId="29" fillId="0" borderId="0" xfId="0" applyNumberFormat="1" applyFont="1" applyFill="1" applyBorder="1" applyAlignment="1">
      <alignment horizontal="left" indent="1"/>
    </xf>
    <xf numFmtId="37" fontId="150" fillId="0" borderId="0" xfId="0" applyNumberFormat="1" applyFont="1"/>
    <xf numFmtId="0" fontId="150" fillId="0" borderId="0" xfId="0" applyFont="1"/>
    <xf numFmtId="164" fontId="150" fillId="0" borderId="0" xfId="18" applyNumberFormat="1" applyFont="1"/>
    <xf numFmtId="37" fontId="150" fillId="0" borderId="0" xfId="0" applyNumberFormat="1" applyFont="1" applyFill="1"/>
    <xf numFmtId="164" fontId="150" fillId="0" borderId="0" xfId="18" applyNumberFormat="1" applyFont="1" applyFill="1"/>
    <xf numFmtId="3" fontId="150" fillId="0" borderId="0" xfId="0" applyNumberFormat="1" applyFont="1" applyFill="1"/>
    <xf numFmtId="3" fontId="150" fillId="0" borderId="0" xfId="0" applyNumberFormat="1" applyFont="1" applyFill="1" applyBorder="1"/>
    <xf numFmtId="3" fontId="150" fillId="0" borderId="0" xfId="0" applyNumberFormat="1" applyFont="1" applyBorder="1"/>
    <xf numFmtId="3" fontId="150" fillId="0" borderId="0" xfId="0" applyNumberFormat="1" applyFont="1"/>
    <xf numFmtId="37" fontId="150" fillId="0" borderId="0" xfId="18" applyNumberFormat="1" applyFont="1"/>
    <xf numFmtId="164" fontId="151" fillId="0" borderId="0" xfId="18" applyNumberFormat="1" applyFont="1" applyFill="1"/>
    <xf numFmtId="37" fontId="137" fillId="0" borderId="0" xfId="0" applyNumberFormat="1" applyFont="1" applyFill="1" applyAlignment="1" applyProtection="1">
      <alignment horizontal="center"/>
      <protection/>
    </xf>
    <xf numFmtId="37" fontId="137" fillId="0" borderId="0" xfId="0" applyNumberFormat="1" applyFont="1" applyFill="1"/>
    <xf numFmtId="164" fontId="137" fillId="0" borderId="0" xfId="18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 quotePrefix="1">
      <alignment horizontal="center"/>
    </xf>
    <xf numFmtId="3" fontId="10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 quotePrefix="1">
      <alignment horizontal="center"/>
    </xf>
    <xf numFmtId="37" fontId="137" fillId="0" borderId="0" xfId="0" applyNumberFormat="1" applyFont="1" applyAlignment="1" applyProtection="1">
      <alignment horizontal="center"/>
      <protection/>
    </xf>
    <xf numFmtId="0" fontId="137" fillId="0" borderId="0" xfId="0" applyFont="1" applyAlignment="1">
      <alignment horizontal="center"/>
    </xf>
    <xf numFmtId="0" fontId="136" fillId="0" borderId="0" xfId="0" applyFont="1"/>
    <xf numFmtId="37" fontId="137" fillId="0" borderId="0" xfId="0" applyNumberFormat="1" applyFont="1" applyAlignment="1">
      <alignment horizontal="left"/>
    </xf>
    <xf numFmtId="37" fontId="137" fillId="0" borderId="0" xfId="0" applyNumberFormat="1" applyFont="1" applyAlignment="1">
      <alignment horizontal="center"/>
    </xf>
    <xf numFmtId="0" fontId="136" fillId="0" borderId="0" xfId="0" applyFont="1" applyAlignment="1">
      <alignment horizontal="center"/>
    </xf>
    <xf numFmtId="0" fontId="136" fillId="0" borderId="0" xfId="0" applyFont="1" applyFill="1"/>
    <xf numFmtId="37" fontId="136" fillId="0" borderId="0" xfId="0" applyNumberFormat="1" applyFont="1" applyFill="1"/>
    <xf numFmtId="0" fontId="136" fillId="0" borderId="0" xfId="0" applyFont="1" applyAlignment="1">
      <alignment horizontal="right"/>
    </xf>
    <xf numFmtId="37" fontId="136" fillId="0" borderId="0" xfId="0" applyNumberFormat="1" applyFont="1" applyAlignment="1">
      <alignment/>
    </xf>
    <xf numFmtId="0" fontId="137" fillId="0" borderId="0" xfId="0" applyFont="1" applyAlignment="1">
      <alignment/>
    </xf>
    <xf numFmtId="0" fontId="137" fillId="0" borderId="0" xfId="0" applyFont="1"/>
    <xf numFmtId="39" fontId="136" fillId="0" borderId="0" xfId="0" applyNumberFormat="1" applyFont="1"/>
    <xf numFmtId="3" fontId="136" fillId="0" borderId="0" xfId="0" applyNumberFormat="1" applyFont="1"/>
    <xf numFmtId="37" fontId="136" fillId="0" borderId="0" xfId="0" applyNumberFormat="1" applyFont="1" applyAlignment="1">
      <alignment horizontal="right"/>
    </xf>
    <xf numFmtId="164" fontId="136" fillId="0" borderId="0" xfId="18" applyNumberFormat="1" applyFont="1" applyFill="1" applyAlignment="1">
      <alignment readingOrder="1"/>
    </xf>
    <xf numFmtId="164" fontId="136" fillId="0" borderId="0" xfId="18" applyNumberFormat="1" applyFont="1" applyFill="1" applyProtection="1">
      <protection/>
    </xf>
    <xf numFmtId="191" fontId="42" fillId="0" borderId="0" xfId="16" applyNumberFormat="1" applyFont="1" applyFill="1" applyAlignment="1">
      <alignment horizontal="right"/>
    </xf>
    <xf numFmtId="191" fontId="42" fillId="0" borderId="0" xfId="16" applyNumberFormat="1" applyFont="1" applyAlignment="1">
      <alignment horizontal="right"/>
    </xf>
    <xf numFmtId="164" fontId="152" fillId="0" borderId="0" xfId="18" applyNumberFormat="1" applyFont="1" applyFill="1" applyAlignment="1">
      <alignment horizontal="right"/>
    </xf>
    <xf numFmtId="164" fontId="152" fillId="0" borderId="0" xfId="18" applyNumberFormat="1" applyFont="1" applyAlignment="1">
      <alignment horizontal="right"/>
    </xf>
    <xf numFmtId="164" fontId="0" fillId="65" borderId="0" xfId="18" applyNumberFormat="1" applyFont="1" applyFill="1"/>
    <xf numFmtId="0" fontId="0" fillId="67" borderId="0" xfId="0" applyFill="1"/>
    <xf numFmtId="164" fontId="0" fillId="67" borderId="0" xfId="18" applyNumberFormat="1" applyFont="1" applyFill="1" applyAlignment="1">
      <alignment horizontal="right"/>
    </xf>
    <xf numFmtId="164" fontId="0" fillId="67" borderId="0" xfId="358" applyNumberFormat="1" applyFill="1"/>
    <xf numFmtId="0" fontId="0" fillId="67" borderId="0" xfId="0" applyFont="1" applyFill="1"/>
    <xf numFmtId="0" fontId="0" fillId="67" borderId="0" xfId="0" applyFill="1" applyAlignment="1" quotePrefix="1">
      <alignment horizontal="left"/>
    </xf>
    <xf numFmtId="37" fontId="0" fillId="67" borderId="0" xfId="0" applyNumberFormat="1" applyFill="1"/>
    <xf numFmtId="164" fontId="0" fillId="67" borderId="0" xfId="358" applyNumberFormat="1" applyFont="1" applyFill="1"/>
    <xf numFmtId="0" fontId="0" fillId="67" borderId="0" xfId="0" applyFont="1" applyFill="1" applyAlignment="1" quotePrefix="1">
      <alignment horizontal="left"/>
    </xf>
    <xf numFmtId="37" fontId="0" fillId="67" borderId="0" xfId="0" applyNumberFormat="1" applyFont="1" applyFill="1"/>
    <xf numFmtId="37" fontId="141" fillId="0" borderId="0" xfId="0" applyNumberFormat="1" applyFont="1"/>
    <xf numFmtId="37" fontId="0" fillId="0" borderId="0" xfId="0" applyNumberFormat="1" applyFill="1" applyAlignment="1" quotePrefix="1">
      <alignment horizontal="right"/>
    </xf>
    <xf numFmtId="164" fontId="0" fillId="0" borderId="0" xfId="0" applyNumberFormat="1" applyFont="1" applyFill="1"/>
    <xf numFmtId="0" fontId="156" fillId="0" borderId="0" xfId="0" applyFont="1"/>
    <xf numFmtId="164" fontId="0" fillId="0" borderId="34" xfId="18" applyNumberFormat="1" applyFont="1" applyBorder="1"/>
    <xf numFmtId="186" fontId="0" fillId="0" borderId="0" xfId="0" applyNumberFormat="1" applyFont="1" applyFill="1"/>
    <xf numFmtId="186" fontId="143" fillId="65" borderId="0" xfId="0" applyNumberFormat="1" applyFont="1" applyFill="1" applyAlignment="1">
      <alignment/>
    </xf>
    <xf numFmtId="186" fontId="143" fillId="68" borderId="0" xfId="0" applyNumberFormat="1" applyFont="1" applyFill="1" applyAlignment="1">
      <alignment/>
    </xf>
    <xf numFmtId="0" fontId="0" fillId="65" borderId="0" xfId="0" applyFont="1" applyFill="1"/>
    <xf numFmtId="43" fontId="0" fillId="0" borderId="0" xfId="18" applyFont="1"/>
    <xf numFmtId="43" fontId="0" fillId="0" borderId="0" xfId="0" applyNumberFormat="1" applyFont="1" applyFill="1"/>
    <xf numFmtId="164" fontId="0" fillId="0" borderId="0" xfId="0" applyNumberFormat="1" applyFont="1"/>
    <xf numFmtId="164" fontId="0" fillId="0" borderId="34" xfId="0" applyNumberFormat="1" applyBorder="1"/>
    <xf numFmtId="186" fontId="153" fillId="0" borderId="0" xfId="0" applyNumberFormat="1" applyFont="1"/>
    <xf numFmtId="0" fontId="134" fillId="0" borderId="0" xfId="0" applyFont="1" applyAlignment="1">
      <alignment horizontal="center"/>
    </xf>
    <xf numFmtId="186" fontId="124" fillId="0" borderId="0" xfId="0" applyNumberFormat="1" applyFont="1"/>
    <xf numFmtId="37" fontId="0" fillId="0" borderId="34" xfId="0" applyNumberFormat="1" applyBorder="1"/>
    <xf numFmtId="37" fontId="0" fillId="0" borderId="34" xfId="0" applyNumberFormat="1" applyFont="1" applyBorder="1"/>
    <xf numFmtId="37" fontId="1" fillId="0" borderId="34" xfId="0" applyNumberFormat="1" applyFont="1" applyBorder="1"/>
    <xf numFmtId="164" fontId="32" fillId="0" borderId="0" xfId="18" applyNumberFormat="1" applyFont="1" applyAlignment="1" quotePrefix="1">
      <alignment vertical="center"/>
    </xf>
    <xf numFmtId="164" fontId="32" fillId="0" borderId="0" xfId="18" applyNumberFormat="1" applyFont="1"/>
    <xf numFmtId="164" fontId="157" fillId="0" borderId="0" xfId="18" applyNumberFormat="1" applyFont="1"/>
    <xf numFmtId="164" fontId="157" fillId="0" borderId="0" xfId="18" applyNumberFormat="1" applyFont="1" applyFill="1"/>
    <xf numFmtId="164" fontId="158" fillId="0" borderId="0" xfId="18" applyNumberFormat="1" applyFont="1" applyFill="1" applyAlignment="1">
      <alignment horizontal="left" vertical="center"/>
    </xf>
    <xf numFmtId="164" fontId="158" fillId="0" borderId="0" xfId="18" applyNumberFormat="1" applyFont="1" applyFill="1" applyAlignment="1">
      <alignment horizontal="center" vertical="center"/>
    </xf>
    <xf numFmtId="164" fontId="159" fillId="0" borderId="0" xfId="18" applyNumberFormat="1" applyFont="1" applyFill="1" applyAlignment="1" applyProtection="1">
      <alignment horizontal="right" vertical="top" wrapText="1" readingOrder="1"/>
      <protection locked="0"/>
    </xf>
    <xf numFmtId="186" fontId="159" fillId="0" borderId="0" xfId="0" applyNumberFormat="1" applyFont="1" applyFill="1" applyAlignment="1" applyProtection="1">
      <alignment horizontal="right" vertical="top" wrapText="1" readingOrder="1"/>
      <protection locked="0"/>
    </xf>
    <xf numFmtId="0" fontId="158" fillId="0" borderId="0" xfId="0" applyFont="1" applyFill="1"/>
    <xf numFmtId="0" fontId="0" fillId="65" borderId="0" xfId="0" applyFill="1" applyBorder="1"/>
    <xf numFmtId="0" fontId="0" fillId="65" borderId="34" xfId="0" applyFont="1" applyFill="1" applyBorder="1"/>
    <xf numFmtId="0" fontId="124" fillId="66" borderId="34" xfId="0" applyFont="1" applyFill="1" applyBorder="1"/>
    <xf numFmtId="186" fontId="160" fillId="0" borderId="0" xfId="0" applyNumberFormat="1" applyFont="1" applyFill="1" applyBorder="1" applyAlignment="1">
      <alignment horizontal="right" vertical="top" wrapText="1" readingOrder="1"/>
    </xf>
    <xf numFmtId="186" fontId="161" fillId="0" borderId="0" xfId="0" applyNumberFormat="1" applyFont="1" applyFill="1" applyBorder="1" applyAlignment="1">
      <alignment horizontal="right" vertical="top" wrapText="1" readingOrder="1"/>
    </xf>
    <xf numFmtId="164" fontId="0" fillId="0" borderId="0" xfId="18" applyNumberFormat="1" applyFont="1" applyFill="1"/>
    <xf numFmtId="186" fontId="0" fillId="0" borderId="0" xfId="0" applyNumberFormat="1" applyFill="1"/>
    <xf numFmtId="0" fontId="0" fillId="0" borderId="0" xfId="0" applyFont="1" applyFill="1"/>
    <xf numFmtId="10" fontId="0" fillId="0" borderId="0" xfId="0" applyNumberFormat="1" applyFill="1"/>
    <xf numFmtId="0" fontId="141" fillId="0" borderId="0" xfId="0" applyFont="1" applyFill="1"/>
    <xf numFmtId="164" fontId="124" fillId="65" borderId="0" xfId="18" applyNumberFormat="1" applyFont="1" applyFill="1"/>
    <xf numFmtId="164" fontId="0" fillId="65" borderId="0" xfId="0" applyNumberFormat="1" applyFill="1"/>
    <xf numFmtId="4" fontId="0" fillId="65" borderId="0" xfId="0" applyNumberFormat="1" applyFill="1"/>
    <xf numFmtId="4" fontId="0" fillId="66" borderId="0" xfId="0" applyNumberFormat="1" applyFill="1"/>
    <xf numFmtId="10" fontId="0" fillId="66" borderId="0" xfId="15" applyNumberFormat="1" applyFont="1" applyFill="1"/>
    <xf numFmtId="0" fontId="154" fillId="0" borderId="0" xfId="0" applyFont="1" applyFill="1" applyBorder="1"/>
    <xf numFmtId="0" fontId="149" fillId="0" borderId="0" xfId="0" applyFont="1" applyFill="1" applyBorder="1"/>
    <xf numFmtId="0" fontId="149" fillId="69" borderId="0" xfId="0" applyFont="1" applyFill="1" applyBorder="1"/>
    <xf numFmtId="164" fontId="149" fillId="0" borderId="0" xfId="18" applyNumberFormat="1" applyFont="1" applyFill="1" applyBorder="1"/>
    <xf numFmtId="164" fontId="149" fillId="0" borderId="0" xfId="18" applyNumberFormat="1" applyFont="1" applyFill="1" applyBorder="1" applyAlignment="1">
      <alignment horizontal="left"/>
    </xf>
    <xf numFmtId="0" fontId="27" fillId="22" borderId="38" xfId="0" applyFont="1" applyFill="1" applyBorder="1"/>
    <xf numFmtId="0" fontId="28" fillId="22" borderId="0" xfId="0" applyFont="1" applyFill="1" applyBorder="1"/>
    <xf numFmtId="0" fontId="29" fillId="22" borderId="0" xfId="0" applyFont="1" applyFill="1" applyBorder="1"/>
    <xf numFmtId="188" fontId="162" fillId="0" borderId="0" xfId="0" applyNumberFormat="1" applyFont="1" applyFill="1" applyBorder="1" applyAlignment="1">
      <alignment vertical="top" wrapText="1" readingOrder="1"/>
    </xf>
    <xf numFmtId="0" fontId="33" fillId="0" borderId="0" xfId="0" applyFont="1" applyFill="1" applyBorder="1" applyAlignment="1">
      <alignment horizontal="center"/>
    </xf>
    <xf numFmtId="186" fontId="161" fillId="70" borderId="0" xfId="0" applyNumberFormat="1" applyFont="1" applyFill="1" applyBorder="1" applyAlignment="1">
      <alignment horizontal="right" vertical="top" wrapText="1" readingOrder="1"/>
    </xf>
    <xf numFmtId="186" fontId="161" fillId="71" borderId="0" xfId="0" applyNumberFormat="1" applyFont="1" applyFill="1" applyBorder="1" applyAlignment="1">
      <alignment horizontal="right" vertical="top" wrapText="1" readingOrder="1"/>
    </xf>
    <xf numFmtId="166" fontId="0" fillId="0" borderId="0" xfId="15" applyNumberFormat="1" applyFont="1" applyFill="1"/>
    <xf numFmtId="186" fontId="163" fillId="70" borderId="0" xfId="0" applyNumberFormat="1" applyFont="1" applyFill="1" applyBorder="1" applyAlignment="1">
      <alignment horizontal="right" vertical="top" wrapText="1" readingOrder="1"/>
    </xf>
    <xf numFmtId="37" fontId="150" fillId="0" borderId="0" xfId="18" applyNumberFormat="1" applyFont="1" applyFill="1"/>
    <xf numFmtId="0" fontId="133" fillId="0" borderId="0" xfId="0" applyFont="1" applyFill="1"/>
    <xf numFmtId="37" fontId="164" fillId="0" borderId="0" xfId="0" applyNumberFormat="1" applyFont="1"/>
    <xf numFmtId="37" fontId="164" fillId="0" borderId="0" xfId="0" applyNumberFormat="1" applyFont="1" applyFill="1"/>
    <xf numFmtId="37" fontId="136" fillId="0" borderId="0" xfId="0" applyNumberFormat="1" applyFont="1" applyFill="1" applyAlignment="1">
      <alignment/>
    </xf>
    <xf numFmtId="164" fontId="136" fillId="0" borderId="0" xfId="18" applyNumberFormat="1" applyFont="1" applyFill="1"/>
    <xf numFmtId="164" fontId="0" fillId="0" borderId="0" xfId="18" applyNumberFormat="1" applyFont="1" applyFill="1"/>
    <xf numFmtId="0" fontId="0" fillId="0" borderId="0" xfId="0" applyFont="1" applyFill="1" applyAlignment="1">
      <alignment horizontal="right"/>
    </xf>
    <xf numFmtId="164" fontId="0" fillId="0" borderId="0" xfId="18" applyNumberFormat="1" applyFont="1" applyFill="1" applyAlignment="1">
      <alignment horizontal="right"/>
    </xf>
    <xf numFmtId="164" fontId="141" fillId="0" borderId="0" xfId="18" applyNumberFormat="1" applyFont="1" applyFill="1"/>
    <xf numFmtId="186" fontId="160" fillId="71" borderId="0" xfId="0" applyNumberFormat="1" applyFont="1" applyFill="1" applyBorder="1" applyAlignment="1">
      <alignment horizontal="right" vertical="top" wrapText="1" readingOrder="1"/>
    </xf>
    <xf numFmtId="0" fontId="165" fillId="0" borderId="0" xfId="0" applyFont="1" applyFill="1"/>
    <xf numFmtId="188" fontId="162" fillId="71" borderId="0" xfId="0" applyNumberFormat="1" applyFont="1" applyFill="1" applyBorder="1" applyAlignment="1">
      <alignment vertical="top" wrapText="1" readingOrder="1"/>
    </xf>
    <xf numFmtId="188" fontId="162" fillId="70" borderId="0" xfId="0" applyNumberFormat="1" applyFont="1" applyFill="1" applyBorder="1" applyAlignment="1">
      <alignment vertical="top" wrapText="1" readingOrder="1"/>
    </xf>
    <xf numFmtId="188" fontId="166" fillId="0" borderId="0" xfId="0" applyNumberFormat="1" applyFont="1" applyFill="1" applyBorder="1"/>
    <xf numFmtId="186" fontId="143" fillId="0" borderId="0" xfId="0" applyNumberFormat="1" applyFont="1" applyAlignment="1" quotePrefix="1">
      <alignment/>
    </xf>
    <xf numFmtId="164" fontId="29" fillId="65" borderId="0" xfId="18" applyNumberFormat="1" applyFont="1" applyFill="1" applyBorder="1"/>
    <xf numFmtId="37" fontId="167" fillId="0" borderId="0" xfId="0" applyNumberFormat="1" applyFont="1"/>
    <xf numFmtId="192" fontId="136" fillId="0" borderId="0" xfId="0" applyNumberFormat="1" applyFont="1"/>
    <xf numFmtId="0" fontId="33" fillId="0" borderId="0" xfId="0" applyFont="1" applyAlignment="1" quotePrefix="1">
      <alignment horizontal="center"/>
    </xf>
    <xf numFmtId="0" fontId="33" fillId="0" borderId="0" xfId="0" applyFont="1" applyBorder="1" applyAlignment="1">
      <alignment horizontal="center"/>
    </xf>
    <xf numFmtId="164" fontId="168" fillId="0" borderId="0" xfId="18" applyNumberFormat="1" applyFont="1" applyFill="1" applyAlignment="1" applyProtection="1">
      <alignment horizontal="left" vertical="top" readingOrder="1"/>
      <protection locked="0"/>
    </xf>
    <xf numFmtId="1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 quotePrefix="1">
      <alignment horizontal="center"/>
    </xf>
    <xf numFmtId="3" fontId="33" fillId="0" borderId="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134" fillId="0" borderId="0" xfId="0" applyFont="1" applyFill="1" applyBorder="1" applyAlignment="1" quotePrefix="1">
      <alignment horizontal="center"/>
    </xf>
    <xf numFmtId="0" fontId="134" fillId="0" borderId="0" xfId="0" applyFont="1" applyFill="1" applyBorder="1" applyAlignment="1">
      <alignment horizontal="center"/>
    </xf>
    <xf numFmtId="3" fontId="134" fillId="0" borderId="0" xfId="0" applyNumberFormat="1" applyFont="1" applyFill="1" applyBorder="1" applyAlignment="1" quotePrefix="1">
      <alignment horizontal="center"/>
    </xf>
    <xf numFmtId="3" fontId="13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left"/>
    </xf>
    <xf numFmtId="3" fontId="69" fillId="0" borderId="0" xfId="0" applyNumberFormat="1" applyFont="1" applyBorder="1" applyProtection="1">
      <protection/>
    </xf>
    <xf numFmtId="0" fontId="150" fillId="0" borderId="0" xfId="0" applyFont="1" applyBorder="1"/>
    <xf numFmtId="0" fontId="137" fillId="0" borderId="0" xfId="0" applyFont="1" applyAlignment="1">
      <alignment horizontal="center"/>
    </xf>
    <xf numFmtId="37" fontId="137" fillId="0" borderId="0" xfId="0" applyNumberFormat="1" applyFont="1" applyAlignment="1" applyProtection="1">
      <alignment horizontal="center"/>
      <protection/>
    </xf>
    <xf numFmtId="37" fontId="137" fillId="0" borderId="0" xfId="0" applyNumberFormat="1" applyFont="1" applyAlignment="1" applyProtection="1" quotePrefix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center"/>
    </xf>
    <xf numFmtId="0" fontId="25" fillId="0" borderId="0" xfId="0" applyFont="1" applyFill="1"/>
  </cellXfs>
  <cellStyles count="14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SpaceOnly)" xfId="21"/>
    <cellStyle name="_Chelan Debt Forecast 12.19.05" xfId="22"/>
    <cellStyle name="_Comma" xfId="23"/>
    <cellStyle name="_Costs not in AURORA 06GRC" xfId="24"/>
    <cellStyle name="_Costs not in KWI3000 '06Budget" xfId="25"/>
    <cellStyle name="_Currency" xfId="26"/>
    <cellStyle name="_CurrencySpace" xfId="27"/>
    <cellStyle name="_Euro" xfId="28"/>
    <cellStyle name="_Fuel Prices 4-14" xfId="29"/>
    <cellStyle name="_Heading" xfId="30"/>
    <cellStyle name="_Highlight" xfId="31"/>
    <cellStyle name="_Multiple" xfId="32"/>
    <cellStyle name="_MultipleSpace" xfId="33"/>
    <cellStyle name="_Power Cost Value Copy 11.30.05 gas 1.09.06 AURORA at 1.10.06" xfId="34"/>
    <cellStyle name="_Recon to Darrin's 5.11.05 proforma" xfId="35"/>
    <cellStyle name="_SubHeading" xfId="36"/>
    <cellStyle name="_Table" xfId="37"/>
    <cellStyle name="_Table_QC" xfId="38"/>
    <cellStyle name="_TableHead" xfId="39"/>
    <cellStyle name="_TableHead_QC" xfId="40"/>
    <cellStyle name="_TableRowHead" xfId="41"/>
    <cellStyle name="_TableSuperHead" xfId="42"/>
    <cellStyle name="_Value Copy 11 30 05 gas 12 09 05 AURORA at 12 14 05" xfId="43"/>
    <cellStyle name="20% - Accent1" xfId="44"/>
    <cellStyle name="20% - Accent1 2" xfId="45"/>
    <cellStyle name="20% - Accent1 2 2" xfId="46"/>
    <cellStyle name="20% - Accent1 2 2 2" xfId="47"/>
    <cellStyle name="20% - Accent1 2 2 3" xfId="48"/>
    <cellStyle name="20% - Accent1 2 2 4" xfId="49"/>
    <cellStyle name="20% - Accent1 2 3" xfId="50"/>
    <cellStyle name="20% - Accent1 2 4" xfId="51"/>
    <cellStyle name="20% - Accent1 2 5" xfId="52"/>
    <cellStyle name="20% - Accent1 2_QC Sheet" xfId="53"/>
    <cellStyle name="20% - Accent1 3" xfId="54"/>
    <cellStyle name="20% - Accent1 4" xfId="55"/>
    <cellStyle name="20% - Accent2" xfId="56"/>
    <cellStyle name="20% - Accent2 2" xfId="57"/>
    <cellStyle name="20% - Accent2 2 2" xfId="58"/>
    <cellStyle name="20% - Accent2 2 2 2" xfId="59"/>
    <cellStyle name="20% - Accent2 2 2 3" xfId="60"/>
    <cellStyle name="20% - Accent2 2 2 4" xfId="61"/>
    <cellStyle name="20% - Accent2 2 3" xfId="62"/>
    <cellStyle name="20% - Accent2 2 4" xfId="63"/>
    <cellStyle name="20% - Accent2 2 5" xfId="64"/>
    <cellStyle name="20% - Accent2 2_QC Sheet" xfId="65"/>
    <cellStyle name="20% - Accent2 3" xfId="66"/>
    <cellStyle name="20% - Accent2 4" xfId="67"/>
    <cellStyle name="20% - Accent3" xfId="68"/>
    <cellStyle name="20% - Accent3 2" xfId="69"/>
    <cellStyle name="20% - Accent3 2 2" xfId="70"/>
    <cellStyle name="20% - Accent3 2 2 2" xfId="71"/>
    <cellStyle name="20% - Accent3 2 2 3" xfId="72"/>
    <cellStyle name="20% - Accent3 2 2 4" xfId="73"/>
    <cellStyle name="20% - Accent3 2 3" xfId="74"/>
    <cellStyle name="20% - Accent3 2 4" xfId="75"/>
    <cellStyle name="20% - Accent3 2 5" xfId="76"/>
    <cellStyle name="20% - Accent3 2_QC Sheet" xfId="77"/>
    <cellStyle name="20% - Accent3 3" xfId="78"/>
    <cellStyle name="20% - Accent3 4" xfId="79"/>
    <cellStyle name="20% - Accent4" xfId="80"/>
    <cellStyle name="20% - Accent4 2" xfId="81"/>
    <cellStyle name="20% - Accent4 2 2" xfId="82"/>
    <cellStyle name="20% - Accent4 2 2 2" xfId="83"/>
    <cellStyle name="20% - Accent4 2 2 3" xfId="84"/>
    <cellStyle name="20% - Accent4 2 2 4" xfId="85"/>
    <cellStyle name="20% - Accent4 2 3" xfId="86"/>
    <cellStyle name="20% - Accent4 2 4" xfId="87"/>
    <cellStyle name="20% - Accent4 2 5" xfId="88"/>
    <cellStyle name="20% - Accent4 2_QC Sheet" xfId="89"/>
    <cellStyle name="20% - Accent4 3" xfId="90"/>
    <cellStyle name="20% - Accent4 4" xfId="91"/>
    <cellStyle name="20% - Accent5" xfId="92"/>
    <cellStyle name="20% - Accent5 2" xfId="93"/>
    <cellStyle name="20% - Accent5 2 2" xfId="94"/>
    <cellStyle name="20% - Accent5 2 2 2" xfId="95"/>
    <cellStyle name="20% - Accent5 2 2 3" xfId="96"/>
    <cellStyle name="20% - Accent5 2 2 4" xfId="97"/>
    <cellStyle name="20% - Accent5 2 3" xfId="98"/>
    <cellStyle name="20% - Accent5 2 4" xfId="99"/>
    <cellStyle name="20% - Accent5 2 5" xfId="100"/>
    <cellStyle name="20% - Accent5 2_QC Sheet" xfId="101"/>
    <cellStyle name="20% - Accent5 3" xfId="102"/>
    <cellStyle name="20% - Accent5 4" xfId="103"/>
    <cellStyle name="20% - Accent6" xfId="104"/>
    <cellStyle name="20% - Accent6 2" xfId="105"/>
    <cellStyle name="20% - Accent6 2 2" xfId="106"/>
    <cellStyle name="20% - Accent6 2 2 2" xfId="107"/>
    <cellStyle name="20% - Accent6 2 2 3" xfId="108"/>
    <cellStyle name="20% - Accent6 2 2 4" xfId="109"/>
    <cellStyle name="20% - Accent6 2 3" xfId="110"/>
    <cellStyle name="20% - Accent6 2 4" xfId="111"/>
    <cellStyle name="20% - Accent6 2 5" xfId="112"/>
    <cellStyle name="20% - Accent6 2_QC Sheet" xfId="113"/>
    <cellStyle name="20% - Accent6 3" xfId="114"/>
    <cellStyle name="20% - Accent6 4" xfId="115"/>
    <cellStyle name="40% - Accent1" xfId="116"/>
    <cellStyle name="40% - Accent1 2" xfId="117"/>
    <cellStyle name="40% - Accent1 2 2" xfId="118"/>
    <cellStyle name="40% - Accent1 2 2 2" xfId="119"/>
    <cellStyle name="40% - Accent1 2 2 3" xfId="120"/>
    <cellStyle name="40% - Accent1 2 2 4" xfId="121"/>
    <cellStyle name="40% - Accent1 2 3" xfId="122"/>
    <cellStyle name="40% - Accent1 2 4" xfId="123"/>
    <cellStyle name="40% - Accent1 2 5" xfId="124"/>
    <cellStyle name="40% - Accent1 2_QC Sheet" xfId="125"/>
    <cellStyle name="40% - Accent1 3" xfId="126"/>
    <cellStyle name="40% - Accent1 4" xfId="127"/>
    <cellStyle name="40% - Accent2" xfId="128"/>
    <cellStyle name="40% - Accent2 2" xfId="129"/>
    <cellStyle name="40% - Accent2 2 2" xfId="130"/>
    <cellStyle name="40% - Accent2 2 2 2" xfId="131"/>
    <cellStyle name="40% - Accent2 2 2 3" xfId="132"/>
    <cellStyle name="40% - Accent2 2 2 4" xfId="133"/>
    <cellStyle name="40% - Accent2 2 3" xfId="134"/>
    <cellStyle name="40% - Accent2 2 4" xfId="135"/>
    <cellStyle name="40% - Accent2 2 5" xfId="136"/>
    <cellStyle name="40% - Accent2 2_QC Sheet" xfId="137"/>
    <cellStyle name="40% - Accent2 3" xfId="138"/>
    <cellStyle name="40% - Accent2 4" xfId="139"/>
    <cellStyle name="40% - Accent3" xfId="140"/>
    <cellStyle name="40% - Accent3 2" xfId="141"/>
    <cellStyle name="40% - Accent3 2 2" xfId="142"/>
    <cellStyle name="40% - Accent3 2 2 2" xfId="143"/>
    <cellStyle name="40% - Accent3 2 2 3" xfId="144"/>
    <cellStyle name="40% - Accent3 2 2 4" xfId="145"/>
    <cellStyle name="40% - Accent3 2 3" xfId="146"/>
    <cellStyle name="40% - Accent3 2 4" xfId="147"/>
    <cellStyle name="40% - Accent3 2 5" xfId="148"/>
    <cellStyle name="40% - Accent3 2_QC Sheet" xfId="149"/>
    <cellStyle name="40% - Accent3 3" xfId="150"/>
    <cellStyle name="40% - Accent3 4" xfId="151"/>
    <cellStyle name="40% - Accent4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2_QC Sheet" xfId="161"/>
    <cellStyle name="40% - Accent4 3" xfId="162"/>
    <cellStyle name="40% - Accent4 4" xfId="163"/>
    <cellStyle name="40% - Accent5" xfId="164"/>
    <cellStyle name="40% - Accent5 2" xfId="165"/>
    <cellStyle name="40% - Accent5 2 2" xfId="166"/>
    <cellStyle name="40% - Accent5 2 2 2" xfId="167"/>
    <cellStyle name="40% - Accent5 2 2 3" xfId="168"/>
    <cellStyle name="40% - Accent5 2 2 4" xfId="169"/>
    <cellStyle name="40% - Accent5 2 3" xfId="170"/>
    <cellStyle name="40% - Accent5 2 4" xfId="171"/>
    <cellStyle name="40% - Accent5 2 5" xfId="172"/>
    <cellStyle name="40% - Accent5 2_QC Sheet" xfId="173"/>
    <cellStyle name="40% - Accent5 3" xfId="174"/>
    <cellStyle name="40% - Accent5 4" xfId="175"/>
    <cellStyle name="40% - Accent6" xfId="176"/>
    <cellStyle name="40% - Accent6 2" xfId="177"/>
    <cellStyle name="40% - Accent6 2 2" xfId="178"/>
    <cellStyle name="40% - Accent6 2 2 2" xfId="179"/>
    <cellStyle name="40% - Accent6 2 2 3" xfId="180"/>
    <cellStyle name="40% - Accent6 2 2 4" xfId="181"/>
    <cellStyle name="40% - Accent6 2 3" xfId="182"/>
    <cellStyle name="40% - Accent6 2 4" xfId="183"/>
    <cellStyle name="40% - Accent6 2 5" xfId="184"/>
    <cellStyle name="40% - Accent6 2_QC Sheet" xfId="185"/>
    <cellStyle name="40% - Accent6 3" xfId="186"/>
    <cellStyle name="40% - Accent6 4" xfId="187"/>
    <cellStyle name="60% - Accent1" xfId="188"/>
    <cellStyle name="60% - Accent1 2" xfId="189"/>
    <cellStyle name="60% - Accent1 2 2" xfId="190"/>
    <cellStyle name="60% - Accent1 2 2 2" xfId="191"/>
    <cellStyle name="60% - Accent1 2 2 3" xfId="192"/>
    <cellStyle name="60% - Accent1 2 2 4" xfId="193"/>
    <cellStyle name="60% - Accent1 2 3" xfId="194"/>
    <cellStyle name="60% - Accent1 2 4" xfId="195"/>
    <cellStyle name="60% - Accent1 2_QC Sheet" xfId="196"/>
    <cellStyle name="60% - Accent1 3" xfId="197"/>
    <cellStyle name="60% - Accent1 4" xfId="198"/>
    <cellStyle name="60% - Accent2" xfId="199"/>
    <cellStyle name="60% - Accent2 2" xfId="200"/>
    <cellStyle name="60% - Accent2 2 2" xfId="201"/>
    <cellStyle name="60% - Accent2 2 2 2" xfId="202"/>
    <cellStyle name="60% - Accent2 2 2 3" xfId="203"/>
    <cellStyle name="60% - Accent2 2 2 4" xfId="204"/>
    <cellStyle name="60% - Accent2 2 3" xfId="205"/>
    <cellStyle name="60% - Accent2 2 4" xfId="206"/>
    <cellStyle name="60% - Accent2 2_QC Sheet" xfId="207"/>
    <cellStyle name="60% - Accent2 3" xfId="208"/>
    <cellStyle name="60% - Accent2 4" xfId="209"/>
    <cellStyle name="60% - Accent3" xfId="210"/>
    <cellStyle name="60% - Accent3 2" xfId="211"/>
    <cellStyle name="60% - Accent3 2 2" xfId="212"/>
    <cellStyle name="60% - Accent3 2 2 2" xfId="213"/>
    <cellStyle name="60% - Accent3 2 2 3" xfId="214"/>
    <cellStyle name="60% - Accent3 2 2 4" xfId="215"/>
    <cellStyle name="60% - Accent3 2 3" xfId="216"/>
    <cellStyle name="60% - Accent3 2 4" xfId="217"/>
    <cellStyle name="60% - Accent3 2_QC Sheet" xfId="218"/>
    <cellStyle name="60% - Accent3 3" xfId="219"/>
    <cellStyle name="60% - Accent3 4" xfId="220"/>
    <cellStyle name="60% - Accent4" xfId="221"/>
    <cellStyle name="60% - Accent4 2" xfId="222"/>
    <cellStyle name="60% - Accent4 2 2" xfId="223"/>
    <cellStyle name="60% - Accent4 2 2 2" xfId="224"/>
    <cellStyle name="60% - Accent4 2 2 3" xfId="225"/>
    <cellStyle name="60% - Accent4 2 2 4" xfId="226"/>
    <cellStyle name="60% - Accent4 2 3" xfId="227"/>
    <cellStyle name="60% - Accent4 2 4" xfId="228"/>
    <cellStyle name="60% - Accent4 2_QC Sheet" xfId="229"/>
    <cellStyle name="60% - Accent4 3" xfId="230"/>
    <cellStyle name="60% - Accent4 4" xfId="231"/>
    <cellStyle name="60% - Accent5" xfId="232"/>
    <cellStyle name="60% - Accent5 2" xfId="233"/>
    <cellStyle name="60% - Accent5 2 2" xfId="234"/>
    <cellStyle name="60% - Accent5 2 2 2" xfId="235"/>
    <cellStyle name="60% - Accent5 2 2 3" xfId="236"/>
    <cellStyle name="60% - Accent5 2 2 4" xfId="237"/>
    <cellStyle name="60% - Accent5 2 3" xfId="238"/>
    <cellStyle name="60% - Accent5 2 4" xfId="239"/>
    <cellStyle name="60% - Accent5 2_QC Sheet" xfId="240"/>
    <cellStyle name="60% - Accent5 3" xfId="241"/>
    <cellStyle name="60% - Accent5 4" xfId="242"/>
    <cellStyle name="60% - Accent6" xfId="243"/>
    <cellStyle name="60% - Accent6 2" xfId="244"/>
    <cellStyle name="60% - Accent6 2 2" xfId="245"/>
    <cellStyle name="60% - Accent6 2 2 2" xfId="246"/>
    <cellStyle name="60% - Accent6 2 2 3" xfId="247"/>
    <cellStyle name="60% - Accent6 2 2 4" xfId="248"/>
    <cellStyle name="60% - Accent6 2 3" xfId="249"/>
    <cellStyle name="60% - Accent6 2 4" xfId="250"/>
    <cellStyle name="60% - Accent6 2_QC Sheet" xfId="251"/>
    <cellStyle name="60% - Accent6 3" xfId="252"/>
    <cellStyle name="60% - Accent6 4" xfId="253"/>
    <cellStyle name="Accent1" xfId="254"/>
    <cellStyle name="Accent1 2" xfId="255"/>
    <cellStyle name="Accent1 2 2" xfId="256"/>
    <cellStyle name="Accent1 2 2 2" xfId="257"/>
    <cellStyle name="Accent1 2 2 3" xfId="258"/>
    <cellStyle name="Accent1 2 2 4" xfId="259"/>
    <cellStyle name="Accent1 2 3" xfId="260"/>
    <cellStyle name="Accent1 2 4" xfId="261"/>
    <cellStyle name="Accent1 2_QC Sheet" xfId="262"/>
    <cellStyle name="Accent1 3" xfId="263"/>
    <cellStyle name="Accent1 4" xfId="264"/>
    <cellStyle name="Accent2" xfId="265"/>
    <cellStyle name="Accent2 2" xfId="266"/>
    <cellStyle name="Accent2 2 2" xfId="267"/>
    <cellStyle name="Accent2 2 2 2" xfId="268"/>
    <cellStyle name="Accent2 2 2 3" xfId="269"/>
    <cellStyle name="Accent2 2 2 4" xfId="270"/>
    <cellStyle name="Accent2 2 3" xfId="271"/>
    <cellStyle name="Accent2 2 4" xfId="272"/>
    <cellStyle name="Accent2 2_QC Sheet" xfId="273"/>
    <cellStyle name="Accent2 3" xfId="274"/>
    <cellStyle name="Accent2 4" xfId="275"/>
    <cellStyle name="Accent3" xfId="276"/>
    <cellStyle name="Accent3 2" xfId="277"/>
    <cellStyle name="Accent3 2 2" xfId="278"/>
    <cellStyle name="Accent3 2 2 2" xfId="279"/>
    <cellStyle name="Accent3 2 2 3" xfId="280"/>
    <cellStyle name="Accent3 2 2 4" xfId="281"/>
    <cellStyle name="Accent3 2 3" xfId="282"/>
    <cellStyle name="Accent3 2 4" xfId="283"/>
    <cellStyle name="Accent3 2_QC Sheet" xfId="284"/>
    <cellStyle name="Accent3 3" xfId="285"/>
    <cellStyle name="Accent3 4" xfId="286"/>
    <cellStyle name="Accent4" xfId="287"/>
    <cellStyle name="Accent4 2" xfId="288"/>
    <cellStyle name="Accent4 2 2" xfId="289"/>
    <cellStyle name="Accent4 2 2 2" xfId="290"/>
    <cellStyle name="Accent4 2 2 3" xfId="291"/>
    <cellStyle name="Accent4 2 2 4" xfId="292"/>
    <cellStyle name="Accent4 2 3" xfId="293"/>
    <cellStyle name="Accent4 2 4" xfId="294"/>
    <cellStyle name="Accent4 2_QC Sheet" xfId="295"/>
    <cellStyle name="Accent4 3" xfId="296"/>
    <cellStyle name="Accent4 4" xfId="297"/>
    <cellStyle name="Accent5" xfId="298"/>
    <cellStyle name="Accent5 2" xfId="299"/>
    <cellStyle name="Accent5 2 2" xfId="300"/>
    <cellStyle name="Accent5 2 2 2" xfId="301"/>
    <cellStyle name="Accent5 2 2 3" xfId="302"/>
    <cellStyle name="Accent5 2 2 4" xfId="303"/>
    <cellStyle name="Accent5 2 3" xfId="304"/>
    <cellStyle name="Accent5 2 4" xfId="305"/>
    <cellStyle name="Accent5 2_QC Sheet" xfId="306"/>
    <cellStyle name="Accent5 3" xfId="307"/>
    <cellStyle name="Accent5 4" xfId="308"/>
    <cellStyle name="Accent6" xfId="309"/>
    <cellStyle name="Accent6 2" xfId="310"/>
    <cellStyle name="Accent6 2 2" xfId="311"/>
    <cellStyle name="Accent6 2 2 2" xfId="312"/>
    <cellStyle name="Accent6 2 2 3" xfId="313"/>
    <cellStyle name="Accent6 2 2 4" xfId="314"/>
    <cellStyle name="Accent6 2 3" xfId="315"/>
    <cellStyle name="Accent6 2 4" xfId="316"/>
    <cellStyle name="Accent6 2_QC Sheet" xfId="317"/>
    <cellStyle name="Accent6 3" xfId="318"/>
    <cellStyle name="Accent6 4" xfId="319"/>
    <cellStyle name="Adjustable" xfId="320"/>
    <cellStyle name="Bad" xfId="321"/>
    <cellStyle name="Bad 2" xfId="322"/>
    <cellStyle name="Bad 2 2" xfId="323"/>
    <cellStyle name="Bad 2 2 2" xfId="324"/>
    <cellStyle name="Bad 2 2 3" xfId="325"/>
    <cellStyle name="Bad 2 2 4" xfId="326"/>
    <cellStyle name="Bad 2 3" xfId="327"/>
    <cellStyle name="Bad 2 4" xfId="328"/>
    <cellStyle name="Bad 2_QC Sheet" xfId="329"/>
    <cellStyle name="Bad 3" xfId="330"/>
    <cellStyle name="Bad 4" xfId="331"/>
    <cellStyle name="Calc Currency (0)" xfId="332"/>
    <cellStyle name="Calculation" xfId="333"/>
    <cellStyle name="Calculation 2" xfId="334"/>
    <cellStyle name="Calculation 2 2" xfId="335"/>
    <cellStyle name="Calculation 2 2 2" xfId="336"/>
    <cellStyle name="Calculation 2 2 3" xfId="337"/>
    <cellStyle name="Calculation 2 2 4" xfId="338"/>
    <cellStyle name="Calculation 2 3" xfId="339"/>
    <cellStyle name="Calculation 2 4" xfId="340"/>
    <cellStyle name="Calculation 2_QC" xfId="341"/>
    <cellStyle name="Calculation 3" xfId="342"/>
    <cellStyle name="Calculation 4" xfId="343"/>
    <cellStyle name="Check Cell" xfId="344"/>
    <cellStyle name="Check Cell 2" xfId="345"/>
    <cellStyle name="Check Cell 2 2" xfId="346"/>
    <cellStyle name="Check Cell 2 2 2" xfId="347"/>
    <cellStyle name="Check Cell 2 2 3" xfId="348"/>
    <cellStyle name="Check Cell 2 2 4" xfId="349"/>
    <cellStyle name="Check Cell 2 3" xfId="350"/>
    <cellStyle name="Check Cell 2 4" xfId="351"/>
    <cellStyle name="Check Cell 2_QC" xfId="352"/>
    <cellStyle name="Check Cell 3" xfId="353"/>
    <cellStyle name="Check Cell 4" xfId="354"/>
    <cellStyle name="Comma 0" xfId="355"/>
    <cellStyle name="Comma 10" xfId="356"/>
    <cellStyle name="Comma 10 2" xfId="357"/>
    <cellStyle name="Comma 10 2 2" xfId="358"/>
    <cellStyle name="Comma 10 3" xfId="359"/>
    <cellStyle name="Comma 10 4" xfId="360"/>
    <cellStyle name="Comma 11" xfId="361"/>
    <cellStyle name="Comma 11 2" xfId="362"/>
    <cellStyle name="Comma 11 3" xfId="363"/>
    <cellStyle name="Comma 11 3 2" xfId="364"/>
    <cellStyle name="Comma 11 3 3" xfId="365"/>
    <cellStyle name="Comma 12" xfId="366"/>
    <cellStyle name="Comma 13" xfId="367"/>
    <cellStyle name="Comma 13 2" xfId="368"/>
    <cellStyle name="Comma 13 3" xfId="369"/>
    <cellStyle name="Comma 14" xfId="370"/>
    <cellStyle name="Comma 15" xfId="371"/>
    <cellStyle name="Comma 15 2" xfId="372"/>
    <cellStyle name="Comma 16" xfId="373"/>
    <cellStyle name="Comma 16 2" xfId="374"/>
    <cellStyle name="Comma 16 3" xfId="375"/>
    <cellStyle name="Comma 17" xfId="376"/>
    <cellStyle name="Comma 18" xfId="377"/>
    <cellStyle name="Comma 2" xfId="378"/>
    <cellStyle name="Comma 2 2" xfId="379"/>
    <cellStyle name="Comma 2 2 2" xfId="380"/>
    <cellStyle name="Comma 2 2 2 2" xfId="381"/>
    <cellStyle name="Comma 2 2 2 3" xfId="382"/>
    <cellStyle name="Comma 2 3" xfId="383"/>
    <cellStyle name="Comma 2 4" xfId="384"/>
    <cellStyle name="Comma 2 4 2" xfId="385"/>
    <cellStyle name="Comma 2 4 3" xfId="386"/>
    <cellStyle name="Comma 2 5" xfId="387"/>
    <cellStyle name="Comma 2 6" xfId="388"/>
    <cellStyle name="Comma 2_BP-14 Preliminary Capital Forecast NonBudget System_5 2 13" xfId="389"/>
    <cellStyle name="Comma 3" xfId="390"/>
    <cellStyle name="Comma 3 10" xfId="391"/>
    <cellStyle name="Comma 3 11" xfId="392"/>
    <cellStyle name="Comma 3 12" xfId="393"/>
    <cellStyle name="Comma 3 12 2" xfId="394"/>
    <cellStyle name="Comma 3 2" xfId="395"/>
    <cellStyle name="Comma 3 2 2" xfId="396"/>
    <cellStyle name="Comma 3 2 2 2" xfId="397"/>
    <cellStyle name="Comma 3 2 2 2 2" xfId="398"/>
    <cellStyle name="Comma 3 2 2 2 3" xfId="399"/>
    <cellStyle name="Comma 3 2 2 3" xfId="400"/>
    <cellStyle name="Comma 3 2 2 3 2" xfId="401"/>
    <cellStyle name="Comma 3 2 2 3 3" xfId="402"/>
    <cellStyle name="Comma 3 2 2 3 3 2" xfId="403"/>
    <cellStyle name="Comma 3 2 2 3 3 3" xfId="404"/>
    <cellStyle name="Comma 3 2 2 4" xfId="405"/>
    <cellStyle name="Comma 3 2 2 5" xfId="406"/>
    <cellStyle name="Comma 3 2 2 5 2" xfId="407"/>
    <cellStyle name="Comma 3 2 2 5 3" xfId="408"/>
    <cellStyle name="Comma 3 2 2 6" xfId="409"/>
    <cellStyle name="Comma 3 2 2 7" xfId="410"/>
    <cellStyle name="Comma 3 2 2 8" xfId="411"/>
    <cellStyle name="Comma 3 2 3" xfId="412"/>
    <cellStyle name="Comma 3 2 3 2" xfId="413"/>
    <cellStyle name="Comma 3 2 3 3" xfId="414"/>
    <cellStyle name="Comma 3 2 3 4" xfId="415"/>
    <cellStyle name="Comma 3 2 4" xfId="416"/>
    <cellStyle name="Comma 3 2 4 2" xfId="417"/>
    <cellStyle name="Comma 3 2 5" xfId="418"/>
    <cellStyle name="Comma 3 2 5 2" xfId="419"/>
    <cellStyle name="Comma 3 2 5 3" xfId="420"/>
    <cellStyle name="Comma 3 2 5 3 2" xfId="421"/>
    <cellStyle name="Comma 3 2 5 3 3" xfId="422"/>
    <cellStyle name="Comma 3 2 6" xfId="423"/>
    <cellStyle name="Comma 3 2 7" xfId="424"/>
    <cellStyle name="Comma 3 2 8" xfId="425"/>
    <cellStyle name="Comma 3 2 9" xfId="426"/>
    <cellStyle name="Comma 3 3" xfId="427"/>
    <cellStyle name="Comma 3 3 2" xfId="428"/>
    <cellStyle name="Comma 3 3 3" xfId="429"/>
    <cellStyle name="Comma 3 3 4" xfId="430"/>
    <cellStyle name="Comma 3 4" xfId="431"/>
    <cellStyle name="Comma 3 4 2" xfId="432"/>
    <cellStyle name="Comma 3 4 2 2" xfId="433"/>
    <cellStyle name="Comma 3 4 2 3" xfId="434"/>
    <cellStyle name="Comma 3 4 2 3 2" xfId="435"/>
    <cellStyle name="Comma 3 4 2 3 3" xfId="436"/>
    <cellStyle name="Comma 3 4 3" xfId="437"/>
    <cellStyle name="Comma 3 4 3 2" xfId="438"/>
    <cellStyle name="Comma 3 4 3 3" xfId="439"/>
    <cellStyle name="Comma 3 4 4" xfId="440"/>
    <cellStyle name="Comma 3 4 5" xfId="441"/>
    <cellStyle name="Comma 3 5" xfId="442"/>
    <cellStyle name="Comma 3 5 2" xfId="443"/>
    <cellStyle name="Comma 3 5 2 2" xfId="444"/>
    <cellStyle name="Comma 3 5 2 3" xfId="445"/>
    <cellStyle name="Comma 3 5 2 3 2" xfId="446"/>
    <cellStyle name="Comma 3 5 2 3 3" xfId="447"/>
    <cellStyle name="Comma 3 5 3" xfId="448"/>
    <cellStyle name="Comma 3 5 3 2" xfId="449"/>
    <cellStyle name="Comma 3 5 3 3" xfId="450"/>
    <cellStyle name="Comma 3 5 4" xfId="451"/>
    <cellStyle name="Comma 3 5 5" xfId="452"/>
    <cellStyle name="Comma 3 6" xfId="453"/>
    <cellStyle name="Comma 3 6 2" xfId="454"/>
    <cellStyle name="Comma 3 6 2 2" xfId="455"/>
    <cellStyle name="Comma 3 6 2 3" xfId="456"/>
    <cellStyle name="Comma 3 7" xfId="457"/>
    <cellStyle name="Comma 3 8" xfId="458"/>
    <cellStyle name="Comma 3 8 2" xfId="459"/>
    <cellStyle name="Comma 3 9" xfId="460"/>
    <cellStyle name="Comma 3 9 2" xfId="461"/>
    <cellStyle name="Comma 3 9 3" xfId="462"/>
    <cellStyle name="Comma 3 9 3 2" xfId="463"/>
    <cellStyle name="Comma 3 9 3 3" xfId="464"/>
    <cellStyle name="Comma 4" xfId="465"/>
    <cellStyle name="Comma 4 2" xfId="466"/>
    <cellStyle name="Comma 4 2 2" xfId="467"/>
    <cellStyle name="Comma 4 2 2 2" xfId="468"/>
    <cellStyle name="Comma 4 2 2 3" xfId="469"/>
    <cellStyle name="Comma 4 2 3" xfId="470"/>
    <cellStyle name="Comma 4 2 4" xfId="471"/>
    <cellStyle name="Comma 4 2 4 2" xfId="472"/>
    <cellStyle name="Comma 4 2 4 3" xfId="473"/>
    <cellStyle name="Comma 4 2 4 3 2" xfId="474"/>
    <cellStyle name="Comma 4 2 4 3 3" xfId="475"/>
    <cellStyle name="Comma 4 2 5" xfId="476"/>
    <cellStyle name="Comma 4 2 5 2" xfId="477"/>
    <cellStyle name="Comma 4 2 5 3" xfId="478"/>
    <cellStyle name="Comma 4 2 6" xfId="479"/>
    <cellStyle name="Comma 4 2 7" xfId="480"/>
    <cellStyle name="Comma 4 2 8" xfId="481"/>
    <cellStyle name="Comma 5" xfId="482"/>
    <cellStyle name="Comma 5 2" xfId="483"/>
    <cellStyle name="Comma 5 3" xfId="484"/>
    <cellStyle name="Comma 5 4" xfId="485"/>
    <cellStyle name="Comma 6" xfId="486"/>
    <cellStyle name="Comma 6 2" xfId="487"/>
    <cellStyle name="Comma 6 2 2" xfId="488"/>
    <cellStyle name="Comma 6 2 3" xfId="489"/>
    <cellStyle name="Comma 6 2 4" xfId="490"/>
    <cellStyle name="Comma 6 3" xfId="491"/>
    <cellStyle name="Comma 6 3 2" xfId="492"/>
    <cellStyle name="Comma 6 4" xfId="493"/>
    <cellStyle name="Comma 6 4 2" xfId="494"/>
    <cellStyle name="Comma 6 5" xfId="495"/>
    <cellStyle name="Comma 6 6" xfId="496"/>
    <cellStyle name="Comma 6 6 2" xfId="497"/>
    <cellStyle name="Comma 6 6 3" xfId="498"/>
    <cellStyle name="Comma 6 6 3 2" xfId="499"/>
    <cellStyle name="Comma 6 6 3 3" xfId="500"/>
    <cellStyle name="Comma 6 7" xfId="501"/>
    <cellStyle name="Comma 6 7 2" xfId="502"/>
    <cellStyle name="Comma 6 7 3" xfId="503"/>
    <cellStyle name="Comma 6 8" xfId="504"/>
    <cellStyle name="Comma 7" xfId="505"/>
    <cellStyle name="Comma 7 2" xfId="506"/>
    <cellStyle name="Comma 7 3" xfId="507"/>
    <cellStyle name="Comma 7 4" xfId="508"/>
    <cellStyle name="Comma 7 5" xfId="509"/>
    <cellStyle name="Comma 8" xfId="510"/>
    <cellStyle name="Comma 8 2" xfId="511"/>
    <cellStyle name="Comma 8 3" xfId="512"/>
    <cellStyle name="Comma 8 4" xfId="513"/>
    <cellStyle name="Comma 8 5" xfId="514"/>
    <cellStyle name="Comma 9" xfId="515"/>
    <cellStyle name="Comma 9 2" xfId="516"/>
    <cellStyle name="Comma 9 3" xfId="517"/>
    <cellStyle name="Comma0" xfId="518"/>
    <cellStyle name="Comma0 - Style4" xfId="519"/>
    <cellStyle name="Copied" xfId="520"/>
    <cellStyle name="COST1" xfId="521"/>
    <cellStyle name="Curren - Style1" xfId="522"/>
    <cellStyle name="Curren - Style5" xfId="523"/>
    <cellStyle name="Currency 0" xfId="524"/>
    <cellStyle name="Currency 2" xfId="525"/>
    <cellStyle name="Currency 2 2" xfId="526"/>
    <cellStyle name="Currency 2 3" xfId="527"/>
    <cellStyle name="Currency 2 4" xfId="528"/>
    <cellStyle name="Currency 3" xfId="529"/>
    <cellStyle name="Currency 4" xfId="530"/>
    <cellStyle name="Currency 4 2" xfId="531"/>
    <cellStyle name="Currency 4 3" xfId="532"/>
    <cellStyle name="Currency 5" xfId="533"/>
    <cellStyle name="Currency 6" xfId="534"/>
    <cellStyle name="Currency 7" xfId="535"/>
    <cellStyle name="Currency 8" xfId="536"/>
    <cellStyle name="Currency 9" xfId="537"/>
    <cellStyle name="Currency0" xfId="538"/>
    <cellStyle name="Date" xfId="539"/>
    <cellStyle name="Date Aligned" xfId="540"/>
    <cellStyle name="Dotted Line" xfId="541"/>
    <cellStyle name="Entered" xfId="542"/>
    <cellStyle name="Explanatory Text" xfId="543"/>
    <cellStyle name="Explanatory Text 2" xfId="544"/>
    <cellStyle name="Explanatory Text 2 2" xfId="545"/>
    <cellStyle name="Explanatory Text 2 2 2" xfId="546"/>
    <cellStyle name="Explanatory Text 2 2 3" xfId="547"/>
    <cellStyle name="Explanatory Text 2 2 4" xfId="548"/>
    <cellStyle name="Explanatory Text 2 3" xfId="549"/>
    <cellStyle name="Explanatory Text 2 4" xfId="550"/>
    <cellStyle name="Explanatory Text 2_QC Sheet" xfId="551"/>
    <cellStyle name="Explanatory Text 3" xfId="552"/>
    <cellStyle name="Explanatory Text 4" xfId="553"/>
    <cellStyle name="Fixed" xfId="554"/>
    <cellStyle name="Fixed3 - Style3" xfId="555"/>
    <cellStyle name="Footnote" xfId="556"/>
    <cellStyle name="Good" xfId="557"/>
    <cellStyle name="Good 2" xfId="558"/>
    <cellStyle name="Good 2 2" xfId="559"/>
    <cellStyle name="Good 2 2 2" xfId="560"/>
    <cellStyle name="Good 2 2 3" xfId="561"/>
    <cellStyle name="Good 2 2 4" xfId="562"/>
    <cellStyle name="Good 2 3" xfId="563"/>
    <cellStyle name="Good 2 4" xfId="564"/>
    <cellStyle name="Good 2_QC Sheet" xfId="565"/>
    <cellStyle name="Good 3" xfId="566"/>
    <cellStyle name="Good 4" xfId="567"/>
    <cellStyle name="Grey" xfId="568"/>
    <cellStyle name="Hard Percent" xfId="569"/>
    <cellStyle name="Header" xfId="570"/>
    <cellStyle name="Header1" xfId="571"/>
    <cellStyle name="Header2" xfId="572"/>
    <cellStyle name="Heading 1" xfId="573"/>
    <cellStyle name="Heading 1 2" xfId="574"/>
    <cellStyle name="Heading 1 2 2" xfId="575"/>
    <cellStyle name="Heading 1 2 2 2" xfId="576"/>
    <cellStyle name="Heading 1 2 2 3" xfId="577"/>
    <cellStyle name="Heading 1 2 3" xfId="578"/>
    <cellStyle name="Heading 1 2 4" xfId="579"/>
    <cellStyle name="Heading 1 2_QC" xfId="580"/>
    <cellStyle name="Heading 1 3" xfId="581"/>
    <cellStyle name="Heading 1 4" xfId="582"/>
    <cellStyle name="Heading 2" xfId="583"/>
    <cellStyle name="Heading 2 2" xfId="584"/>
    <cellStyle name="Heading 2 2 2" xfId="585"/>
    <cellStyle name="Heading 2 2 2 2" xfId="586"/>
    <cellStyle name="Heading 2 2 2 3" xfId="587"/>
    <cellStyle name="Heading 2 2 3" xfId="588"/>
    <cellStyle name="Heading 2 2 4" xfId="589"/>
    <cellStyle name="Heading 2 2_QC" xfId="590"/>
    <cellStyle name="Heading 2 3" xfId="591"/>
    <cellStyle name="Heading 2 4" xfId="592"/>
    <cellStyle name="Heading 3" xfId="593"/>
    <cellStyle name="Heading 3 2" xfId="594"/>
    <cellStyle name="Heading 3 2 2" xfId="595"/>
    <cellStyle name="Heading 3 2 2 2" xfId="596"/>
    <cellStyle name="Heading 3 2 2 3" xfId="597"/>
    <cellStyle name="Heading 3 2 3" xfId="598"/>
    <cellStyle name="Heading 3 2 4" xfId="599"/>
    <cellStyle name="Heading 3 2_QC" xfId="600"/>
    <cellStyle name="Heading 3 3" xfId="601"/>
    <cellStyle name="Heading 3 4" xfId="602"/>
    <cellStyle name="Heading 4" xfId="603"/>
    <cellStyle name="Heading 4 2" xfId="604"/>
    <cellStyle name="Heading 4 2 2" xfId="605"/>
    <cellStyle name="Heading 4 2 2 2" xfId="606"/>
    <cellStyle name="Heading 4 2 2 3" xfId="607"/>
    <cellStyle name="Heading 4 2 3" xfId="608"/>
    <cellStyle name="Heading 4 2 4" xfId="609"/>
    <cellStyle name="Heading 4 3" xfId="610"/>
    <cellStyle name="Heading 4 4" xfId="611"/>
    <cellStyle name="Heading1" xfId="612"/>
    <cellStyle name="Heading2" xfId="613"/>
    <cellStyle name="Hyperlink 2" xfId="614"/>
    <cellStyle name="Hyperlink 3" xfId="615"/>
    <cellStyle name="Hyperlink 3 2" xfId="616"/>
    <cellStyle name="Hyperlink 3 3" xfId="617"/>
    <cellStyle name="Hyperlink 4" xfId="618"/>
    <cellStyle name="Hyperlink 4 2" xfId="619"/>
    <cellStyle name="Hyperlink 4 3" xfId="620"/>
    <cellStyle name="Hyperlink 5" xfId="621"/>
    <cellStyle name="Hyperlink 5 2" xfId="622"/>
    <cellStyle name="Hyperlink 5 3" xfId="623"/>
    <cellStyle name="Hyperlink 6" xfId="624"/>
    <cellStyle name="Input" xfId="625"/>
    <cellStyle name="Input [yellow]" xfId="626"/>
    <cellStyle name="Input 2" xfId="627"/>
    <cellStyle name="Input 2 2" xfId="628"/>
    <cellStyle name="Input 2 2 2" xfId="629"/>
    <cellStyle name="Input 2 2 3" xfId="630"/>
    <cellStyle name="Input 2 2 4" xfId="631"/>
    <cellStyle name="Input 2 3" xfId="632"/>
    <cellStyle name="Input 2 4" xfId="633"/>
    <cellStyle name="Input 2_QC" xfId="634"/>
    <cellStyle name="Input 3" xfId="635"/>
    <cellStyle name="Input 4" xfId="636"/>
    <cellStyle name="Input 5" xfId="637"/>
    <cellStyle name="Input 6" xfId="638"/>
    <cellStyle name="Input 7" xfId="639"/>
    <cellStyle name="Input 8" xfId="640"/>
    <cellStyle name="Input 9" xfId="641"/>
    <cellStyle name="Input Cells" xfId="642"/>
    <cellStyle name="Lines" xfId="643"/>
    <cellStyle name="Linked Cell" xfId="644"/>
    <cellStyle name="Linked Cell 2" xfId="645"/>
    <cellStyle name="Linked Cell 2 2" xfId="646"/>
    <cellStyle name="Linked Cell 2 2 2" xfId="647"/>
    <cellStyle name="Linked Cell 2 2 3" xfId="648"/>
    <cellStyle name="Linked Cell 2 3" xfId="649"/>
    <cellStyle name="Linked Cell 2_QC" xfId="650"/>
    <cellStyle name="Linked Cell 3" xfId="651"/>
    <cellStyle name="Linked Cell 4" xfId="652"/>
    <cellStyle name="modified border" xfId="653"/>
    <cellStyle name="modified border1" xfId="654"/>
    <cellStyle name="Multiple" xfId="655"/>
    <cellStyle name="Neutral" xfId="656"/>
    <cellStyle name="Neutral 2" xfId="657"/>
    <cellStyle name="Neutral 2 2" xfId="658"/>
    <cellStyle name="Neutral 2 2 2" xfId="659"/>
    <cellStyle name="Neutral 2 2 3" xfId="660"/>
    <cellStyle name="Neutral 2 3" xfId="661"/>
    <cellStyle name="Neutral 2_QC Sheet" xfId="662"/>
    <cellStyle name="Neutral 3" xfId="663"/>
    <cellStyle name="Neutral 4" xfId="664"/>
    <cellStyle name="no dec" xfId="665"/>
    <cellStyle name="Normal - Style1" xfId="666"/>
    <cellStyle name="Normal 10" xfId="667"/>
    <cellStyle name="Normal 10 2" xfId="668"/>
    <cellStyle name="Normal 10 3" xfId="669"/>
    <cellStyle name="Normal 100" xfId="670"/>
    <cellStyle name="Normal 101" xfId="671"/>
    <cellStyle name="Normal 102" xfId="672"/>
    <cellStyle name="Normal 103" xfId="673"/>
    <cellStyle name="Normal 104" xfId="674"/>
    <cellStyle name="Normal 105" xfId="675"/>
    <cellStyle name="Normal 106" xfId="676"/>
    <cellStyle name="Normal 107" xfId="677"/>
    <cellStyle name="Normal 108" xfId="678"/>
    <cellStyle name="Normal 109" xfId="679"/>
    <cellStyle name="Normal 109 2" xfId="680"/>
    <cellStyle name="Normal 11" xfId="681"/>
    <cellStyle name="Normal 11 2" xfId="682"/>
    <cellStyle name="Normal 11 3" xfId="683"/>
    <cellStyle name="Normal 11 3 2" xfId="684"/>
    <cellStyle name="Normal 11 3 3" xfId="685"/>
    <cellStyle name="Normal 110" xfId="686"/>
    <cellStyle name="Normal 110 2" xfId="687"/>
    <cellStyle name="Normal 111" xfId="688"/>
    <cellStyle name="Normal 111 2" xfId="689"/>
    <cellStyle name="Normal 112" xfId="690"/>
    <cellStyle name="Normal 112 2" xfId="691"/>
    <cellStyle name="Normal 113" xfId="692"/>
    <cellStyle name="Normal 113 2" xfId="693"/>
    <cellStyle name="Normal 114" xfId="694"/>
    <cellStyle name="Normal 114 2" xfId="695"/>
    <cellStyle name="Normal 115" xfId="696"/>
    <cellStyle name="Normal 115 2" xfId="697"/>
    <cellStyle name="Normal 116" xfId="698"/>
    <cellStyle name="Normal 117" xfId="699"/>
    <cellStyle name="Normal 118" xfId="700"/>
    <cellStyle name="Normal 119" xfId="701"/>
    <cellStyle name="Normal 12" xfId="702"/>
    <cellStyle name="Normal 120" xfId="703"/>
    <cellStyle name="Normal 121" xfId="704"/>
    <cellStyle name="Normal 122" xfId="705"/>
    <cellStyle name="Normal 123" xfId="706"/>
    <cellStyle name="Normal 124" xfId="707"/>
    <cellStyle name="Normal 125" xfId="708"/>
    <cellStyle name="Normal 126" xfId="709"/>
    <cellStyle name="Normal 127" xfId="710"/>
    <cellStyle name="Normal 128" xfId="711"/>
    <cellStyle name="Normal 129" xfId="712"/>
    <cellStyle name="Normal 13" xfId="713"/>
    <cellStyle name="Normal 13 2" xfId="714"/>
    <cellStyle name="Normal 130" xfId="715"/>
    <cellStyle name="Normal 131" xfId="716"/>
    <cellStyle name="Normal 132" xfId="717"/>
    <cellStyle name="Normal 132 2" xfId="718"/>
    <cellStyle name="Normal 133" xfId="719"/>
    <cellStyle name="Normal 133 2" xfId="720"/>
    <cellStyle name="Normal 134" xfId="721"/>
    <cellStyle name="Normal 134 2" xfId="722"/>
    <cellStyle name="Normal 135" xfId="723"/>
    <cellStyle name="Normal 135 2" xfId="724"/>
    <cellStyle name="Normal 136" xfId="725"/>
    <cellStyle name="Normal 136 2" xfId="726"/>
    <cellStyle name="Normal 137" xfId="727"/>
    <cellStyle name="Normal 137 2" xfId="728"/>
    <cellStyle name="Normal 138" xfId="729"/>
    <cellStyle name="Normal 138 2" xfId="730"/>
    <cellStyle name="Normal 139" xfId="731"/>
    <cellStyle name="Normal 139 2" xfId="732"/>
    <cellStyle name="Normal 14" xfId="733"/>
    <cellStyle name="Normal 140" xfId="734"/>
    <cellStyle name="Normal 140 2" xfId="735"/>
    <cellStyle name="Normal 141" xfId="736"/>
    <cellStyle name="Normal 141 2" xfId="737"/>
    <cellStyle name="Normal 142" xfId="738"/>
    <cellStyle name="Normal 142 2" xfId="739"/>
    <cellStyle name="Normal 143" xfId="740"/>
    <cellStyle name="Normal 143 2" xfId="741"/>
    <cellStyle name="Normal 144" xfId="742"/>
    <cellStyle name="Normal 145" xfId="743"/>
    <cellStyle name="Normal 146" xfId="744"/>
    <cellStyle name="Normal 147" xfId="745"/>
    <cellStyle name="Normal 148" xfId="746"/>
    <cellStyle name="Normal 149" xfId="747"/>
    <cellStyle name="Normal 15" xfId="748"/>
    <cellStyle name="Normal 150" xfId="749"/>
    <cellStyle name="Normal 151" xfId="750"/>
    <cellStyle name="Normal 152" xfId="751"/>
    <cellStyle name="Normal 153" xfId="752"/>
    <cellStyle name="Normal 154" xfId="753"/>
    <cellStyle name="Normal 155" xfId="754"/>
    <cellStyle name="Normal 156" xfId="755"/>
    <cellStyle name="Normal 157" xfId="756"/>
    <cellStyle name="Normal 158" xfId="757"/>
    <cellStyle name="Normal 159" xfId="758"/>
    <cellStyle name="Normal 16" xfId="759"/>
    <cellStyle name="Normal 160" xfId="760"/>
    <cellStyle name="Normal 161" xfId="761"/>
    <cellStyle name="Normal 162" xfId="762"/>
    <cellStyle name="Normal 163" xfId="763"/>
    <cellStyle name="Normal 164" xfId="764"/>
    <cellStyle name="Normal 165" xfId="765"/>
    <cellStyle name="Normal 166" xfId="766"/>
    <cellStyle name="Normal 167" xfId="767"/>
    <cellStyle name="Normal 168" xfId="768"/>
    <cellStyle name="Normal 168 2" xfId="769"/>
    <cellStyle name="Normal 169" xfId="770"/>
    <cellStyle name="Normal 169 2" xfId="771"/>
    <cellStyle name="Normal 17" xfId="772"/>
    <cellStyle name="Normal 170" xfId="773"/>
    <cellStyle name="Normal 170 2" xfId="774"/>
    <cellStyle name="Normal 171" xfId="775"/>
    <cellStyle name="Normal 171 2" xfId="776"/>
    <cellStyle name="Normal 172" xfId="777"/>
    <cellStyle name="Normal 173" xfId="778"/>
    <cellStyle name="Normal 174" xfId="779"/>
    <cellStyle name="Normal 175" xfId="780"/>
    <cellStyle name="Normal 176" xfId="781"/>
    <cellStyle name="Normal 177" xfId="782"/>
    <cellStyle name="Normal 178" xfId="783"/>
    <cellStyle name="Normal 179" xfId="784"/>
    <cellStyle name="Normal 18" xfId="785"/>
    <cellStyle name="Normal 18 2" xfId="786"/>
    <cellStyle name="Normal 18 3" xfId="787"/>
    <cellStyle name="Normal 18 3 2" xfId="788"/>
    <cellStyle name="Normal 18 3 3" xfId="789"/>
    <cellStyle name="Normal 180" xfId="790"/>
    <cellStyle name="Normal 181" xfId="791"/>
    <cellStyle name="Normal 182" xfId="792"/>
    <cellStyle name="Normal 182 2" xfId="793"/>
    <cellStyle name="Normal 182 3" xfId="794"/>
    <cellStyle name="Normal 183" xfId="795"/>
    <cellStyle name="Normal 183 2" xfId="796"/>
    <cellStyle name="Normal 183 3" xfId="797"/>
    <cellStyle name="Normal 184" xfId="798"/>
    <cellStyle name="Normal 184 2" xfId="799"/>
    <cellStyle name="Normal 184 3" xfId="800"/>
    <cellStyle name="Normal 185" xfId="801"/>
    <cellStyle name="Normal 185 2" xfId="802"/>
    <cellStyle name="Normal 185 2 2" xfId="803"/>
    <cellStyle name="Normal 185 2 3" xfId="804"/>
    <cellStyle name="Normal 185 3" xfId="805"/>
    <cellStyle name="Normal 186" xfId="806"/>
    <cellStyle name="Normal 187" xfId="807"/>
    <cellStyle name="Normal 188" xfId="808"/>
    <cellStyle name="Normal 189" xfId="809"/>
    <cellStyle name="Normal 19" xfId="810"/>
    <cellStyle name="Normal 190" xfId="811"/>
    <cellStyle name="Normal 191" xfId="812"/>
    <cellStyle name="Normal 192" xfId="813"/>
    <cellStyle name="Normal 193" xfId="814"/>
    <cellStyle name="Normal 194" xfId="815"/>
    <cellStyle name="Normal 195" xfId="816"/>
    <cellStyle name="Normal 196" xfId="817"/>
    <cellStyle name="Normal 197" xfId="818"/>
    <cellStyle name="Normal 198" xfId="819"/>
    <cellStyle name="Normal 199" xfId="820"/>
    <cellStyle name="Normal 199 2" xfId="821"/>
    <cellStyle name="Normal 199 3" xfId="822"/>
    <cellStyle name="Normal 2" xfId="823"/>
    <cellStyle name="Normal 2 2" xfId="824"/>
    <cellStyle name="Normal 2 3" xfId="825"/>
    <cellStyle name="Normal 2_Federal Interest Calculation Su" xfId="826"/>
    <cellStyle name="Normal 20" xfId="827"/>
    <cellStyle name="Normal 20 2" xfId="828"/>
    <cellStyle name="Normal 20 3" xfId="829"/>
    <cellStyle name="Normal 20 3 2" xfId="830"/>
    <cellStyle name="Normal 20 3 3" xfId="831"/>
    <cellStyle name="Normal 200" xfId="832"/>
    <cellStyle name="Normal 201" xfId="833"/>
    <cellStyle name="Normal 202" xfId="834"/>
    <cellStyle name="Normal 203" xfId="835"/>
    <cellStyle name="Normal 204" xfId="836"/>
    <cellStyle name="Normal 205" xfId="837"/>
    <cellStyle name="Normal 206" xfId="838"/>
    <cellStyle name="Normal 207" xfId="839"/>
    <cellStyle name="Normal 208" xfId="840"/>
    <cellStyle name="Normal 208 2" xfId="841"/>
    <cellStyle name="Normal 209" xfId="842"/>
    <cellStyle name="Normal 209 2" xfId="843"/>
    <cellStyle name="Normal 21" xfId="844"/>
    <cellStyle name="Normal 210" xfId="845"/>
    <cellStyle name="Normal 211" xfId="846"/>
    <cellStyle name="Normal 211 2" xfId="847"/>
    <cellStyle name="Normal 211 3" xfId="848"/>
    <cellStyle name="Normal 212" xfId="849"/>
    <cellStyle name="Normal 212 2" xfId="850"/>
    <cellStyle name="Normal 212 3" xfId="851"/>
    <cellStyle name="Normal 213" xfId="852"/>
    <cellStyle name="Normal 213 2" xfId="853"/>
    <cellStyle name="Normal 213 3" xfId="854"/>
    <cellStyle name="Normal 214" xfId="855"/>
    <cellStyle name="Normal 214 2" xfId="856"/>
    <cellStyle name="Normal 214 3" xfId="857"/>
    <cellStyle name="Normal 215" xfId="858"/>
    <cellStyle name="Normal 215 2" xfId="859"/>
    <cellStyle name="Normal 215 3" xfId="860"/>
    <cellStyle name="Normal 216" xfId="861"/>
    <cellStyle name="Normal 216 2" xfId="862"/>
    <cellStyle name="Normal 217" xfId="863"/>
    <cellStyle name="Normal 217 2" xfId="864"/>
    <cellStyle name="Normal 218" xfId="865"/>
    <cellStyle name="Normal 218 2" xfId="866"/>
    <cellStyle name="Normal 219" xfId="867"/>
    <cellStyle name="Normal 219 2" xfId="868"/>
    <cellStyle name="Normal 22" xfId="869"/>
    <cellStyle name="Normal 220" xfId="870"/>
    <cellStyle name="Normal 221" xfId="871"/>
    <cellStyle name="Normal 221 2" xfId="872"/>
    <cellStyle name="Normal 222" xfId="873"/>
    <cellStyle name="Normal 222 2" xfId="874"/>
    <cellStyle name="Normal 223" xfId="875"/>
    <cellStyle name="Normal 224" xfId="876"/>
    <cellStyle name="Normal 225" xfId="877"/>
    <cellStyle name="Normal 226" xfId="878"/>
    <cellStyle name="Normal 227" xfId="879"/>
    <cellStyle name="Normal 228" xfId="880"/>
    <cellStyle name="Normal 229" xfId="881"/>
    <cellStyle name="Normal 23" xfId="882"/>
    <cellStyle name="Normal 230" xfId="883"/>
    <cellStyle name="Normal 231" xfId="884"/>
    <cellStyle name="Normal 232" xfId="885"/>
    <cellStyle name="Normal 233" xfId="886"/>
    <cellStyle name="Normal 234" xfId="887"/>
    <cellStyle name="Normal 235" xfId="888"/>
    <cellStyle name="Normal 236" xfId="889"/>
    <cellStyle name="Normal 237" xfId="890"/>
    <cellStyle name="Normal 238" xfId="891"/>
    <cellStyle name="Normal 239" xfId="892"/>
    <cellStyle name="Normal 24" xfId="893"/>
    <cellStyle name="Normal 240" xfId="894"/>
    <cellStyle name="Normal 241" xfId="895"/>
    <cellStyle name="Normal 242" xfId="896"/>
    <cellStyle name="Normal 243" xfId="897"/>
    <cellStyle name="Normal 244" xfId="898"/>
    <cellStyle name="Normal 245" xfId="899"/>
    <cellStyle name="Normal 246" xfId="900"/>
    <cellStyle name="Normal 247" xfId="901"/>
    <cellStyle name="Normal 248" xfId="902"/>
    <cellStyle name="Normal 249" xfId="903"/>
    <cellStyle name="Normal 25" xfId="904"/>
    <cellStyle name="Normal 250" xfId="905"/>
    <cellStyle name="Normal 251" xfId="906"/>
    <cellStyle name="Normal 252" xfId="907"/>
    <cellStyle name="Normal 253" xfId="908"/>
    <cellStyle name="Normal 254" xfId="909"/>
    <cellStyle name="Normal 255" xfId="910"/>
    <cellStyle name="Normal 256" xfId="911"/>
    <cellStyle name="Normal 257" xfId="912"/>
    <cellStyle name="Normal 258" xfId="913"/>
    <cellStyle name="Normal 259" xfId="914"/>
    <cellStyle name="Normal 26" xfId="915"/>
    <cellStyle name="Normal 260" xfId="916"/>
    <cellStyle name="Normal 261" xfId="917"/>
    <cellStyle name="Normal 262" xfId="918"/>
    <cellStyle name="Normal 263" xfId="919"/>
    <cellStyle name="Normal 264" xfId="920"/>
    <cellStyle name="Normal 265" xfId="921"/>
    <cellStyle name="Normal 266" xfId="922"/>
    <cellStyle name="Normal 267" xfId="923"/>
    <cellStyle name="Normal 268" xfId="924"/>
    <cellStyle name="Normal 269" xfId="925"/>
    <cellStyle name="Normal 27" xfId="926"/>
    <cellStyle name="Normal 270" xfId="927"/>
    <cellStyle name="Normal 271" xfId="928"/>
    <cellStyle name="Normal 272" xfId="929"/>
    <cellStyle name="Normal 273" xfId="930"/>
    <cellStyle name="Normal 274" xfId="931"/>
    <cellStyle name="Normal 275" xfId="932"/>
    <cellStyle name="Normal 276" xfId="933"/>
    <cellStyle name="Normal 277" xfId="934"/>
    <cellStyle name="Normal 278" xfId="935"/>
    <cellStyle name="Normal 28" xfId="936"/>
    <cellStyle name="Normal 29" xfId="937"/>
    <cellStyle name="Normal 3" xfId="938"/>
    <cellStyle name="Normal 3 2" xfId="939"/>
    <cellStyle name="Normal 3 2 2" xfId="940"/>
    <cellStyle name="Normal 3 2 3" xfId="941"/>
    <cellStyle name="Normal 3 2 4" xfId="942"/>
    <cellStyle name="Normal 3 3" xfId="943"/>
    <cellStyle name="Normal 3 3 2" xfId="944"/>
    <cellStyle name="Normal 3 3 2 2" xfId="945"/>
    <cellStyle name="Normal 3 3 2 3" xfId="946"/>
    <cellStyle name="Normal 3 3 3" xfId="947"/>
    <cellStyle name="Normal 3 3 4" xfId="948"/>
    <cellStyle name="Normal 3_710 CFS; full sustain + full expand (static-like)" xfId="949"/>
    <cellStyle name="Normal 30" xfId="950"/>
    <cellStyle name="Normal 31" xfId="951"/>
    <cellStyle name="Normal 32" xfId="952"/>
    <cellStyle name="Normal 33" xfId="953"/>
    <cellStyle name="Normal 34" xfId="954"/>
    <cellStyle name="Normal 35" xfId="955"/>
    <cellStyle name="Normal 36" xfId="956"/>
    <cellStyle name="Normal 37" xfId="957"/>
    <cellStyle name="Normal 38" xfId="958"/>
    <cellStyle name="Normal 39" xfId="959"/>
    <cellStyle name="Normal 4" xfId="960"/>
    <cellStyle name="Normal 4 10" xfId="961"/>
    <cellStyle name="Normal 4 2" xfId="962"/>
    <cellStyle name="Normal 4 2 2" xfId="963"/>
    <cellStyle name="Normal 4 2 2 2" xfId="964"/>
    <cellStyle name="Normal 4 2 2 2 2" xfId="965"/>
    <cellStyle name="Normal 4 2 2 2 3" xfId="966"/>
    <cellStyle name="Normal 4 2 2 3" xfId="967"/>
    <cellStyle name="Normal 4 2 2 4" xfId="968"/>
    <cellStyle name="Normal 4 2 3" xfId="969"/>
    <cellStyle name="Normal 4 2 3 2" xfId="970"/>
    <cellStyle name="Normal 4 2 3 3" xfId="971"/>
    <cellStyle name="Normal 4 2 4" xfId="972"/>
    <cellStyle name="Normal 4 2 5" xfId="973"/>
    <cellStyle name="Normal 4 2_Federal Interest Calculation Su" xfId="974"/>
    <cellStyle name="Normal 4 3" xfId="975"/>
    <cellStyle name="Normal 4 3 2" xfId="976"/>
    <cellStyle name="Normal 4 3 2 2" xfId="977"/>
    <cellStyle name="Normal 4 3 2 3" xfId="978"/>
    <cellStyle name="Normal 4 3 3" xfId="979"/>
    <cellStyle name="Normal 4 3 4" xfId="980"/>
    <cellStyle name="Normal 4 3 5" xfId="981"/>
    <cellStyle name="Normal 4 3 6" xfId="982"/>
    <cellStyle name="Normal 4 4" xfId="983"/>
    <cellStyle name="Normal 4 4 2" xfId="984"/>
    <cellStyle name="Normal 4 4 2 2" xfId="985"/>
    <cellStyle name="Normal 4 4 2 3" xfId="986"/>
    <cellStyle name="Normal 4 4 3" xfId="987"/>
    <cellStyle name="Normal 4 4 4" xfId="988"/>
    <cellStyle name="Normal 4 5" xfId="989"/>
    <cellStyle name="Normal 4 6" xfId="990"/>
    <cellStyle name="Normal 4 7" xfId="991"/>
    <cellStyle name="Normal 4 8" xfId="992"/>
    <cellStyle name="Normal 4 9" xfId="993"/>
    <cellStyle name="Normal 4_710 CFS; full sustain + full expand (static-like)" xfId="994"/>
    <cellStyle name="Normal 40" xfId="995"/>
    <cellStyle name="Normal 41" xfId="996"/>
    <cellStyle name="Normal 42" xfId="997"/>
    <cellStyle name="Normal 43" xfId="998"/>
    <cellStyle name="Normal 44" xfId="999"/>
    <cellStyle name="Normal 45" xfId="1000"/>
    <cellStyle name="Normal 46" xfId="1001"/>
    <cellStyle name="Normal 47" xfId="1002"/>
    <cellStyle name="Normal 48" xfId="1003"/>
    <cellStyle name="Normal 49" xfId="1004"/>
    <cellStyle name="Normal 49 2" xfId="1005"/>
    <cellStyle name="Normal 49 3" xfId="1006"/>
    <cellStyle name="Normal 49 3 2" xfId="1007"/>
    <cellStyle name="Normal 49 3 3" xfId="1008"/>
    <cellStyle name="Normal 5" xfId="1009"/>
    <cellStyle name="Normal 5 2" xfId="1010"/>
    <cellStyle name="Normal 5 2 2" xfId="1011"/>
    <cellStyle name="Normal 5 2 3" xfId="1012"/>
    <cellStyle name="Normal 5 3" xfId="1013"/>
    <cellStyle name="Normal 5 4" xfId="1014"/>
    <cellStyle name="Normal 50" xfId="1015"/>
    <cellStyle name="Normal 50 2" xfId="1016"/>
    <cellStyle name="Normal 50 3" xfId="1017"/>
    <cellStyle name="Normal 51" xfId="1018"/>
    <cellStyle name="Normal 51 2" xfId="1019"/>
    <cellStyle name="Normal 52" xfId="1020"/>
    <cellStyle name="Normal 52 2" xfId="1021"/>
    <cellStyle name="Normal 53" xfId="1022"/>
    <cellStyle name="Normal 53 2" xfId="1023"/>
    <cellStyle name="Normal 54" xfId="1024"/>
    <cellStyle name="Normal 55" xfId="1025"/>
    <cellStyle name="Normal 55 2" xfId="1026"/>
    <cellStyle name="Normal 56" xfId="1027"/>
    <cellStyle name="Normal 57" xfId="1028"/>
    <cellStyle name="Normal 58" xfId="1029"/>
    <cellStyle name="Normal 59" xfId="1030"/>
    <cellStyle name="Normal 6" xfId="1031"/>
    <cellStyle name="Normal 6 2" xfId="1032"/>
    <cellStyle name="Normal 6 2 2" xfId="1033"/>
    <cellStyle name="Normal 6 2 3" xfId="1034"/>
    <cellStyle name="Normal 6 3" xfId="1035"/>
    <cellStyle name="Normal 6 4" xfId="1036"/>
    <cellStyle name="Normal 60" xfId="1037"/>
    <cellStyle name="Normal 60 2" xfId="1038"/>
    <cellStyle name="Normal 61" xfId="1039"/>
    <cellStyle name="Normal 62" xfId="1040"/>
    <cellStyle name="Normal 63" xfId="1041"/>
    <cellStyle name="Normal 64" xfId="1042"/>
    <cellStyle name="Normal 65" xfId="1043"/>
    <cellStyle name="Normal 66" xfId="1044"/>
    <cellStyle name="Normal 67" xfId="1045"/>
    <cellStyle name="Normal 68" xfId="1046"/>
    <cellStyle name="Normal 69" xfId="1047"/>
    <cellStyle name="Normal 7" xfId="1048"/>
    <cellStyle name="Normal 7 2" xfId="1049"/>
    <cellStyle name="Normal 7 2 2" xfId="1050"/>
    <cellStyle name="Normal 7 2 3" xfId="1051"/>
    <cellStyle name="Normal 7 3" xfId="1052"/>
    <cellStyle name="Normal 7 4" xfId="1053"/>
    <cellStyle name="Normal 70" xfId="1054"/>
    <cellStyle name="Normal 71" xfId="1055"/>
    <cellStyle name="Normal 72" xfId="1056"/>
    <cellStyle name="Normal 73" xfId="1057"/>
    <cellStyle name="Normal 73 2" xfId="1058"/>
    <cellStyle name="Normal 74" xfId="1059"/>
    <cellStyle name="Normal 74 2" xfId="1060"/>
    <cellStyle name="Normal 75" xfId="1061"/>
    <cellStyle name="Normal 75 2" xfId="1062"/>
    <cellStyle name="Normal 75 3" xfId="1063"/>
    <cellStyle name="Normal 76" xfId="1064"/>
    <cellStyle name="Normal 76 2" xfId="1065"/>
    <cellStyle name="Normal 76 3" xfId="1066"/>
    <cellStyle name="Normal 77" xfId="1067"/>
    <cellStyle name="Normal 77 2" xfId="1068"/>
    <cellStyle name="Normal 77 3" xfId="1069"/>
    <cellStyle name="Normal 78" xfId="1070"/>
    <cellStyle name="Normal 78 2" xfId="1071"/>
    <cellStyle name="Normal 79" xfId="1072"/>
    <cellStyle name="Normal 8" xfId="1073"/>
    <cellStyle name="Normal 8 2" xfId="1074"/>
    <cellStyle name="Normal 8 2 2" xfId="1075"/>
    <cellStyle name="Normal 8 2 3" xfId="1076"/>
    <cellStyle name="Normal 8 3" xfId="1077"/>
    <cellStyle name="Normal 8 4" xfId="1078"/>
    <cellStyle name="Normal 80" xfId="1079"/>
    <cellStyle name="Normal 81" xfId="1080"/>
    <cellStyle name="Normal 82" xfId="1081"/>
    <cellStyle name="Normal 83" xfId="1082"/>
    <cellStyle name="Normal 84" xfId="1083"/>
    <cellStyle name="Normal 85" xfId="1084"/>
    <cellStyle name="Normal 86" xfId="1085"/>
    <cellStyle name="Normal 87" xfId="1086"/>
    <cellStyle name="Normal 88" xfId="1087"/>
    <cellStyle name="Normal 89" xfId="1088"/>
    <cellStyle name="Normal 9" xfId="1089"/>
    <cellStyle name="Normal 9 2" xfId="1090"/>
    <cellStyle name="Normal 9 3" xfId="1091"/>
    <cellStyle name="Normal 90" xfId="1092"/>
    <cellStyle name="Normal 91" xfId="1093"/>
    <cellStyle name="Normal 92" xfId="1094"/>
    <cellStyle name="Normal 93" xfId="1095"/>
    <cellStyle name="Normal 94" xfId="1096"/>
    <cellStyle name="Normal 95" xfId="1097"/>
    <cellStyle name="Normal 96" xfId="1098"/>
    <cellStyle name="Normal 97" xfId="1099"/>
    <cellStyle name="Normal 98" xfId="1100"/>
    <cellStyle name="Normal 99" xfId="1101"/>
    <cellStyle name="Note" xfId="1102"/>
    <cellStyle name="Note 2" xfId="1103"/>
    <cellStyle name="Note 2 2" xfId="1104"/>
    <cellStyle name="Note 2 3" xfId="1105"/>
    <cellStyle name="Note 2 4" xfId="1106"/>
    <cellStyle name="Note 2_QC" xfId="1107"/>
    <cellStyle name="Note 3" xfId="1108"/>
    <cellStyle name="Note 3 2" xfId="1109"/>
    <cellStyle name="Note 3 2 2" xfId="1110"/>
    <cellStyle name="Note 3 2 3" xfId="1111"/>
    <cellStyle name="Note 4" xfId="1112"/>
    <cellStyle name="Output" xfId="1113"/>
    <cellStyle name="Output 2" xfId="1114"/>
    <cellStyle name="Output 2 2" xfId="1115"/>
    <cellStyle name="Output 2 2 2" xfId="1116"/>
    <cellStyle name="Output 2 2 3" xfId="1117"/>
    <cellStyle name="Output 2 2 4" xfId="1118"/>
    <cellStyle name="Output 2 3" xfId="1119"/>
    <cellStyle name="Output 2 4" xfId="1120"/>
    <cellStyle name="Output 2_QC" xfId="1121"/>
    <cellStyle name="Output 3" xfId="1122"/>
    <cellStyle name="Output 4" xfId="1123"/>
    <cellStyle name="Page Number" xfId="1124"/>
    <cellStyle name="Percen - Style2" xfId="1125"/>
    <cellStyle name="Percent [2]" xfId="1126"/>
    <cellStyle name="Percent 10" xfId="1127"/>
    <cellStyle name="Percent 10 2" xfId="1128"/>
    <cellStyle name="Percent 10 3" xfId="1129"/>
    <cellStyle name="Percent 100" xfId="1130"/>
    <cellStyle name="Percent 100 2" xfId="1131"/>
    <cellStyle name="Percent 101" xfId="1132"/>
    <cellStyle name="Percent 101 2" xfId="1133"/>
    <cellStyle name="Percent 102" xfId="1134"/>
    <cellStyle name="Percent 102 2" xfId="1135"/>
    <cellStyle name="Percent 103" xfId="1136"/>
    <cellStyle name="Percent 103 2" xfId="1137"/>
    <cellStyle name="Percent 104" xfId="1138"/>
    <cellStyle name="Percent 104 2" xfId="1139"/>
    <cellStyle name="Percent 105" xfId="1140"/>
    <cellStyle name="Percent 105 2" xfId="1141"/>
    <cellStyle name="Percent 106" xfId="1142"/>
    <cellStyle name="Percent 107" xfId="1143"/>
    <cellStyle name="Percent 108" xfId="1144"/>
    <cellStyle name="Percent 109" xfId="1145"/>
    <cellStyle name="Percent 11" xfId="1146"/>
    <cellStyle name="Percent 11 2" xfId="1147"/>
    <cellStyle name="Percent 11 3" xfId="1148"/>
    <cellStyle name="Percent 110" xfId="1149"/>
    <cellStyle name="Percent 111" xfId="1150"/>
    <cellStyle name="Percent 112" xfId="1151"/>
    <cellStyle name="Percent 113" xfId="1152"/>
    <cellStyle name="Percent 114" xfId="1153"/>
    <cellStyle name="Percent 115" xfId="1154"/>
    <cellStyle name="Percent 116" xfId="1155"/>
    <cellStyle name="Percent 117" xfId="1156"/>
    <cellStyle name="Percent 118" xfId="1157"/>
    <cellStyle name="Percent 119" xfId="1158"/>
    <cellStyle name="Percent 12" xfId="1159"/>
    <cellStyle name="Percent 120" xfId="1160"/>
    <cellStyle name="Percent 121" xfId="1161"/>
    <cellStyle name="Percent 122" xfId="1162"/>
    <cellStyle name="Percent 123" xfId="1163"/>
    <cellStyle name="Percent 124" xfId="1164"/>
    <cellStyle name="Percent 125" xfId="1165"/>
    <cellStyle name="Percent 126" xfId="1166"/>
    <cellStyle name="Percent 127" xfId="1167"/>
    <cellStyle name="Percent 128" xfId="1168"/>
    <cellStyle name="Percent 129" xfId="1169"/>
    <cellStyle name="Percent 13" xfId="1170"/>
    <cellStyle name="Percent 13 2" xfId="1171"/>
    <cellStyle name="Percent 130" xfId="1172"/>
    <cellStyle name="Percent 131" xfId="1173"/>
    <cellStyle name="Percent 132" xfId="1174"/>
    <cellStyle name="Percent 132 2" xfId="1175"/>
    <cellStyle name="Percent 133" xfId="1176"/>
    <cellStyle name="Percent 133 2" xfId="1177"/>
    <cellStyle name="Percent 134" xfId="1178"/>
    <cellStyle name="Percent 134 2" xfId="1179"/>
    <cellStyle name="Percent 135" xfId="1180"/>
    <cellStyle name="Percent 135 2" xfId="1181"/>
    <cellStyle name="Percent 135 3" xfId="1182"/>
    <cellStyle name="Percent 135 3 2" xfId="1183"/>
    <cellStyle name="Percent 135 3 3" xfId="1184"/>
    <cellStyle name="Percent 136" xfId="1185"/>
    <cellStyle name="Percent 137" xfId="1186"/>
    <cellStyle name="Percent 138" xfId="1187"/>
    <cellStyle name="Percent 139" xfId="1188"/>
    <cellStyle name="Percent 14" xfId="1189"/>
    <cellStyle name="Percent 140" xfId="1190"/>
    <cellStyle name="Percent 141" xfId="1191"/>
    <cellStyle name="Percent 142" xfId="1192"/>
    <cellStyle name="Percent 143" xfId="1193"/>
    <cellStyle name="Percent 144" xfId="1194"/>
    <cellStyle name="Percent 145" xfId="1195"/>
    <cellStyle name="Percent 145 2" xfId="1196"/>
    <cellStyle name="Percent 145 2 2" xfId="1197"/>
    <cellStyle name="Percent 145 3" xfId="1198"/>
    <cellStyle name="Percent 145 4" xfId="1199"/>
    <cellStyle name="Percent 145 4 2" xfId="1200"/>
    <cellStyle name="Percent 145 4 3" xfId="1201"/>
    <cellStyle name="Percent 146" xfId="1202"/>
    <cellStyle name="Percent 147" xfId="1203"/>
    <cellStyle name="Percent 147 2" xfId="1204"/>
    <cellStyle name="Percent 148" xfId="1205"/>
    <cellStyle name="Percent 148 2" xfId="1206"/>
    <cellStyle name="Percent 149" xfId="1207"/>
    <cellStyle name="Percent 149 2" xfId="1208"/>
    <cellStyle name="Percent 15" xfId="1209"/>
    <cellStyle name="Percent 150" xfId="1210"/>
    <cellStyle name="Percent 150 2" xfId="1211"/>
    <cellStyle name="Percent 151" xfId="1212"/>
    <cellStyle name="Percent 152" xfId="1213"/>
    <cellStyle name="Percent 153" xfId="1214"/>
    <cellStyle name="Percent 154" xfId="1215"/>
    <cellStyle name="Percent 155" xfId="1216"/>
    <cellStyle name="Percent 156" xfId="1217"/>
    <cellStyle name="Percent 157" xfId="1218"/>
    <cellStyle name="Percent 158" xfId="1219"/>
    <cellStyle name="Percent 159" xfId="1220"/>
    <cellStyle name="Percent 16" xfId="1221"/>
    <cellStyle name="Percent 160" xfId="1222"/>
    <cellStyle name="Percent 161" xfId="1223"/>
    <cellStyle name="Percent 162" xfId="1224"/>
    <cellStyle name="Percent 163" xfId="1225"/>
    <cellStyle name="Percent 164" xfId="1226"/>
    <cellStyle name="Percent 165" xfId="1227"/>
    <cellStyle name="Percent 166" xfId="1228"/>
    <cellStyle name="Percent 166 2" xfId="1229"/>
    <cellStyle name="Percent 167" xfId="1230"/>
    <cellStyle name="Percent 168" xfId="1231"/>
    <cellStyle name="Percent 168 2" xfId="1232"/>
    <cellStyle name="Percent 169" xfId="1233"/>
    <cellStyle name="Percent 169 2" xfId="1234"/>
    <cellStyle name="Percent 17" xfId="1235"/>
    <cellStyle name="Percent 170" xfId="1236"/>
    <cellStyle name="Percent 171" xfId="1237"/>
    <cellStyle name="Percent 172" xfId="1238"/>
    <cellStyle name="Percent 173" xfId="1239"/>
    <cellStyle name="Percent 174" xfId="1240"/>
    <cellStyle name="Percent 175" xfId="1241"/>
    <cellStyle name="Percent 176" xfId="1242"/>
    <cellStyle name="Percent 177" xfId="1243"/>
    <cellStyle name="Percent 178" xfId="1244"/>
    <cellStyle name="Percent 179" xfId="1245"/>
    <cellStyle name="Percent 18" xfId="1246"/>
    <cellStyle name="Percent 18 2" xfId="1247"/>
    <cellStyle name="Percent 18 3" xfId="1248"/>
    <cellStyle name="Percent 18 3 2" xfId="1249"/>
    <cellStyle name="Percent 18 3 3" xfId="1250"/>
    <cellStyle name="Percent 18 3 3 2" xfId="1251"/>
    <cellStyle name="Percent 18 3 3 3" xfId="1252"/>
    <cellStyle name="Percent 180" xfId="1253"/>
    <cellStyle name="Percent 181" xfId="1254"/>
    <cellStyle name="Percent 182" xfId="1255"/>
    <cellStyle name="Percent 183" xfId="1256"/>
    <cellStyle name="Percent 184" xfId="1257"/>
    <cellStyle name="Percent 185" xfId="1258"/>
    <cellStyle name="Percent 186" xfId="1259"/>
    <cellStyle name="Percent 187" xfId="1260"/>
    <cellStyle name="Percent 188" xfId="1261"/>
    <cellStyle name="Percent 189" xfId="1262"/>
    <cellStyle name="Percent 19" xfId="1263"/>
    <cellStyle name="Percent 190" xfId="1264"/>
    <cellStyle name="Percent 191" xfId="1265"/>
    <cellStyle name="Percent 192" xfId="1266"/>
    <cellStyle name="Percent 2" xfId="1267"/>
    <cellStyle name="Percent 2 2" xfId="1268"/>
    <cellStyle name="Percent 2 2 2" xfId="1269"/>
    <cellStyle name="Percent 2 2 2 2" xfId="1270"/>
    <cellStyle name="Percent 2 2 2 2 2" xfId="1271"/>
    <cellStyle name="Percent 2 2 2 2 3" xfId="1272"/>
    <cellStyle name="Percent 2 2 2 2 3 2" xfId="1273"/>
    <cellStyle name="Percent 2 2 2 2 3 3" xfId="1274"/>
    <cellStyle name="Percent 2 2 2 3" xfId="1275"/>
    <cellStyle name="Percent 2 2 2 4" xfId="1276"/>
    <cellStyle name="Percent 2 2 2 4 2" xfId="1277"/>
    <cellStyle name="Percent 2 2 2 4 3" xfId="1278"/>
    <cellStyle name="Percent 2 2 2 5" xfId="1279"/>
    <cellStyle name="Percent 2 2 3" xfId="1280"/>
    <cellStyle name="Percent 2 2 3 2" xfId="1281"/>
    <cellStyle name="Percent 2 2 4" xfId="1282"/>
    <cellStyle name="Percent 2 2 4 2" xfId="1283"/>
    <cellStyle name="Percent 2 2 5" xfId="1284"/>
    <cellStyle name="Percent 2 2 5 2" xfId="1285"/>
    <cellStyle name="Percent 2 2 5 3" xfId="1286"/>
    <cellStyle name="Percent 2 2 5 3 2" xfId="1287"/>
    <cellStyle name="Percent 2 2 5 3 3" xfId="1288"/>
    <cellStyle name="Percent 2 2 6" xfId="1289"/>
    <cellStyle name="Percent 2 3" xfId="1290"/>
    <cellStyle name="Percent 20" xfId="1291"/>
    <cellStyle name="Percent 20 2" xfId="1292"/>
    <cellStyle name="Percent 20 3" xfId="1293"/>
    <cellStyle name="Percent 20 3 2" xfId="1294"/>
    <cellStyle name="Percent 20 3 3" xfId="1295"/>
    <cellStyle name="Percent 20 3 3 2" xfId="1296"/>
    <cellStyle name="Percent 20 3 3 3" xfId="1297"/>
    <cellStyle name="Percent 21" xfId="1298"/>
    <cellStyle name="Percent 22" xfId="1299"/>
    <cellStyle name="Percent 23" xfId="1300"/>
    <cellStyle name="Percent 24" xfId="1301"/>
    <cellStyle name="Percent 25" xfId="1302"/>
    <cellStyle name="Percent 26" xfId="1303"/>
    <cellStyle name="Percent 27" xfId="1304"/>
    <cellStyle name="Percent 28" xfId="1305"/>
    <cellStyle name="Percent 29" xfId="1306"/>
    <cellStyle name="Percent 3" xfId="1307"/>
    <cellStyle name="Percent 3 2" xfId="1308"/>
    <cellStyle name="Percent 3 2 2" xfId="1309"/>
    <cellStyle name="Percent 3 2 3" xfId="1310"/>
    <cellStyle name="Percent 3 2 4" xfId="1311"/>
    <cellStyle name="Percent 3 2 4 2" xfId="1312"/>
    <cellStyle name="Percent 3 2 4 3" xfId="1313"/>
    <cellStyle name="Percent 3 2 5" xfId="1314"/>
    <cellStyle name="Percent 3 3" xfId="1315"/>
    <cellStyle name="Percent 30" xfId="1316"/>
    <cellStyle name="Percent 31" xfId="1317"/>
    <cellStyle name="Percent 32" xfId="1318"/>
    <cellStyle name="Percent 33" xfId="1319"/>
    <cellStyle name="Percent 34" xfId="1320"/>
    <cellStyle name="Percent 35" xfId="1321"/>
    <cellStyle name="Percent 35 2" xfId="1322"/>
    <cellStyle name="Percent 35 3" xfId="1323"/>
    <cellStyle name="Percent 36" xfId="1324"/>
    <cellStyle name="Percent 36 2" xfId="1325"/>
    <cellStyle name="Percent 36 3" xfId="1326"/>
    <cellStyle name="Percent 37" xfId="1327"/>
    <cellStyle name="Percent 37 2" xfId="1328"/>
    <cellStyle name="Percent 38" xfId="1329"/>
    <cellStyle name="Percent 39" xfId="1330"/>
    <cellStyle name="Percent 4" xfId="1331"/>
    <cellStyle name="Percent 4 2" xfId="1332"/>
    <cellStyle name="Percent 40" xfId="1333"/>
    <cellStyle name="Percent 40 2" xfId="1334"/>
    <cellStyle name="Percent 41" xfId="1335"/>
    <cellStyle name="Percent 42" xfId="1336"/>
    <cellStyle name="Percent 43" xfId="1337"/>
    <cellStyle name="Percent 44" xfId="1338"/>
    <cellStyle name="Percent 45" xfId="1339"/>
    <cellStyle name="Percent 45 2" xfId="1340"/>
    <cellStyle name="Percent 46" xfId="1341"/>
    <cellStyle name="Percent 47" xfId="1342"/>
    <cellStyle name="Percent 48" xfId="1343"/>
    <cellStyle name="Percent 49" xfId="1344"/>
    <cellStyle name="Percent 5" xfId="1345"/>
    <cellStyle name="Percent 50" xfId="1346"/>
    <cellStyle name="Percent 51" xfId="1347"/>
    <cellStyle name="Percent 52" xfId="1348"/>
    <cellStyle name="Percent 52 2" xfId="1349"/>
    <cellStyle name="Percent 53" xfId="1350"/>
    <cellStyle name="Percent 53 2" xfId="1351"/>
    <cellStyle name="Percent 54" xfId="1352"/>
    <cellStyle name="Percent 54 2" xfId="1353"/>
    <cellStyle name="Percent 55" xfId="1354"/>
    <cellStyle name="Percent 55 2" xfId="1355"/>
    <cellStyle name="Percent 56" xfId="1356"/>
    <cellStyle name="Percent 57" xfId="1357"/>
    <cellStyle name="Percent 58" xfId="1358"/>
    <cellStyle name="Percent 59" xfId="1359"/>
    <cellStyle name="Percent 6" xfId="1360"/>
    <cellStyle name="Percent 60" xfId="1361"/>
    <cellStyle name="Percent 61" xfId="1362"/>
    <cellStyle name="Percent 62" xfId="1363"/>
    <cellStyle name="Percent 63" xfId="1364"/>
    <cellStyle name="Percent 64" xfId="1365"/>
    <cellStyle name="Percent 65" xfId="1366"/>
    <cellStyle name="Percent 66" xfId="1367"/>
    <cellStyle name="Percent 67" xfId="1368"/>
    <cellStyle name="Percent 68" xfId="1369"/>
    <cellStyle name="Percent 69" xfId="1370"/>
    <cellStyle name="Percent 7" xfId="1371"/>
    <cellStyle name="Percent 70" xfId="1372"/>
    <cellStyle name="Percent 71" xfId="1373"/>
    <cellStyle name="Percent 72" xfId="1374"/>
    <cellStyle name="Percent 72 2" xfId="1375"/>
    <cellStyle name="Percent 73" xfId="1376"/>
    <cellStyle name="Percent 73 2" xfId="1377"/>
    <cellStyle name="Percent 74" xfId="1378"/>
    <cellStyle name="Percent 74 2" xfId="1379"/>
    <cellStyle name="Percent 75" xfId="1380"/>
    <cellStyle name="Percent 75 2" xfId="1381"/>
    <cellStyle name="Percent 76" xfId="1382"/>
    <cellStyle name="Percent 76 2" xfId="1383"/>
    <cellStyle name="Percent 77" xfId="1384"/>
    <cellStyle name="Percent 77 2" xfId="1385"/>
    <cellStyle name="Percent 78" xfId="1386"/>
    <cellStyle name="Percent 78 2" xfId="1387"/>
    <cellStyle name="Percent 79" xfId="1388"/>
    <cellStyle name="Percent 8" xfId="1389"/>
    <cellStyle name="Percent 80" xfId="1390"/>
    <cellStyle name="Percent 81" xfId="1391"/>
    <cellStyle name="Percent 82" xfId="1392"/>
    <cellStyle name="Percent 83" xfId="1393"/>
    <cellStyle name="Percent 84" xfId="1394"/>
    <cellStyle name="Percent 85" xfId="1395"/>
    <cellStyle name="Percent 86" xfId="1396"/>
    <cellStyle name="Percent 87" xfId="1397"/>
    <cellStyle name="Percent 88" xfId="1398"/>
    <cellStyle name="Percent 89" xfId="1399"/>
    <cellStyle name="Percent 9" xfId="1400"/>
    <cellStyle name="Percent 9 2" xfId="1401"/>
    <cellStyle name="Percent 9 3" xfId="1402"/>
    <cellStyle name="Percent 90" xfId="1403"/>
    <cellStyle name="Percent 91" xfId="1404"/>
    <cellStyle name="Percent 92" xfId="1405"/>
    <cellStyle name="Percent 93" xfId="1406"/>
    <cellStyle name="Percent 94" xfId="1407"/>
    <cellStyle name="Percent 94 2" xfId="1408"/>
    <cellStyle name="Percent 95" xfId="1409"/>
    <cellStyle name="Percent 95 2" xfId="1410"/>
    <cellStyle name="Percent 96" xfId="1411"/>
    <cellStyle name="Percent 96 2" xfId="1412"/>
    <cellStyle name="Percent 97" xfId="1413"/>
    <cellStyle name="Percent 97 2" xfId="1414"/>
    <cellStyle name="Percent 98" xfId="1415"/>
    <cellStyle name="Percent 98 2" xfId="1416"/>
    <cellStyle name="Percent 99" xfId="1417"/>
    <cellStyle name="Percent 99 2" xfId="1418"/>
    <cellStyle name="PSChar" xfId="1419"/>
    <cellStyle name="PSChar 2" xfId="1420"/>
    <cellStyle name="PSChar 3" xfId="1421"/>
    <cellStyle name="PSDate" xfId="1422"/>
    <cellStyle name="PSDate 2" xfId="1423"/>
    <cellStyle name="PSDate 3" xfId="1424"/>
    <cellStyle name="PSDec" xfId="1425"/>
    <cellStyle name="PSDec 2" xfId="1426"/>
    <cellStyle name="PSDec 3" xfId="1427"/>
    <cellStyle name="PSHeading" xfId="1428"/>
    <cellStyle name="PSHeading 2" xfId="1429"/>
    <cellStyle name="PSHeading 3" xfId="1430"/>
    <cellStyle name="PSHeading_BP-14 Preliminary Capital Forecast NonBudget System_5 2 13" xfId="1431"/>
    <cellStyle name="PSInt" xfId="1432"/>
    <cellStyle name="PSInt 2" xfId="1433"/>
    <cellStyle name="PSInt 3" xfId="1434"/>
    <cellStyle name="PSSpacer" xfId="1435"/>
    <cellStyle name="PSSpacer 2" xfId="1436"/>
    <cellStyle name="PSSpacer 3" xfId="1437"/>
    <cellStyle name="Rate" xfId="1438"/>
    <cellStyle name="Reference" xfId="1439"/>
    <cellStyle name="RevList" xfId="1440"/>
    <cellStyle name="round100" xfId="1441"/>
    <cellStyle name="SectionBreak" xfId="1442"/>
    <cellStyle name="shade" xfId="1443"/>
    <cellStyle name="StmtTtl1" xfId="1444"/>
    <cellStyle name="StmtTtl2" xfId="1445"/>
    <cellStyle name="STYL1 - Style1" xfId="1446"/>
    <cellStyle name="Style 1" xfId="1447"/>
    <cellStyle name="Subtotal" xfId="1448"/>
    <cellStyle name="Table Head" xfId="1449"/>
    <cellStyle name="Table Head Aligned" xfId="1450"/>
    <cellStyle name="Table Head Blue" xfId="1451"/>
    <cellStyle name="Table Head Green" xfId="1452"/>
    <cellStyle name="Table Heading" xfId="1453"/>
    <cellStyle name="Table Title" xfId="1454"/>
    <cellStyle name="Table Units" xfId="1455"/>
    <cellStyle name="Title" xfId="1456"/>
    <cellStyle name="Title 2" xfId="1457"/>
    <cellStyle name="Title 2 2" xfId="1458"/>
    <cellStyle name="Title 2 2 2" xfId="1459"/>
    <cellStyle name="Title 2 2 3" xfId="1460"/>
    <cellStyle name="Title 2 2 4" xfId="1461"/>
    <cellStyle name="Title 2 3" xfId="1462"/>
    <cellStyle name="Title 2 4" xfId="1463"/>
    <cellStyle name="Title 2 5" xfId="1464"/>
    <cellStyle name="Title 3" xfId="1465"/>
    <cellStyle name="Title 4" xfId="1466"/>
    <cellStyle name="Title: Minor" xfId="1467"/>
    <cellStyle name="Title: Worksheet" xfId="1468"/>
    <cellStyle name="Total" xfId="1469"/>
    <cellStyle name="Total 2" xfId="1470"/>
    <cellStyle name="Total 2 2" xfId="1471"/>
    <cellStyle name="Total 2 2 2" xfId="1472"/>
    <cellStyle name="Total 2 2 3" xfId="1473"/>
    <cellStyle name="Total 2 2 4" xfId="1474"/>
    <cellStyle name="Total 2 3" xfId="1475"/>
    <cellStyle name="Total 2 4" xfId="1476"/>
    <cellStyle name="Total 2 5" xfId="1477"/>
    <cellStyle name="Total 2_QC" xfId="1478"/>
    <cellStyle name="Total 3" xfId="1479"/>
    <cellStyle name="Total 4" xfId="1480"/>
    <cellStyle name="v" xfId="1481"/>
    <cellStyle name="Warning Text" xfId="1482"/>
    <cellStyle name="Warning Text 2" xfId="1483"/>
    <cellStyle name="Warning Text 2 2" xfId="1484"/>
    <cellStyle name="Warning Text 2 2 2" xfId="1485"/>
    <cellStyle name="Warning Text 2 3" xfId="1486"/>
    <cellStyle name="Warning Text 2 4" xfId="1487"/>
    <cellStyle name="Warning Text 2 5" xfId="1488"/>
    <cellStyle name="Warning Text 3" xfId="1489"/>
    <cellStyle name="Warning Text 4" xfId="1490"/>
  </cellStyles>
  <dxfs count="1">
    <dxf>
      <border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customXml" Target="../customXml/item3.xml" /><Relationship Id="rId33" Type="http://schemas.openxmlformats.org/officeDocument/2006/relationships/customXml" Target="../customXml/item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BP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$TieredRAM\RAM2012\$new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Documents%20and%20Settings\sdz3366\Local%20Settings\Temporary%20Internet%20Files\OLK49\Cong04templateP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Transmission"/>
      <sheetName val="I_Credits"/>
      <sheetName val="I_ValueofReserves"/>
      <sheetName val="I_LDD_Percent"/>
      <sheetName val="I_IRD"/>
      <sheetName val="I_Aurora"/>
      <sheetName val="I_Demand"/>
      <sheetName val="I_Tier2"/>
      <sheetName val="I_Interest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yr1"/>
      <sheetName val="I_ER_yr2"/>
      <sheetName val="I_ER_yr3"/>
      <sheetName val="I_ER_yr4"/>
      <sheetName val="I_ER_yr5"/>
      <sheetName val="I_ER_yr6"/>
      <sheetName val="I_Res"/>
      <sheetName val="I_T1SFCO_LaRIS"/>
      <sheetName val="I_T1SFCO"/>
      <sheetName val="I_Cost"/>
      <sheetName val="I_RSS_Rates"/>
      <sheetName val="I_RSS_Res"/>
      <sheetName val="I_CHWM_PSS"/>
      <sheetName val="I_T2Elec"/>
      <sheetName val="I_CHWM"/>
      <sheetName val="I_Mrkt"/>
      <sheetName val="I_Exch"/>
      <sheetName val="I_Slice"/>
      <sheetName val="I_LDDSlice"/>
      <sheetName val="RiskMod"/>
      <sheetName val="I_TransInputs"/>
      <sheetName val="Margin_VOR"/>
      <sheetName val="Load"/>
      <sheetName val="Res"/>
      <sheetName val="T1SFCO"/>
      <sheetName val="Cost"/>
      <sheetName val="TRL"/>
      <sheetName val="NLSL"/>
      <sheetName val="CSP"/>
      <sheetName val="ER_ExhibitA"/>
      <sheetName val="Tier 2"/>
      <sheetName val="CDQ"/>
      <sheetName val="SuperPeak"/>
      <sheetName val="RSS"/>
      <sheetName val="Validation"/>
      <sheetName val="Update Log"/>
      <sheetName val="I_IRD_loads"/>
      <sheetName val="I_IRD_rate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E5">
            <v>2011</v>
          </cell>
        </row>
        <row r="11">
          <cell r="C11">
            <v>10</v>
          </cell>
        </row>
        <row r="12">
          <cell r="C12">
            <v>40817</v>
          </cell>
        </row>
        <row r="14">
          <cell r="C14" t="str">
            <v>No</v>
          </cell>
        </row>
        <row r="16">
          <cell r="C16">
            <v>72</v>
          </cell>
        </row>
        <row r="20">
          <cell r="C20">
            <v>2012</v>
          </cell>
        </row>
        <row r="22">
          <cell r="C22">
            <v>2012</v>
          </cell>
        </row>
      </sheetData>
      <sheetData sheetId="14">
        <row r="5">
          <cell r="B5" t="str">
            <v>Preference</v>
          </cell>
          <cell r="E5" t="str">
            <v>Intraregional Transfer</v>
          </cell>
          <cell r="H5" t="str">
            <v>WNP3</v>
          </cell>
        </row>
        <row r="6">
          <cell r="B6" t="str">
            <v>Industrial</v>
          </cell>
          <cell r="E6" t="str">
            <v>FBS Obligation</v>
          </cell>
          <cell r="H6" t="str">
            <v>Puget Power Sale</v>
          </cell>
        </row>
        <row r="7">
          <cell r="B7" t="str">
            <v>New Resource</v>
          </cell>
          <cell r="E7" t="str">
            <v>Locational Exchange</v>
          </cell>
          <cell r="H7" t="str">
            <v>Clark Power Sale</v>
          </cell>
        </row>
        <row r="8">
          <cell r="B8" t="str">
            <v>Firm Power and Services</v>
          </cell>
          <cell r="E8" t="str">
            <v>Seasonal or Capacity Exchange</v>
          </cell>
          <cell r="H8" t="str">
            <v>Dittmer Station Service</v>
          </cell>
        </row>
        <row r="9">
          <cell r="B9" t="str">
            <v>Conservation</v>
          </cell>
        </row>
        <row r="10">
          <cell r="B10" t="str">
            <v>Exclude</v>
          </cell>
          <cell r="E10" t="str">
            <v>Smelter</v>
          </cell>
        </row>
        <row r="11">
          <cell r="E11" t="str">
            <v>Other Industrial</v>
          </cell>
        </row>
        <row r="13">
          <cell r="E13" t="str">
            <v>Slice Block</v>
          </cell>
        </row>
        <row r="14">
          <cell r="E14" t="str">
            <v>Slice (non-block)</v>
          </cell>
        </row>
        <row r="15">
          <cell r="E15" t="str">
            <v>Load Following - System Shape</v>
          </cell>
        </row>
        <row r="16">
          <cell r="E16" t="str">
            <v>Load Following - Load Shaping</v>
          </cell>
          <cell r="H16" t="str">
            <v>Riverside Capacity</v>
          </cell>
        </row>
        <row r="17">
          <cell r="E17" t="str">
            <v>Irrigation Mitigation</v>
          </cell>
          <cell r="H17" t="str">
            <v>Riverside Seasonal</v>
          </cell>
        </row>
        <row r="18">
          <cell r="E18" t="str">
            <v>Tier 2 (Block)</v>
          </cell>
          <cell r="H18" t="str">
            <v>Pasadena</v>
          </cell>
        </row>
        <row r="19">
          <cell r="H19" t="str">
            <v>PG&amp;E</v>
          </cell>
        </row>
        <row r="20">
          <cell r="H20" t="str">
            <v>PacifiCorp</v>
          </cell>
        </row>
        <row r="21">
          <cell r="H21" t="str">
            <v>Intertie Losses</v>
          </cell>
        </row>
        <row r="22">
          <cell r="H22" t="str">
            <v>White Creek Shaping</v>
          </cell>
        </row>
        <row r="27">
          <cell r="H27" t="str">
            <v>Sierra Pacific (Wells)</v>
          </cell>
        </row>
        <row r="28">
          <cell r="H28" t="str">
            <v>PacifiCorp (So Idaho)</v>
          </cell>
        </row>
        <row r="38">
          <cell r="H38" t="str">
            <v>Canadian Entitlement</v>
          </cell>
        </row>
        <row r="39">
          <cell r="H39" t="str">
            <v>USBR Pump Load</v>
          </cell>
        </row>
        <row r="40">
          <cell r="H40" t="str">
            <v>Hungry Horse</v>
          </cell>
        </row>
        <row r="41">
          <cell r="H41" t="str">
            <v>Northern Lights</v>
          </cell>
        </row>
        <row r="42">
          <cell r="H42" t="str">
            <v>Pre Subscripition</v>
          </cell>
        </row>
        <row r="43">
          <cell r="H43" t="str">
            <v>Upper Baker</v>
          </cell>
        </row>
      </sheetData>
      <sheetData sheetId="15">
        <row r="5">
          <cell r="B5" t="str">
            <v>Hydro</v>
          </cell>
          <cell r="E5" t="str">
            <v>Regulated</v>
          </cell>
          <cell r="H5" t="str">
            <v>Cowlitz Falls</v>
          </cell>
        </row>
        <row r="6">
          <cell r="B6" t="str">
            <v>Non Hydro</v>
          </cell>
          <cell r="E6" t="str">
            <v>Independent</v>
          </cell>
          <cell r="H6" t="str">
            <v>Idaho Falls</v>
          </cell>
        </row>
        <row r="7">
          <cell r="B7" t="str">
            <v>Contracts</v>
          </cell>
          <cell r="E7" t="str">
            <v>Hydro Other</v>
          </cell>
          <cell r="H7" t="str">
            <v>PreAct</v>
          </cell>
        </row>
        <row r="8">
          <cell r="B8" t="str">
            <v>Augmentation</v>
          </cell>
        </row>
        <row r="9">
          <cell r="B9" t="str">
            <v>New Resources</v>
          </cell>
          <cell r="E9" t="str">
            <v>Water</v>
          </cell>
        </row>
        <row r="10">
          <cell r="B10" t="str">
            <v>Transmission Losses</v>
          </cell>
          <cell r="E10" t="str">
            <v>Thermal</v>
          </cell>
        </row>
        <row r="11">
          <cell r="B11" t="str">
            <v>Exclude</v>
          </cell>
          <cell r="E11" t="str">
            <v>Wind</v>
          </cell>
        </row>
        <row r="12">
          <cell r="E12" t="str">
            <v>Renewable</v>
          </cell>
        </row>
        <row r="14">
          <cell r="E14" t="str">
            <v>Imports</v>
          </cell>
        </row>
        <row r="15">
          <cell r="E15" t="str">
            <v>Locational Exchange</v>
          </cell>
        </row>
        <row r="16">
          <cell r="E16" t="str">
            <v>Seasonal or Capacity Exchange</v>
          </cell>
          <cell r="H16" t="str">
            <v>Canadian Entitlement</v>
          </cell>
        </row>
        <row r="17">
          <cell r="E17" t="str">
            <v>Tier2</v>
          </cell>
          <cell r="H17" t="str">
            <v>Other</v>
          </cell>
        </row>
        <row r="18">
          <cell r="E18" t="str">
            <v>Balancing</v>
          </cell>
        </row>
        <row r="20">
          <cell r="E20" t="str">
            <v>System Augmentation</v>
          </cell>
        </row>
        <row r="21">
          <cell r="E21" t="str">
            <v>Tier 1 Resources</v>
          </cell>
        </row>
        <row r="27">
          <cell r="H27" t="str">
            <v>Riverside Exchange Energy</v>
          </cell>
        </row>
        <row r="28">
          <cell r="H28" t="str">
            <v>Pasadena Exchange Energy</v>
          </cell>
        </row>
        <row r="29">
          <cell r="H29" t="str">
            <v>BC Hydro Power Purchase</v>
          </cell>
        </row>
        <row r="30">
          <cell r="H30" t="str">
            <v>PacifiCorp Settlement</v>
          </cell>
        </row>
        <row r="31">
          <cell r="H31" t="str">
            <v>PacifiCorp Power Purchase</v>
          </cell>
        </row>
        <row r="32">
          <cell r="H32" t="str">
            <v>Slice Return of Losses</v>
          </cell>
        </row>
        <row r="60">
          <cell r="H60" t="str">
            <v>Short Term</v>
          </cell>
        </row>
        <row r="61">
          <cell r="H61" t="str">
            <v>Load Growth</v>
          </cell>
        </row>
        <row r="62">
          <cell r="H62" t="str">
            <v>Vintage 1</v>
          </cell>
        </row>
        <row r="63">
          <cell r="H63" t="str">
            <v>Vintage 2</v>
          </cell>
        </row>
        <row r="64">
          <cell r="H64" t="str">
            <v>Vintage 3</v>
          </cell>
        </row>
        <row r="71">
          <cell r="H71" t="str">
            <v>Dworshak/Clearwater Small Hydropower</v>
          </cell>
        </row>
        <row r="72">
          <cell r="H72" t="str">
            <v>Elwha Hydro</v>
          </cell>
        </row>
        <row r="73">
          <cell r="H73" t="str">
            <v>Glines Canyon Hydro</v>
          </cell>
        </row>
        <row r="82">
          <cell r="H82" t="str">
            <v>Columbia Generating Station</v>
          </cell>
        </row>
        <row r="93">
          <cell r="H93" t="str">
            <v>Foote Creek 1</v>
          </cell>
        </row>
        <row r="94">
          <cell r="H94" t="str">
            <v>Foote Creek 2</v>
          </cell>
        </row>
        <row r="95">
          <cell r="H95" t="str">
            <v>Foote Creek 4</v>
          </cell>
        </row>
        <row r="96">
          <cell r="H96" t="str">
            <v>Stateline Wind Project</v>
          </cell>
        </row>
        <row r="97">
          <cell r="H97" t="str">
            <v>Condon Wind Project</v>
          </cell>
        </row>
        <row r="98">
          <cell r="H98" t="str">
            <v>Klondike I</v>
          </cell>
        </row>
        <row r="104">
          <cell r="H104" t="str">
            <v>Georgia-Pacific Paper (Wauna)</v>
          </cell>
        </row>
        <row r="105">
          <cell r="H105" t="str">
            <v>Fourmile Hill Geothermal</v>
          </cell>
        </row>
        <row r="106">
          <cell r="H106" t="str">
            <v>Ashland Solar Project</v>
          </cell>
        </row>
        <row r="107">
          <cell r="H107" t="str">
            <v>White Bluffs Solar</v>
          </cell>
        </row>
        <row r="117">
          <cell r="H117" t="str">
            <v>Klondike III</v>
          </cell>
        </row>
        <row r="118">
          <cell r="H118" t="str">
            <v>Rocky Brook</v>
          </cell>
        </row>
      </sheetData>
      <sheetData sheetId="16">
        <row r="5">
          <cell r="B5" t="str">
            <v>Composite</v>
          </cell>
          <cell r="E5" t="str">
            <v>FBS</v>
          </cell>
          <cell r="H5" t="str">
            <v>Hydro</v>
          </cell>
          <cell r="K5" t="str">
            <v>Operating Expense</v>
          </cell>
          <cell r="N5" t="str">
            <v>FBS_Hydro</v>
          </cell>
        </row>
        <row r="6">
          <cell r="B6" t="str">
            <v>Slice</v>
          </cell>
          <cell r="E6" t="str">
            <v>FBS7b2</v>
          </cell>
          <cell r="H6" t="str">
            <v>FW</v>
          </cell>
          <cell r="K6" t="str">
            <v>Interest</v>
          </cell>
          <cell r="N6" t="str">
            <v>FBS_Hydro_Interest</v>
          </cell>
        </row>
        <row r="7">
          <cell r="B7" t="str">
            <v>Nonslice</v>
          </cell>
          <cell r="E7" t="str">
            <v>REP</v>
          </cell>
          <cell r="H7" t="str">
            <v>Trojan</v>
          </cell>
          <cell r="K7" t="str">
            <v>PNRR</v>
          </cell>
          <cell r="N7" t="str">
            <v>FBS_Hydro_PNRR</v>
          </cell>
        </row>
        <row r="8">
          <cell r="B8" t="str">
            <v>Tier2</v>
          </cell>
          <cell r="E8" t="str">
            <v>NewResources</v>
          </cell>
          <cell r="H8" t="str">
            <v>CGS</v>
          </cell>
          <cell r="K8" t="str">
            <v>MRNR</v>
          </cell>
          <cell r="N8" t="str">
            <v>FBS_Hydro_MRNR</v>
          </cell>
        </row>
        <row r="9">
          <cell r="B9" t="str">
            <v>RDS</v>
          </cell>
          <cell r="E9" t="str">
            <v>Conservation</v>
          </cell>
          <cell r="H9" t="str">
            <v>WNP#1</v>
          </cell>
          <cell r="N9" t="str">
            <v>FBS_Hydro_Interest_7b2</v>
          </cell>
        </row>
        <row r="10">
          <cell r="B10" t="str">
            <v>Interest</v>
          </cell>
          <cell r="E10" t="str">
            <v>BPAPrograms</v>
          </cell>
          <cell r="H10" t="str">
            <v>WNP#3</v>
          </cell>
          <cell r="K10" t="str">
            <v>Operating Expense</v>
          </cell>
          <cell r="N10" t="str">
            <v>FBS_Hydro_PNRR_7b2</v>
          </cell>
        </row>
        <row r="11">
          <cell r="B11" t="str">
            <v>MRNR</v>
          </cell>
          <cell r="E11" t="str">
            <v>BPAPrograms7b2</v>
          </cell>
          <cell r="H11" t="str">
            <v>Augmentation</v>
          </cell>
          <cell r="K11" t="str">
            <v>Interest</v>
          </cell>
          <cell r="N11" t="str">
            <v>FBS_Hydro_MRNR_7b2</v>
          </cell>
        </row>
        <row r="12">
          <cell r="B12" t="str">
            <v>PNRR</v>
          </cell>
          <cell r="E12" t="str">
            <v>Transmission</v>
          </cell>
          <cell r="H12" t="str">
            <v>Balancing</v>
          </cell>
          <cell r="K12" t="str">
            <v>PNRR</v>
          </cell>
          <cell r="N12" t="str">
            <v>FBS_FW</v>
          </cell>
        </row>
        <row r="13">
          <cell r="B13" t="str">
            <v>Totcat</v>
          </cell>
          <cell r="E13" t="str">
            <v>Interest</v>
          </cell>
          <cell r="H13" t="str">
            <v>Tier2</v>
          </cell>
          <cell r="K13" t="str">
            <v>MRNR</v>
          </cell>
          <cell r="N13" t="str">
            <v>FBS_FW_Interest</v>
          </cell>
        </row>
        <row r="14">
          <cell r="E14" t="str">
            <v>MRNR</v>
          </cell>
          <cell r="N14" t="str">
            <v>FBS_FW_PNRR</v>
          </cell>
        </row>
        <row r="15">
          <cell r="E15" t="str">
            <v>RDCreditorCost</v>
          </cell>
          <cell r="H15" t="str">
            <v>Cost</v>
          </cell>
          <cell r="K15" t="str">
            <v>Purchase Costs</v>
          </cell>
          <cell r="N15" t="str">
            <v>FBS_FW_MRNR</v>
          </cell>
        </row>
        <row r="16">
          <cell r="E16" t="str">
            <v>Totcat</v>
          </cell>
          <cell r="H16" t="str">
            <v>Support</v>
          </cell>
          <cell r="K16" t="str">
            <v>Rate Design Costs</v>
          </cell>
          <cell r="N16" t="str">
            <v>FBS_FW_Interest_7b2</v>
          </cell>
        </row>
        <row r="17">
          <cell r="H17" t="str">
            <v>Settlements</v>
          </cell>
          <cell r="K17" t="str">
            <v>Other</v>
          </cell>
          <cell r="N17" t="str">
            <v>FBS_FW_PNRR_7b2</v>
          </cell>
        </row>
        <row r="18">
          <cell r="N18" t="str">
            <v>FBS_FW_MRNR_7b2</v>
          </cell>
        </row>
        <row r="19">
          <cell r="H19" t="str">
            <v>Cowlitz</v>
          </cell>
          <cell r="N19" t="str">
            <v>FBS_Trojan</v>
          </cell>
        </row>
        <row r="20">
          <cell r="H20" t="str">
            <v>Idaho</v>
          </cell>
          <cell r="K20" t="str">
            <v>HungryHorse</v>
          </cell>
          <cell r="N20" t="str">
            <v>FBS_CGS</v>
          </cell>
        </row>
        <row r="21">
          <cell r="H21" t="str">
            <v>Tier 1 Aug</v>
          </cell>
          <cell r="K21" t="str">
            <v>PacifiCorpCap</v>
          </cell>
          <cell r="N21" t="str">
            <v>FBS_WNP#1</v>
          </cell>
        </row>
        <row r="22">
          <cell r="H22" t="str">
            <v>Other</v>
          </cell>
          <cell r="K22" t="str">
            <v>Other </v>
          </cell>
          <cell r="N22" t="str">
            <v>FBS_WNP#3</v>
          </cell>
        </row>
        <row r="23">
          <cell r="N23" t="str">
            <v>FBS_Augmentation</v>
          </cell>
        </row>
        <row r="24">
          <cell r="H24" t="str">
            <v>Operating Expense</v>
          </cell>
          <cell r="K24" t="str">
            <v>Composite Federal</v>
          </cell>
          <cell r="N24" t="str">
            <v>FBS_Balancing</v>
          </cell>
        </row>
        <row r="25">
          <cell r="H25" t="str">
            <v>Interest</v>
          </cell>
          <cell r="K25" t="str">
            <v>Non-slice Federal</v>
          </cell>
          <cell r="N25" t="str">
            <v>FBS_Tier2</v>
          </cell>
        </row>
        <row r="26">
          <cell r="H26" t="str">
            <v>PNRR</v>
          </cell>
          <cell r="K26" t="str">
            <v>Composite Nonfederal</v>
          </cell>
          <cell r="N26" t="str">
            <v>NewResources_Idaho</v>
          </cell>
        </row>
        <row r="27">
          <cell r="H27" t="str">
            <v>MRNR</v>
          </cell>
          <cell r="K27" t="str">
            <v>Non-slice Nonfederal</v>
          </cell>
          <cell r="N27" t="str">
            <v>NewResources_Cowlitz</v>
          </cell>
        </row>
        <row r="28">
          <cell r="N28" t="str">
            <v>NewResources_Tier1Aug</v>
          </cell>
        </row>
        <row r="29">
          <cell r="H29" t="str">
            <v>Operating Expense</v>
          </cell>
          <cell r="K29" t="str">
            <v>Composite</v>
          </cell>
          <cell r="N29" t="str">
            <v>NewResources_Other</v>
          </cell>
        </row>
        <row r="30">
          <cell r="H30" t="str">
            <v>Software</v>
          </cell>
          <cell r="K30" t="str">
            <v>Non-slice</v>
          </cell>
          <cell r="N30" t="str">
            <v>REP</v>
          </cell>
        </row>
        <row r="31">
          <cell r="H31" t="str">
            <v>HedgeMitigation</v>
          </cell>
          <cell r="N31" t="str">
            <v>Conservation</v>
          </cell>
        </row>
        <row r="32">
          <cell r="H32" t="str">
            <v>Interest</v>
          </cell>
          <cell r="K32" t="str">
            <v>Composite</v>
          </cell>
          <cell r="N32" t="str">
            <v>Conservation_Interest</v>
          </cell>
        </row>
        <row r="33">
          <cell r="H33" t="str">
            <v>PNRR</v>
          </cell>
          <cell r="K33" t="str">
            <v>Non-slice</v>
          </cell>
          <cell r="N33" t="str">
            <v>Conservation_PNRR</v>
          </cell>
        </row>
        <row r="34">
          <cell r="H34" t="str">
            <v>MRNR</v>
          </cell>
          <cell r="N34" t="str">
            <v>Conservation_MRNR</v>
          </cell>
        </row>
        <row r="35">
          <cell r="K35" t="str">
            <v>loadgrowth</v>
          </cell>
          <cell r="N35" t="str">
            <v>BPAPrograms</v>
          </cell>
        </row>
        <row r="36">
          <cell r="H36" t="str">
            <v>T&amp;A</v>
          </cell>
          <cell r="K36" t="str">
            <v>vintage</v>
          </cell>
          <cell r="N36" t="str">
            <v>BPAPrograms_Interest</v>
          </cell>
        </row>
        <row r="37">
          <cell r="H37" t="str">
            <v>GTA</v>
          </cell>
          <cell r="N37" t="str">
            <v>BPAPrograms_PNRR</v>
          </cell>
        </row>
        <row r="38">
          <cell r="H38" t="str">
            <v>Third-partyT&amp;A</v>
          </cell>
          <cell r="N38" t="str">
            <v>BPAPrograms_MRNR</v>
          </cell>
        </row>
        <row r="39">
          <cell r="N39" t="str">
            <v>BPAPrograms_Interest_7b2</v>
          </cell>
        </row>
        <row r="40">
          <cell r="H40" t="str">
            <v>BPAFund</v>
          </cell>
          <cell r="N40" t="str">
            <v>BPAPrograms_PNRR_7b2</v>
          </cell>
        </row>
        <row r="41">
          <cell r="N41" t="str">
            <v>BPAPrograms_MRNR_7b2</v>
          </cell>
        </row>
        <row r="42">
          <cell r="H42" t="str">
            <v>NonsliceAdj</v>
          </cell>
          <cell r="N42" t="str">
            <v>Transmission</v>
          </cell>
        </row>
        <row r="43">
          <cell r="N43" t="str">
            <v>Transmission_3rdParty</v>
          </cell>
        </row>
        <row r="44">
          <cell r="H44" t="str">
            <v>SecondaryEnergyCredit</v>
          </cell>
          <cell r="N44" t="str">
            <v>Transmission_GTA</v>
          </cell>
        </row>
        <row r="45">
          <cell r="H45" t="str">
            <v>Downstream</v>
          </cell>
          <cell r="N45" t="str">
            <v>RateDesignStep</v>
          </cell>
        </row>
        <row r="46">
          <cell r="H46" t="str">
            <v>4h10c</v>
          </cell>
          <cell r="N46" t="str">
            <v>Totcat</v>
          </cell>
        </row>
        <row r="47">
          <cell r="H47" t="str">
            <v>Colville</v>
          </cell>
        </row>
        <row r="48">
          <cell r="H48" t="str">
            <v>Green FBS</v>
          </cell>
        </row>
        <row r="49">
          <cell r="H49" t="str">
            <v>Green NR</v>
          </cell>
        </row>
        <row r="50">
          <cell r="H50" t="str">
            <v>EER</v>
          </cell>
        </row>
        <row r="51">
          <cell r="H51" t="str">
            <v>Misc GTA</v>
          </cell>
        </row>
        <row r="52">
          <cell r="H52" t="str">
            <v>Obligation Revenue</v>
          </cell>
        </row>
        <row r="53">
          <cell r="H53" t="str">
            <v>GenerationInputsCredit</v>
          </cell>
        </row>
        <row r="54">
          <cell r="H54" t="str">
            <v>NetworkWindCredit</v>
          </cell>
        </row>
        <row r="55">
          <cell r="H55" t="str">
            <v>Low Density Discount</v>
          </cell>
        </row>
        <row r="56">
          <cell r="H56" t="str">
            <v>Irrigation Rate Mitigation Costs</v>
          </cell>
        </row>
        <row r="57">
          <cell r="H57" t="str">
            <v>FPSCredit</v>
          </cell>
        </row>
        <row r="58">
          <cell r="H58" t="str">
            <v>SurpUnusedRHWMCredit</v>
          </cell>
        </row>
        <row r="59">
          <cell r="H59" t="str">
            <v>Remarketing</v>
          </cell>
        </row>
        <row r="60">
          <cell r="H60" t="str">
            <v>DemandCredit</v>
          </cell>
        </row>
        <row r="61">
          <cell r="H61" t="str">
            <v>LoadShpCredit</v>
          </cell>
        </row>
        <row r="62">
          <cell r="H62" t="str">
            <v>RSS and RSC Charges</v>
          </cell>
        </row>
        <row r="63">
          <cell r="H63" t="str">
            <v>Purchase Costs</v>
          </cell>
        </row>
        <row r="64">
          <cell r="H64" t="str">
            <v>Rate Design Costs</v>
          </cell>
        </row>
      </sheetData>
      <sheetData sheetId="17" refreshError="1"/>
      <sheetData sheetId="18" refreshError="1"/>
      <sheetData sheetId="19" refreshError="1"/>
      <sheetData sheetId="20">
        <row r="5">
          <cell r="G5" t="str">
            <v>NLSL is served by Specified Existing Resources in Exhibit A</v>
          </cell>
        </row>
        <row r="6">
          <cell r="G6" t="str">
            <v>NLSL served with unspecified resources listed in Exhibit A</v>
          </cell>
        </row>
        <row r="7">
          <cell r="G7" t="str">
            <v>NLSL service is unspecified and not included (includes Green resource treatment for Flathead)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rora"/>
      <sheetName val="TRM Load Import"/>
      <sheetName val="TRM Resource Import"/>
      <sheetName val="INPUTS"/>
      <sheetName val="Load_Resource"/>
      <sheetName val="Exchange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4.26</v>
          </cell>
        </row>
        <row r="7">
          <cell r="C7">
            <v>1.1</v>
          </cell>
        </row>
        <row r="54">
          <cell r="B54">
            <v>2010</v>
          </cell>
          <cell r="C54">
            <v>58.46</v>
          </cell>
        </row>
        <row r="55">
          <cell r="B55">
            <v>2011</v>
          </cell>
          <cell r="C55">
            <v>50.87</v>
          </cell>
        </row>
        <row r="56">
          <cell r="B56">
            <v>2012</v>
          </cell>
          <cell r="C56">
            <v>50.68</v>
          </cell>
        </row>
        <row r="57">
          <cell r="B57">
            <v>2013</v>
          </cell>
          <cell r="C57">
            <v>51.95</v>
          </cell>
        </row>
        <row r="58">
          <cell r="B58">
            <v>2014</v>
          </cell>
          <cell r="C58">
            <v>53.25</v>
          </cell>
        </row>
        <row r="59">
          <cell r="B59">
            <v>2015</v>
          </cell>
          <cell r="C59">
            <v>54.58</v>
          </cell>
        </row>
        <row r="60">
          <cell r="B60">
            <v>2016</v>
          </cell>
          <cell r="C60">
            <v>55.94</v>
          </cell>
        </row>
        <row r="61">
          <cell r="B61">
            <v>2017</v>
          </cell>
          <cell r="C61">
            <v>57.34</v>
          </cell>
        </row>
        <row r="62">
          <cell r="B62">
            <v>2018</v>
          </cell>
          <cell r="C62">
            <v>58.77</v>
          </cell>
        </row>
        <row r="63">
          <cell r="B63">
            <v>2019</v>
          </cell>
          <cell r="C63">
            <v>60.24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  <sheetDataSet>
      <sheetData sheetId="0" refreshError="1">
        <row r="3">
          <cell r="A3" t="str">
            <v>BU</v>
          </cell>
          <cell r="B3" t="str">
            <v>Ledger</v>
          </cell>
          <cell r="C3" t="str">
            <v>Ledger Group</v>
          </cell>
          <cell r="D3" t="str">
            <v>Account</v>
          </cell>
          <cell r="E3" t="str">
            <v>Deptid</v>
          </cell>
          <cell r="F3" t="str">
            <v>Product</v>
          </cell>
          <cell r="G3" t="str">
            <v>Project</v>
          </cell>
          <cell r="H3" t="str">
            <v>Affiliate</v>
          </cell>
          <cell r="I3" t="str">
            <v>Scenario</v>
          </cell>
          <cell r="J3" t="str">
            <v>Currency</v>
          </cell>
          <cell r="K3" t="str">
            <v>Stats</v>
          </cell>
          <cell r="L3" t="str">
            <v>FY</v>
          </cell>
          <cell r="M3" t="str">
            <v>Per</v>
          </cell>
        </row>
        <row r="4">
          <cell r="A4" t="str">
            <v>POWER</v>
          </cell>
          <cell r="B4" t="str">
            <v>BUDGETS</v>
          </cell>
          <cell r="D4">
            <v>600000</v>
          </cell>
          <cell r="E4" t="str">
            <v>P</v>
          </cell>
          <cell r="G4" t="str">
            <v>0004557</v>
          </cell>
          <cell r="I4" t="str">
            <v>CON2004</v>
          </cell>
          <cell r="J4" t="str">
            <v>USD</v>
          </cell>
          <cell r="L4">
            <v>2003</v>
          </cell>
          <cell r="M4">
            <v>12</v>
          </cell>
        </row>
        <row r="5">
          <cell r="A5" t="str">
            <v>POWER</v>
          </cell>
          <cell r="B5" t="str">
            <v>BUDGETS</v>
          </cell>
          <cell r="D5">
            <v>600000</v>
          </cell>
          <cell r="E5" t="str">
            <v>P</v>
          </cell>
          <cell r="G5" t="str">
            <v>0004557</v>
          </cell>
          <cell r="I5" t="str">
            <v>CON2004</v>
          </cell>
          <cell r="J5" t="str">
            <v>USD</v>
          </cell>
          <cell r="L5">
            <v>2004</v>
          </cell>
          <cell r="M5">
            <v>12</v>
          </cell>
        </row>
        <row r="6">
          <cell r="A6" t="str">
            <v>POWER</v>
          </cell>
          <cell r="B6" t="str">
            <v>BUDGETS</v>
          </cell>
          <cell r="D6">
            <v>600000</v>
          </cell>
          <cell r="E6" t="str">
            <v>P</v>
          </cell>
          <cell r="G6" t="str">
            <v>0004557</v>
          </cell>
          <cell r="I6" t="str">
            <v>CON2004</v>
          </cell>
          <cell r="J6" t="str">
            <v>USD</v>
          </cell>
          <cell r="L6">
            <v>2005</v>
          </cell>
          <cell r="M6">
            <v>12</v>
          </cell>
        </row>
        <row r="7">
          <cell r="A7" t="str">
            <v>POWER</v>
          </cell>
          <cell r="B7" t="str">
            <v>BUDGETS</v>
          </cell>
          <cell r="D7">
            <v>600000</v>
          </cell>
          <cell r="E7" t="str">
            <v>P</v>
          </cell>
          <cell r="G7" t="str">
            <v>0004557</v>
          </cell>
          <cell r="I7" t="str">
            <v>CON2004</v>
          </cell>
          <cell r="J7" t="str">
            <v>USD</v>
          </cell>
          <cell r="L7">
            <v>2006</v>
          </cell>
          <cell r="M7">
            <v>12</v>
          </cell>
        </row>
        <row r="8">
          <cell r="A8" t="str">
            <v>POWER</v>
          </cell>
          <cell r="B8" t="str">
            <v>BUDGETS</v>
          </cell>
          <cell r="D8">
            <v>600000</v>
          </cell>
          <cell r="E8" t="str">
            <v>P</v>
          </cell>
          <cell r="G8" t="str">
            <v>0004557</v>
          </cell>
          <cell r="I8" t="str">
            <v>CON2004</v>
          </cell>
          <cell r="J8" t="str">
            <v>USD</v>
          </cell>
          <cell r="L8">
            <v>2007</v>
          </cell>
          <cell r="M8">
            <v>12</v>
          </cell>
        </row>
        <row r="9">
          <cell r="A9" t="str">
            <v>POWER</v>
          </cell>
          <cell r="B9" t="str">
            <v>BUDGETS</v>
          </cell>
          <cell r="D9">
            <v>600000</v>
          </cell>
          <cell r="E9" t="str">
            <v>P</v>
          </cell>
          <cell r="G9" t="str">
            <v>0004557</v>
          </cell>
          <cell r="I9" t="str">
            <v>CON2004</v>
          </cell>
          <cell r="J9" t="str">
            <v>USD</v>
          </cell>
          <cell r="L9">
            <v>2008</v>
          </cell>
          <cell r="M9">
            <v>12</v>
          </cell>
        </row>
        <row r="10">
          <cell r="A10" t="str">
            <v>POWER</v>
          </cell>
          <cell r="B10" t="str">
            <v>BUDGETS</v>
          </cell>
          <cell r="D10">
            <v>600000</v>
          </cell>
          <cell r="E10" t="str">
            <v>P</v>
          </cell>
          <cell r="G10" t="str">
            <v>0004558</v>
          </cell>
          <cell r="I10" t="str">
            <v>CON2004</v>
          </cell>
          <cell r="J10" t="str">
            <v>USD</v>
          </cell>
          <cell r="L10">
            <v>2003</v>
          </cell>
          <cell r="M10">
            <v>12</v>
          </cell>
        </row>
        <row r="11">
          <cell r="A11" t="str">
            <v>POWER</v>
          </cell>
          <cell r="B11" t="str">
            <v>BUDGETS</v>
          </cell>
          <cell r="D11">
            <v>600000</v>
          </cell>
          <cell r="E11" t="str">
            <v>P</v>
          </cell>
          <cell r="G11" t="str">
            <v>0004558</v>
          </cell>
          <cell r="I11" t="str">
            <v>CON2004</v>
          </cell>
          <cell r="J11" t="str">
            <v>USD</v>
          </cell>
          <cell r="L11">
            <v>2004</v>
          </cell>
          <cell r="M11">
            <v>12</v>
          </cell>
        </row>
        <row r="12">
          <cell r="A12" t="str">
            <v>POWER</v>
          </cell>
          <cell r="B12" t="str">
            <v>BUDGETS</v>
          </cell>
          <cell r="D12">
            <v>600000</v>
          </cell>
          <cell r="E12" t="str">
            <v>P</v>
          </cell>
          <cell r="G12" t="str">
            <v>0004558</v>
          </cell>
          <cell r="I12" t="str">
            <v>CON2004</v>
          </cell>
          <cell r="J12" t="str">
            <v>USD</v>
          </cell>
          <cell r="L12">
            <v>2005</v>
          </cell>
          <cell r="M12">
            <v>12</v>
          </cell>
        </row>
        <row r="13">
          <cell r="A13" t="str">
            <v>POWER</v>
          </cell>
          <cell r="B13" t="str">
            <v>BUDGETS</v>
          </cell>
          <cell r="D13">
            <v>600000</v>
          </cell>
          <cell r="E13" t="str">
            <v>P</v>
          </cell>
          <cell r="G13" t="str">
            <v>0004558</v>
          </cell>
          <cell r="I13" t="str">
            <v>CON2004</v>
          </cell>
          <cell r="J13" t="str">
            <v>USD</v>
          </cell>
          <cell r="L13">
            <v>2006</v>
          </cell>
          <cell r="M13">
            <v>12</v>
          </cell>
        </row>
        <row r="14">
          <cell r="A14" t="str">
            <v>POWER</v>
          </cell>
          <cell r="B14" t="str">
            <v>BUDGETS</v>
          </cell>
          <cell r="D14">
            <v>600000</v>
          </cell>
          <cell r="E14" t="str">
            <v>P</v>
          </cell>
          <cell r="G14" t="str">
            <v>0004558</v>
          </cell>
          <cell r="I14" t="str">
            <v>CON2004</v>
          </cell>
          <cell r="J14" t="str">
            <v>USD</v>
          </cell>
          <cell r="L14">
            <v>2007</v>
          </cell>
          <cell r="M14">
            <v>12</v>
          </cell>
        </row>
        <row r="15">
          <cell r="A15" t="str">
            <v>POWER</v>
          </cell>
          <cell r="B15" t="str">
            <v>BUDGETS</v>
          </cell>
          <cell r="D15">
            <v>600000</v>
          </cell>
          <cell r="E15" t="str">
            <v>P</v>
          </cell>
          <cell r="G15" t="str">
            <v>0004558</v>
          </cell>
          <cell r="I15" t="str">
            <v>CON2004</v>
          </cell>
          <cell r="J15" t="str">
            <v>USD</v>
          </cell>
          <cell r="L15">
            <v>2008</v>
          </cell>
          <cell r="M15">
            <v>12</v>
          </cell>
        </row>
        <row r="16">
          <cell r="A16" t="str">
            <v>POWER</v>
          </cell>
          <cell r="B16" t="str">
            <v>BUDGETS</v>
          </cell>
          <cell r="D16">
            <v>600000</v>
          </cell>
          <cell r="E16" t="str">
            <v>P</v>
          </cell>
          <cell r="G16" t="str">
            <v>0004559</v>
          </cell>
          <cell r="I16" t="str">
            <v>CON2004</v>
          </cell>
          <cell r="J16" t="str">
            <v>USD</v>
          </cell>
          <cell r="L16">
            <v>2003</v>
          </cell>
          <cell r="M16">
            <v>12</v>
          </cell>
        </row>
        <row r="17">
          <cell r="A17" t="str">
            <v>POWER</v>
          </cell>
          <cell r="B17" t="str">
            <v>BUDGETS</v>
          </cell>
          <cell r="D17">
            <v>600000</v>
          </cell>
          <cell r="E17" t="str">
            <v>P</v>
          </cell>
          <cell r="G17" t="str">
            <v>0004559</v>
          </cell>
          <cell r="I17" t="str">
            <v>CON2004</v>
          </cell>
          <cell r="J17" t="str">
            <v>USD</v>
          </cell>
          <cell r="L17">
            <v>2004</v>
          </cell>
          <cell r="M17">
            <v>12</v>
          </cell>
        </row>
        <row r="18">
          <cell r="A18" t="str">
            <v>POWER</v>
          </cell>
          <cell r="B18" t="str">
            <v>BUDGETS</v>
          </cell>
          <cell r="D18">
            <v>600000</v>
          </cell>
          <cell r="E18" t="str">
            <v>P</v>
          </cell>
          <cell r="G18" t="str">
            <v>0004559</v>
          </cell>
          <cell r="I18" t="str">
            <v>CON2004</v>
          </cell>
          <cell r="J18" t="str">
            <v>USD</v>
          </cell>
          <cell r="L18">
            <v>2005</v>
          </cell>
          <cell r="M18">
            <v>12</v>
          </cell>
        </row>
        <row r="19">
          <cell r="A19" t="str">
            <v>POWER</v>
          </cell>
          <cell r="B19" t="str">
            <v>BUDGETS</v>
          </cell>
          <cell r="D19">
            <v>600000</v>
          </cell>
          <cell r="E19" t="str">
            <v>P</v>
          </cell>
          <cell r="G19" t="str">
            <v>0004559</v>
          </cell>
          <cell r="I19" t="str">
            <v>CON2004</v>
          </cell>
          <cell r="J19" t="str">
            <v>USD</v>
          </cell>
          <cell r="L19">
            <v>2006</v>
          </cell>
          <cell r="M19">
            <v>12</v>
          </cell>
        </row>
        <row r="20">
          <cell r="A20" t="str">
            <v>POWER</v>
          </cell>
          <cell r="B20" t="str">
            <v>BUDGETS</v>
          </cell>
          <cell r="D20">
            <v>600000</v>
          </cell>
          <cell r="E20" t="str">
            <v>P</v>
          </cell>
          <cell r="G20" t="str">
            <v>0004559</v>
          </cell>
          <cell r="I20" t="str">
            <v>CON2004</v>
          </cell>
          <cell r="J20" t="str">
            <v>USD</v>
          </cell>
          <cell r="L20">
            <v>2007</v>
          </cell>
          <cell r="M20">
            <v>12</v>
          </cell>
        </row>
        <row r="21">
          <cell r="A21" t="str">
            <v>POWER</v>
          </cell>
          <cell r="B21" t="str">
            <v>BUDGETS</v>
          </cell>
          <cell r="D21">
            <v>600000</v>
          </cell>
          <cell r="E21" t="str">
            <v>P</v>
          </cell>
          <cell r="G21" t="str">
            <v>0004559</v>
          </cell>
          <cell r="I21" t="str">
            <v>CON2004</v>
          </cell>
          <cell r="J21" t="str">
            <v>USD</v>
          </cell>
          <cell r="L21">
            <v>2008</v>
          </cell>
          <cell r="M21">
            <v>12</v>
          </cell>
        </row>
        <row r="22">
          <cell r="A22" t="str">
            <v>POWER</v>
          </cell>
          <cell r="B22" t="str">
            <v>BUDGETS</v>
          </cell>
          <cell r="D22">
            <v>600000</v>
          </cell>
          <cell r="E22" t="str">
            <v>P</v>
          </cell>
          <cell r="G22" t="str">
            <v>0004560</v>
          </cell>
          <cell r="I22" t="str">
            <v>CON2004</v>
          </cell>
          <cell r="J22" t="str">
            <v>USD</v>
          </cell>
          <cell r="L22">
            <v>2003</v>
          </cell>
          <cell r="M22">
            <v>12</v>
          </cell>
        </row>
        <row r="23">
          <cell r="A23" t="str">
            <v>POWER</v>
          </cell>
          <cell r="B23" t="str">
            <v>BUDGETS</v>
          </cell>
          <cell r="D23">
            <v>600000</v>
          </cell>
          <cell r="E23" t="str">
            <v>P</v>
          </cell>
          <cell r="G23" t="str">
            <v>0004560</v>
          </cell>
          <cell r="I23" t="str">
            <v>CON2004</v>
          </cell>
          <cell r="J23" t="str">
            <v>USD</v>
          </cell>
          <cell r="L23">
            <v>2004</v>
          </cell>
          <cell r="M23">
            <v>12</v>
          </cell>
        </row>
        <row r="24">
          <cell r="A24" t="str">
            <v>POWER</v>
          </cell>
          <cell r="B24" t="str">
            <v>BUDGETS</v>
          </cell>
          <cell r="D24">
            <v>600000</v>
          </cell>
          <cell r="E24" t="str">
            <v>P</v>
          </cell>
          <cell r="G24" t="str">
            <v>0004560</v>
          </cell>
          <cell r="I24" t="str">
            <v>CON2004</v>
          </cell>
          <cell r="J24" t="str">
            <v>USD</v>
          </cell>
          <cell r="L24">
            <v>2005</v>
          </cell>
          <cell r="M24">
            <v>12</v>
          </cell>
        </row>
        <row r="25">
          <cell r="A25" t="str">
            <v>POWER</v>
          </cell>
          <cell r="B25" t="str">
            <v>BUDGETS</v>
          </cell>
          <cell r="D25">
            <v>600000</v>
          </cell>
          <cell r="E25" t="str">
            <v>P</v>
          </cell>
          <cell r="G25" t="str">
            <v>0004560</v>
          </cell>
          <cell r="I25" t="str">
            <v>CON2004</v>
          </cell>
          <cell r="J25" t="str">
            <v>USD</v>
          </cell>
          <cell r="L25">
            <v>2006</v>
          </cell>
          <cell r="M25">
            <v>12</v>
          </cell>
        </row>
        <row r="26">
          <cell r="A26" t="str">
            <v>POWER</v>
          </cell>
          <cell r="B26" t="str">
            <v>BUDGETS</v>
          </cell>
          <cell r="D26">
            <v>600000</v>
          </cell>
          <cell r="E26" t="str">
            <v>P</v>
          </cell>
          <cell r="G26" t="str">
            <v>0004560</v>
          </cell>
          <cell r="I26" t="str">
            <v>CON2004</v>
          </cell>
          <cell r="J26" t="str">
            <v>USD</v>
          </cell>
          <cell r="L26">
            <v>2007</v>
          </cell>
          <cell r="M26">
            <v>12</v>
          </cell>
        </row>
        <row r="27">
          <cell r="A27" t="str">
            <v>POWER</v>
          </cell>
          <cell r="B27" t="str">
            <v>BUDGETS</v>
          </cell>
          <cell r="D27">
            <v>600000</v>
          </cell>
          <cell r="E27" t="str">
            <v>P</v>
          </cell>
          <cell r="G27" t="str">
            <v>0004560</v>
          </cell>
          <cell r="I27" t="str">
            <v>CON2004</v>
          </cell>
          <cell r="J27" t="str">
            <v>USD</v>
          </cell>
          <cell r="L27">
            <v>2008</v>
          </cell>
          <cell r="M27">
            <v>12</v>
          </cell>
        </row>
        <row r="28">
          <cell r="A28" t="str">
            <v>POWER</v>
          </cell>
          <cell r="B28" t="str">
            <v>BUDGETS</v>
          </cell>
          <cell r="D28">
            <v>600000</v>
          </cell>
          <cell r="E28" t="str">
            <v>P</v>
          </cell>
          <cell r="G28" t="str">
            <v>0004561</v>
          </cell>
          <cell r="I28" t="str">
            <v>CON2004</v>
          </cell>
          <cell r="J28" t="str">
            <v>USD</v>
          </cell>
          <cell r="L28">
            <v>2003</v>
          </cell>
          <cell r="M28">
            <v>12</v>
          </cell>
        </row>
        <row r="29">
          <cell r="A29" t="str">
            <v>POWER</v>
          </cell>
          <cell r="B29" t="str">
            <v>BUDGETS</v>
          </cell>
          <cell r="D29">
            <v>600000</v>
          </cell>
          <cell r="E29" t="str">
            <v>P</v>
          </cell>
          <cell r="G29" t="str">
            <v>0004561</v>
          </cell>
          <cell r="I29" t="str">
            <v>CON2004</v>
          </cell>
          <cell r="J29" t="str">
            <v>USD</v>
          </cell>
          <cell r="L29">
            <v>2004</v>
          </cell>
          <cell r="M29">
            <v>12</v>
          </cell>
        </row>
        <row r="30">
          <cell r="A30" t="str">
            <v>POWER</v>
          </cell>
          <cell r="B30" t="str">
            <v>BUDGETS</v>
          </cell>
          <cell r="D30">
            <v>600000</v>
          </cell>
          <cell r="E30" t="str">
            <v>P</v>
          </cell>
          <cell r="G30" t="str">
            <v>0004561</v>
          </cell>
          <cell r="I30" t="str">
            <v>CON2004</v>
          </cell>
          <cell r="J30" t="str">
            <v>USD</v>
          </cell>
          <cell r="L30">
            <v>2005</v>
          </cell>
          <cell r="M30">
            <v>12</v>
          </cell>
        </row>
        <row r="31">
          <cell r="A31" t="str">
            <v>POWER</v>
          </cell>
          <cell r="B31" t="str">
            <v>BUDGETS</v>
          </cell>
          <cell r="D31">
            <v>600000</v>
          </cell>
          <cell r="E31" t="str">
            <v>P</v>
          </cell>
          <cell r="G31" t="str">
            <v>0004561</v>
          </cell>
          <cell r="I31" t="str">
            <v>CON2004</v>
          </cell>
          <cell r="J31" t="str">
            <v>USD</v>
          </cell>
          <cell r="L31">
            <v>2006</v>
          </cell>
          <cell r="M31">
            <v>12</v>
          </cell>
        </row>
        <row r="32">
          <cell r="A32" t="str">
            <v>POWER</v>
          </cell>
          <cell r="B32" t="str">
            <v>BUDGETS</v>
          </cell>
          <cell r="D32">
            <v>600000</v>
          </cell>
          <cell r="E32" t="str">
            <v>P</v>
          </cell>
          <cell r="G32" t="str">
            <v>0004561</v>
          </cell>
          <cell r="I32" t="str">
            <v>CON2004</v>
          </cell>
          <cell r="J32" t="str">
            <v>USD</v>
          </cell>
          <cell r="L32">
            <v>2007</v>
          </cell>
          <cell r="M32">
            <v>12</v>
          </cell>
        </row>
        <row r="33">
          <cell r="A33" t="str">
            <v>POWER</v>
          </cell>
          <cell r="B33" t="str">
            <v>BUDGETS</v>
          </cell>
          <cell r="D33">
            <v>600000</v>
          </cell>
          <cell r="E33" t="str">
            <v>P</v>
          </cell>
          <cell r="G33" t="str">
            <v>0004561</v>
          </cell>
          <cell r="I33" t="str">
            <v>CON2004</v>
          </cell>
          <cell r="J33" t="str">
            <v>USD</v>
          </cell>
          <cell r="L33">
            <v>2008</v>
          </cell>
          <cell r="M33">
            <v>12</v>
          </cell>
        </row>
        <row r="34">
          <cell r="A34" t="str">
            <v>POWER</v>
          </cell>
          <cell r="B34" t="str">
            <v>BUDGETS</v>
          </cell>
          <cell r="D34">
            <v>600000</v>
          </cell>
          <cell r="E34" t="str">
            <v>P</v>
          </cell>
          <cell r="G34" t="str">
            <v>0004562</v>
          </cell>
          <cell r="I34" t="str">
            <v>CON2004</v>
          </cell>
          <cell r="J34" t="str">
            <v>USD</v>
          </cell>
          <cell r="L34">
            <v>2003</v>
          </cell>
          <cell r="M34">
            <v>12</v>
          </cell>
        </row>
        <row r="35">
          <cell r="A35" t="str">
            <v>POWER</v>
          </cell>
          <cell r="B35" t="str">
            <v>BUDGETS</v>
          </cell>
          <cell r="D35">
            <v>600000</v>
          </cell>
          <cell r="E35" t="str">
            <v>P</v>
          </cell>
          <cell r="G35" t="str">
            <v>0004562</v>
          </cell>
          <cell r="I35" t="str">
            <v>CON2004</v>
          </cell>
          <cell r="J35" t="str">
            <v>USD</v>
          </cell>
          <cell r="L35">
            <v>2004</v>
          </cell>
          <cell r="M35">
            <v>12</v>
          </cell>
        </row>
        <row r="36">
          <cell r="A36" t="str">
            <v>POWER</v>
          </cell>
          <cell r="B36" t="str">
            <v>BUDGETS</v>
          </cell>
          <cell r="D36">
            <v>600000</v>
          </cell>
          <cell r="E36" t="str">
            <v>P</v>
          </cell>
          <cell r="G36" t="str">
            <v>0004562</v>
          </cell>
          <cell r="I36" t="str">
            <v>CON2004</v>
          </cell>
          <cell r="J36" t="str">
            <v>USD</v>
          </cell>
          <cell r="L36">
            <v>2005</v>
          </cell>
          <cell r="M36">
            <v>12</v>
          </cell>
        </row>
        <row r="37">
          <cell r="A37" t="str">
            <v>POWER</v>
          </cell>
          <cell r="B37" t="str">
            <v>BUDGETS</v>
          </cell>
          <cell r="D37">
            <v>600000</v>
          </cell>
          <cell r="E37" t="str">
            <v>P</v>
          </cell>
          <cell r="G37" t="str">
            <v>0004562</v>
          </cell>
          <cell r="I37" t="str">
            <v>CON2004</v>
          </cell>
          <cell r="J37" t="str">
            <v>USD</v>
          </cell>
          <cell r="L37">
            <v>2006</v>
          </cell>
          <cell r="M37">
            <v>12</v>
          </cell>
        </row>
        <row r="38">
          <cell r="A38" t="str">
            <v>POWER</v>
          </cell>
          <cell r="B38" t="str">
            <v>BUDGETS</v>
          </cell>
          <cell r="D38">
            <v>600000</v>
          </cell>
          <cell r="E38" t="str">
            <v>P</v>
          </cell>
          <cell r="G38" t="str">
            <v>0004562</v>
          </cell>
          <cell r="I38" t="str">
            <v>CON2004</v>
          </cell>
          <cell r="J38" t="str">
            <v>USD</v>
          </cell>
          <cell r="L38">
            <v>2007</v>
          </cell>
          <cell r="M38">
            <v>12</v>
          </cell>
        </row>
        <row r="39">
          <cell r="A39" t="str">
            <v>POWER</v>
          </cell>
          <cell r="B39" t="str">
            <v>BUDGETS</v>
          </cell>
          <cell r="D39">
            <v>600000</v>
          </cell>
          <cell r="E39" t="str">
            <v>P</v>
          </cell>
          <cell r="G39" t="str">
            <v>0004562</v>
          </cell>
          <cell r="I39" t="str">
            <v>CON2004</v>
          </cell>
          <cell r="J39" t="str">
            <v>USD</v>
          </cell>
          <cell r="L39">
            <v>2008</v>
          </cell>
          <cell r="M39">
            <v>12</v>
          </cell>
        </row>
        <row r="40">
          <cell r="A40" t="str">
            <v>POWER</v>
          </cell>
          <cell r="B40" t="str">
            <v>BUDGETS</v>
          </cell>
          <cell r="D40">
            <v>600000</v>
          </cell>
          <cell r="E40" t="str">
            <v>P</v>
          </cell>
          <cell r="G40" t="str">
            <v>0004563</v>
          </cell>
          <cell r="I40" t="str">
            <v>CON2004</v>
          </cell>
          <cell r="J40" t="str">
            <v>USD</v>
          </cell>
          <cell r="L40">
            <v>2003</v>
          </cell>
          <cell r="M40">
            <v>12</v>
          </cell>
        </row>
        <row r="41">
          <cell r="A41" t="str">
            <v>POWER</v>
          </cell>
          <cell r="B41" t="str">
            <v>BUDGETS</v>
          </cell>
          <cell r="D41">
            <v>600000</v>
          </cell>
          <cell r="E41" t="str">
            <v>P</v>
          </cell>
          <cell r="G41" t="str">
            <v>0004563</v>
          </cell>
          <cell r="I41" t="str">
            <v>CON2004</v>
          </cell>
          <cell r="J41" t="str">
            <v>USD</v>
          </cell>
          <cell r="L41">
            <v>2004</v>
          </cell>
          <cell r="M41">
            <v>12</v>
          </cell>
        </row>
        <row r="42">
          <cell r="A42" t="str">
            <v>POWER</v>
          </cell>
          <cell r="B42" t="str">
            <v>BUDGETS</v>
          </cell>
          <cell r="D42">
            <v>600000</v>
          </cell>
          <cell r="E42" t="str">
            <v>P</v>
          </cell>
          <cell r="G42" t="str">
            <v>0004563</v>
          </cell>
          <cell r="I42" t="str">
            <v>CON2004</v>
          </cell>
          <cell r="J42" t="str">
            <v>USD</v>
          </cell>
          <cell r="L42">
            <v>2005</v>
          </cell>
          <cell r="M42">
            <v>12</v>
          </cell>
        </row>
        <row r="43">
          <cell r="A43" t="str">
            <v>POWER</v>
          </cell>
          <cell r="B43" t="str">
            <v>BUDGETS</v>
          </cell>
          <cell r="D43">
            <v>600000</v>
          </cell>
          <cell r="E43" t="str">
            <v>P</v>
          </cell>
          <cell r="G43" t="str">
            <v>0004563</v>
          </cell>
          <cell r="I43" t="str">
            <v>CON2004</v>
          </cell>
          <cell r="J43" t="str">
            <v>USD</v>
          </cell>
          <cell r="L43">
            <v>2006</v>
          </cell>
          <cell r="M43">
            <v>12</v>
          </cell>
        </row>
        <row r="44">
          <cell r="A44" t="str">
            <v>POWER</v>
          </cell>
          <cell r="B44" t="str">
            <v>BUDGETS</v>
          </cell>
          <cell r="D44">
            <v>600000</v>
          </cell>
          <cell r="E44" t="str">
            <v>P</v>
          </cell>
          <cell r="G44" t="str">
            <v>0004563</v>
          </cell>
          <cell r="I44" t="str">
            <v>CON2004</v>
          </cell>
          <cell r="J44" t="str">
            <v>USD</v>
          </cell>
          <cell r="L44">
            <v>2007</v>
          </cell>
          <cell r="M44">
            <v>12</v>
          </cell>
        </row>
        <row r="45">
          <cell r="A45" t="str">
            <v>POWER</v>
          </cell>
          <cell r="B45" t="str">
            <v>BUDGETS</v>
          </cell>
          <cell r="D45">
            <v>600000</v>
          </cell>
          <cell r="E45" t="str">
            <v>P</v>
          </cell>
          <cell r="G45" t="str">
            <v>0004563</v>
          </cell>
          <cell r="I45" t="str">
            <v>CON2004</v>
          </cell>
          <cell r="J45" t="str">
            <v>USD</v>
          </cell>
          <cell r="L45">
            <v>2008</v>
          </cell>
          <cell r="M45">
            <v>12</v>
          </cell>
        </row>
        <row r="46">
          <cell r="A46" t="str">
            <v>POWER</v>
          </cell>
          <cell r="B46" t="str">
            <v>BUDGETS</v>
          </cell>
          <cell r="D46">
            <v>600000</v>
          </cell>
          <cell r="E46" t="str">
            <v>P</v>
          </cell>
          <cell r="G46" t="str">
            <v>0004568</v>
          </cell>
          <cell r="I46" t="str">
            <v>CON2004</v>
          </cell>
          <cell r="J46" t="str">
            <v>USD</v>
          </cell>
          <cell r="L46">
            <v>2003</v>
          </cell>
          <cell r="M46">
            <v>12</v>
          </cell>
        </row>
        <row r="47">
          <cell r="A47" t="str">
            <v>POWER</v>
          </cell>
          <cell r="B47" t="str">
            <v>BUDGETS</v>
          </cell>
          <cell r="D47">
            <v>600000</v>
          </cell>
          <cell r="E47" t="str">
            <v>P</v>
          </cell>
          <cell r="G47" t="str">
            <v>0004568</v>
          </cell>
          <cell r="I47" t="str">
            <v>CON2004</v>
          </cell>
          <cell r="J47" t="str">
            <v>USD</v>
          </cell>
          <cell r="L47">
            <v>2004</v>
          </cell>
          <cell r="M47">
            <v>12</v>
          </cell>
        </row>
        <row r="48">
          <cell r="A48" t="str">
            <v>POWER</v>
          </cell>
          <cell r="B48" t="str">
            <v>BUDGETS</v>
          </cell>
          <cell r="D48">
            <v>600000</v>
          </cell>
          <cell r="E48" t="str">
            <v>P</v>
          </cell>
          <cell r="G48" t="str">
            <v>0004568</v>
          </cell>
          <cell r="I48" t="str">
            <v>CON2004</v>
          </cell>
          <cell r="J48" t="str">
            <v>USD</v>
          </cell>
          <cell r="L48">
            <v>2005</v>
          </cell>
          <cell r="M48">
            <v>12</v>
          </cell>
        </row>
        <row r="49">
          <cell r="A49" t="str">
            <v>POWER</v>
          </cell>
          <cell r="B49" t="str">
            <v>BUDGETS</v>
          </cell>
          <cell r="D49">
            <v>600000</v>
          </cell>
          <cell r="E49" t="str">
            <v>P</v>
          </cell>
          <cell r="G49" t="str">
            <v>0004568</v>
          </cell>
          <cell r="I49" t="str">
            <v>CON2004</v>
          </cell>
          <cell r="J49" t="str">
            <v>USD</v>
          </cell>
          <cell r="L49">
            <v>2006</v>
          </cell>
          <cell r="M49">
            <v>12</v>
          </cell>
        </row>
        <row r="50">
          <cell r="A50" t="str">
            <v>POWER</v>
          </cell>
          <cell r="B50" t="str">
            <v>BUDGETS</v>
          </cell>
          <cell r="D50">
            <v>600000</v>
          </cell>
          <cell r="E50" t="str">
            <v>P</v>
          </cell>
          <cell r="G50" t="str">
            <v>0004568</v>
          </cell>
          <cell r="I50" t="str">
            <v>CON2004</v>
          </cell>
          <cell r="J50" t="str">
            <v>USD</v>
          </cell>
          <cell r="L50">
            <v>2007</v>
          </cell>
          <cell r="M50">
            <v>12</v>
          </cell>
        </row>
        <row r="51">
          <cell r="A51" t="str">
            <v>POWER</v>
          </cell>
          <cell r="B51" t="str">
            <v>BUDGETS</v>
          </cell>
          <cell r="D51">
            <v>600000</v>
          </cell>
          <cell r="E51" t="str">
            <v>P</v>
          </cell>
          <cell r="G51" t="str">
            <v>0004568</v>
          </cell>
          <cell r="I51" t="str">
            <v>CON2004</v>
          </cell>
          <cell r="J51" t="str">
            <v>USD</v>
          </cell>
          <cell r="L51">
            <v>2008</v>
          </cell>
          <cell r="M51">
            <v>12</v>
          </cell>
        </row>
        <row r="52">
          <cell r="A52" t="str">
            <v>POWER</v>
          </cell>
          <cell r="B52" t="str">
            <v>BUDGETS</v>
          </cell>
          <cell r="D52">
            <v>600000</v>
          </cell>
          <cell r="E52" t="str">
            <v>P</v>
          </cell>
          <cell r="G52" t="str">
            <v>0001065</v>
          </cell>
          <cell r="I52" t="str">
            <v>CON2004</v>
          </cell>
          <cell r="J52" t="str">
            <v>USD</v>
          </cell>
          <cell r="L52">
            <v>2003</v>
          </cell>
          <cell r="M52">
            <v>12</v>
          </cell>
        </row>
        <row r="53">
          <cell r="A53" t="str">
            <v>POWER</v>
          </cell>
          <cell r="B53" t="str">
            <v>BUDGETS</v>
          </cell>
          <cell r="D53">
            <v>600000</v>
          </cell>
          <cell r="E53" t="str">
            <v>P</v>
          </cell>
          <cell r="G53" t="str">
            <v>0001065</v>
          </cell>
          <cell r="I53" t="str">
            <v>CON2004</v>
          </cell>
          <cell r="J53" t="str">
            <v>USD</v>
          </cell>
          <cell r="L53">
            <v>2004</v>
          </cell>
          <cell r="M53">
            <v>12</v>
          </cell>
        </row>
        <row r="54">
          <cell r="A54" t="str">
            <v>POWER</v>
          </cell>
          <cell r="B54" t="str">
            <v>BUDGETS</v>
          </cell>
          <cell r="D54">
            <v>600000</v>
          </cell>
          <cell r="E54" t="str">
            <v>P</v>
          </cell>
          <cell r="G54" t="str">
            <v>0001065</v>
          </cell>
          <cell r="I54" t="str">
            <v>CON2004</v>
          </cell>
          <cell r="J54" t="str">
            <v>USD</v>
          </cell>
          <cell r="L54">
            <v>2005</v>
          </cell>
          <cell r="M54">
            <v>12</v>
          </cell>
        </row>
        <row r="55">
          <cell r="A55" t="str">
            <v>POWER</v>
          </cell>
          <cell r="B55" t="str">
            <v>BUDGETS</v>
          </cell>
          <cell r="D55">
            <v>600000</v>
          </cell>
          <cell r="E55" t="str">
            <v>P</v>
          </cell>
          <cell r="G55" t="str">
            <v>0001065</v>
          </cell>
          <cell r="I55" t="str">
            <v>CON2004</v>
          </cell>
          <cell r="J55" t="str">
            <v>USD</v>
          </cell>
          <cell r="L55">
            <v>2006</v>
          </cell>
          <cell r="M55">
            <v>12</v>
          </cell>
        </row>
        <row r="56">
          <cell r="A56" t="str">
            <v>POWER</v>
          </cell>
          <cell r="B56" t="str">
            <v>BUDGETS</v>
          </cell>
          <cell r="D56">
            <v>600000</v>
          </cell>
          <cell r="E56" t="str">
            <v>P</v>
          </cell>
          <cell r="G56" t="str">
            <v>0001065</v>
          </cell>
          <cell r="I56" t="str">
            <v>CON2004</v>
          </cell>
          <cell r="J56" t="str">
            <v>USD</v>
          </cell>
          <cell r="L56">
            <v>2007</v>
          </cell>
          <cell r="M56">
            <v>12</v>
          </cell>
        </row>
        <row r="57">
          <cell r="A57" t="str">
            <v>POWER</v>
          </cell>
          <cell r="B57" t="str">
            <v>BUDGETS</v>
          </cell>
          <cell r="D57">
            <v>600000</v>
          </cell>
          <cell r="E57" t="str">
            <v>P</v>
          </cell>
          <cell r="G57" t="str">
            <v>0001065</v>
          </cell>
          <cell r="I57" t="str">
            <v>CON2004</v>
          </cell>
          <cell r="J57" t="str">
            <v>USD</v>
          </cell>
          <cell r="L57">
            <v>2008</v>
          </cell>
          <cell r="M57">
            <v>12</v>
          </cell>
        </row>
        <row r="58">
          <cell r="A58" t="str">
            <v>POWER</v>
          </cell>
          <cell r="B58" t="str">
            <v>BUDGETS</v>
          </cell>
          <cell r="D58">
            <v>600000</v>
          </cell>
          <cell r="E58" t="str">
            <v>P</v>
          </cell>
          <cell r="G58" t="str">
            <v>0004129</v>
          </cell>
          <cell r="I58" t="str">
            <v>CON2004</v>
          </cell>
          <cell r="J58" t="str">
            <v>USD</v>
          </cell>
          <cell r="L58">
            <v>2003</v>
          </cell>
          <cell r="M58">
            <v>12</v>
          </cell>
        </row>
        <row r="59">
          <cell r="A59" t="str">
            <v>POWER</v>
          </cell>
          <cell r="B59" t="str">
            <v>BUDGETS</v>
          </cell>
          <cell r="D59">
            <v>600000</v>
          </cell>
          <cell r="E59" t="str">
            <v>P</v>
          </cell>
          <cell r="G59" t="str">
            <v>0004129</v>
          </cell>
          <cell r="I59" t="str">
            <v>CON2004</v>
          </cell>
          <cell r="J59" t="str">
            <v>USD</v>
          </cell>
          <cell r="L59">
            <v>2004</v>
          </cell>
          <cell r="M59">
            <v>12</v>
          </cell>
        </row>
        <row r="60">
          <cell r="A60" t="str">
            <v>POWER</v>
          </cell>
          <cell r="B60" t="str">
            <v>BUDGETS</v>
          </cell>
          <cell r="D60">
            <v>600000</v>
          </cell>
          <cell r="E60" t="str">
            <v>P</v>
          </cell>
          <cell r="G60" t="str">
            <v>0004129</v>
          </cell>
          <cell r="I60" t="str">
            <v>CON2004</v>
          </cell>
          <cell r="J60" t="str">
            <v>USD</v>
          </cell>
          <cell r="L60">
            <v>2005</v>
          </cell>
          <cell r="M60">
            <v>12</v>
          </cell>
        </row>
        <row r="61">
          <cell r="A61" t="str">
            <v>POWER</v>
          </cell>
          <cell r="B61" t="str">
            <v>BUDGETS</v>
          </cell>
          <cell r="D61">
            <v>600000</v>
          </cell>
          <cell r="E61" t="str">
            <v>P</v>
          </cell>
          <cell r="G61" t="str">
            <v>0004129</v>
          </cell>
          <cell r="I61" t="str">
            <v>CON2004</v>
          </cell>
          <cell r="J61" t="str">
            <v>USD</v>
          </cell>
          <cell r="L61">
            <v>2006</v>
          </cell>
          <cell r="M61">
            <v>12</v>
          </cell>
        </row>
        <row r="62">
          <cell r="A62" t="str">
            <v>POWER</v>
          </cell>
          <cell r="B62" t="str">
            <v>BUDGETS</v>
          </cell>
          <cell r="D62">
            <v>600000</v>
          </cell>
          <cell r="E62" t="str">
            <v>P</v>
          </cell>
          <cell r="G62" t="str">
            <v>0004129</v>
          </cell>
          <cell r="I62" t="str">
            <v>CON2004</v>
          </cell>
          <cell r="J62" t="str">
            <v>USD</v>
          </cell>
          <cell r="L62">
            <v>2007</v>
          </cell>
          <cell r="M62">
            <v>12</v>
          </cell>
        </row>
        <row r="63">
          <cell r="A63" t="str">
            <v>POWER</v>
          </cell>
          <cell r="B63" t="str">
            <v>BUDGETS</v>
          </cell>
          <cell r="D63">
            <v>600000</v>
          </cell>
          <cell r="E63" t="str">
            <v>P</v>
          </cell>
          <cell r="G63" t="str">
            <v>0004129</v>
          </cell>
          <cell r="I63" t="str">
            <v>CON2004</v>
          </cell>
          <cell r="J63" t="str">
            <v>USD</v>
          </cell>
          <cell r="L63">
            <v>2008</v>
          </cell>
          <cell r="M63">
            <v>12</v>
          </cell>
        </row>
        <row r="64">
          <cell r="A64" t="str">
            <v>POWER</v>
          </cell>
          <cell r="B64" t="str">
            <v>BUDGETS</v>
          </cell>
          <cell r="D64">
            <v>600000</v>
          </cell>
          <cell r="E64" t="str">
            <v>P</v>
          </cell>
          <cell r="G64" t="str">
            <v>0001132</v>
          </cell>
          <cell r="I64" t="str">
            <v>CON2004</v>
          </cell>
          <cell r="J64" t="str">
            <v>USD</v>
          </cell>
          <cell r="L64">
            <v>2003</v>
          </cell>
          <cell r="M64">
            <v>12</v>
          </cell>
        </row>
        <row r="65">
          <cell r="A65" t="str">
            <v>POWER</v>
          </cell>
          <cell r="B65" t="str">
            <v>BUDGETS</v>
          </cell>
          <cell r="D65">
            <v>600000</v>
          </cell>
          <cell r="E65" t="str">
            <v>P</v>
          </cell>
          <cell r="G65" t="str">
            <v>0001132</v>
          </cell>
          <cell r="I65" t="str">
            <v>CON2004</v>
          </cell>
          <cell r="J65" t="str">
            <v>USD</v>
          </cell>
          <cell r="L65">
            <v>2004</v>
          </cell>
          <cell r="M65">
            <v>12</v>
          </cell>
        </row>
        <row r="66">
          <cell r="A66" t="str">
            <v>POWER</v>
          </cell>
          <cell r="B66" t="str">
            <v>BUDGETS</v>
          </cell>
          <cell r="D66">
            <v>600000</v>
          </cell>
          <cell r="E66" t="str">
            <v>P</v>
          </cell>
          <cell r="G66" t="str">
            <v>0001132</v>
          </cell>
          <cell r="I66" t="str">
            <v>CON2004</v>
          </cell>
          <cell r="J66" t="str">
            <v>USD</v>
          </cell>
          <cell r="L66">
            <v>2005</v>
          </cell>
          <cell r="M66">
            <v>12</v>
          </cell>
        </row>
        <row r="67">
          <cell r="A67" t="str">
            <v>POWER</v>
          </cell>
          <cell r="B67" t="str">
            <v>BUDGETS</v>
          </cell>
          <cell r="D67">
            <v>600000</v>
          </cell>
          <cell r="E67" t="str">
            <v>P</v>
          </cell>
          <cell r="G67" t="str">
            <v>0001132</v>
          </cell>
          <cell r="I67" t="str">
            <v>CON2004</v>
          </cell>
          <cell r="J67" t="str">
            <v>USD</v>
          </cell>
          <cell r="L67">
            <v>2006</v>
          </cell>
          <cell r="M67">
            <v>12</v>
          </cell>
        </row>
        <row r="68">
          <cell r="A68" t="str">
            <v>POWER</v>
          </cell>
          <cell r="B68" t="str">
            <v>BUDGETS</v>
          </cell>
          <cell r="D68">
            <v>600000</v>
          </cell>
          <cell r="E68" t="str">
            <v>P</v>
          </cell>
          <cell r="G68" t="str">
            <v>0001132</v>
          </cell>
          <cell r="I68" t="str">
            <v>CON2004</v>
          </cell>
          <cell r="J68" t="str">
            <v>USD</v>
          </cell>
          <cell r="L68">
            <v>2007</v>
          </cell>
          <cell r="M68">
            <v>12</v>
          </cell>
        </row>
        <row r="69">
          <cell r="A69" t="str">
            <v>POWER</v>
          </cell>
          <cell r="B69" t="str">
            <v>BUDGETS</v>
          </cell>
          <cell r="D69">
            <v>600000</v>
          </cell>
          <cell r="E69" t="str">
            <v>P</v>
          </cell>
          <cell r="G69" t="str">
            <v>0001132</v>
          </cell>
          <cell r="I69" t="str">
            <v>CON2004</v>
          </cell>
          <cell r="J69" t="str">
            <v>USD</v>
          </cell>
          <cell r="L69">
            <v>2008</v>
          </cell>
          <cell r="M69">
            <v>12</v>
          </cell>
        </row>
        <row r="70">
          <cell r="A70" t="str">
            <v>POWER</v>
          </cell>
          <cell r="B70" t="str">
            <v>BUDGETS</v>
          </cell>
          <cell r="D70">
            <v>600000</v>
          </cell>
          <cell r="E70" t="str">
            <v>P</v>
          </cell>
          <cell r="G70" t="str">
            <v>0004125</v>
          </cell>
          <cell r="I70" t="str">
            <v>CON2004</v>
          </cell>
          <cell r="J70" t="str">
            <v>USD</v>
          </cell>
          <cell r="L70">
            <v>2003</v>
          </cell>
          <cell r="M70">
            <v>12</v>
          </cell>
        </row>
        <row r="71">
          <cell r="A71" t="str">
            <v>POWER</v>
          </cell>
          <cell r="B71" t="str">
            <v>BUDGETS</v>
          </cell>
          <cell r="D71">
            <v>600000</v>
          </cell>
          <cell r="E71" t="str">
            <v>P</v>
          </cell>
          <cell r="G71" t="str">
            <v>0004125</v>
          </cell>
          <cell r="I71" t="str">
            <v>CON2004</v>
          </cell>
          <cell r="J71" t="str">
            <v>USD</v>
          </cell>
          <cell r="L71">
            <v>2004</v>
          </cell>
          <cell r="M71">
            <v>12</v>
          </cell>
        </row>
        <row r="72">
          <cell r="A72" t="str">
            <v>POWER</v>
          </cell>
          <cell r="B72" t="str">
            <v>BUDGETS</v>
          </cell>
          <cell r="D72">
            <v>600000</v>
          </cell>
          <cell r="E72" t="str">
            <v>P</v>
          </cell>
          <cell r="G72" t="str">
            <v>0004125</v>
          </cell>
          <cell r="I72" t="str">
            <v>CON2004</v>
          </cell>
          <cell r="J72" t="str">
            <v>USD</v>
          </cell>
          <cell r="L72">
            <v>2005</v>
          </cell>
          <cell r="M72">
            <v>12</v>
          </cell>
        </row>
        <row r="73">
          <cell r="A73" t="str">
            <v>POWER</v>
          </cell>
          <cell r="B73" t="str">
            <v>BUDGETS</v>
          </cell>
          <cell r="D73">
            <v>600000</v>
          </cell>
          <cell r="E73" t="str">
            <v>P</v>
          </cell>
          <cell r="G73" t="str">
            <v>0004125</v>
          </cell>
          <cell r="I73" t="str">
            <v>CON2004</v>
          </cell>
          <cell r="J73" t="str">
            <v>USD</v>
          </cell>
          <cell r="L73">
            <v>2006</v>
          </cell>
          <cell r="M73">
            <v>12</v>
          </cell>
        </row>
        <row r="74">
          <cell r="A74" t="str">
            <v>POWER</v>
          </cell>
          <cell r="B74" t="str">
            <v>BUDGETS</v>
          </cell>
          <cell r="D74">
            <v>600000</v>
          </cell>
          <cell r="E74" t="str">
            <v>P</v>
          </cell>
          <cell r="G74" t="str">
            <v>0004125</v>
          </cell>
          <cell r="I74" t="str">
            <v>CON2004</v>
          </cell>
          <cell r="J74" t="str">
            <v>USD</v>
          </cell>
          <cell r="L74">
            <v>2007</v>
          </cell>
          <cell r="M74">
            <v>12</v>
          </cell>
        </row>
        <row r="75">
          <cell r="A75" t="str">
            <v>POWER</v>
          </cell>
          <cell r="B75" t="str">
            <v>BUDGETS</v>
          </cell>
          <cell r="D75">
            <v>600000</v>
          </cell>
          <cell r="E75" t="str">
            <v>P</v>
          </cell>
          <cell r="G75" t="str">
            <v>0004125</v>
          </cell>
          <cell r="I75" t="str">
            <v>CON2004</v>
          </cell>
          <cell r="J75" t="str">
            <v>USD</v>
          </cell>
          <cell r="L75">
            <v>2008</v>
          </cell>
          <cell r="M75">
            <v>12</v>
          </cell>
        </row>
        <row r="76">
          <cell r="A76" t="str">
            <v>POWER</v>
          </cell>
          <cell r="B76" t="str">
            <v>BUDGETS</v>
          </cell>
          <cell r="D76">
            <v>600000</v>
          </cell>
          <cell r="E76" t="str">
            <v>P</v>
          </cell>
          <cell r="G76" t="str">
            <v>0001140</v>
          </cell>
          <cell r="I76" t="str">
            <v>CON2004</v>
          </cell>
          <cell r="J76" t="str">
            <v>USD</v>
          </cell>
          <cell r="L76">
            <v>2003</v>
          </cell>
          <cell r="M76">
            <v>12</v>
          </cell>
        </row>
        <row r="77">
          <cell r="A77" t="str">
            <v>POWER</v>
          </cell>
          <cell r="B77" t="str">
            <v>BUDGETS</v>
          </cell>
          <cell r="D77">
            <v>600000</v>
          </cell>
          <cell r="E77" t="str">
            <v>P</v>
          </cell>
          <cell r="G77" t="str">
            <v>0001140</v>
          </cell>
          <cell r="I77" t="str">
            <v>CON2004</v>
          </cell>
          <cell r="J77" t="str">
            <v>USD</v>
          </cell>
          <cell r="L77">
            <v>2004</v>
          </cell>
          <cell r="M77">
            <v>12</v>
          </cell>
        </row>
        <row r="78">
          <cell r="A78" t="str">
            <v>POWER</v>
          </cell>
          <cell r="B78" t="str">
            <v>BUDGETS</v>
          </cell>
          <cell r="D78">
            <v>600000</v>
          </cell>
          <cell r="E78" t="str">
            <v>P</v>
          </cell>
          <cell r="G78" t="str">
            <v>0001140</v>
          </cell>
          <cell r="I78" t="str">
            <v>CON2004</v>
          </cell>
          <cell r="J78" t="str">
            <v>USD</v>
          </cell>
          <cell r="L78">
            <v>2005</v>
          </cell>
          <cell r="M78">
            <v>12</v>
          </cell>
        </row>
        <row r="79">
          <cell r="A79" t="str">
            <v>POWER</v>
          </cell>
          <cell r="B79" t="str">
            <v>BUDGETS</v>
          </cell>
          <cell r="D79">
            <v>600000</v>
          </cell>
          <cell r="E79" t="str">
            <v>P</v>
          </cell>
          <cell r="G79" t="str">
            <v>0001140</v>
          </cell>
          <cell r="I79" t="str">
            <v>CON2004</v>
          </cell>
          <cell r="J79" t="str">
            <v>USD</v>
          </cell>
          <cell r="L79">
            <v>2006</v>
          </cell>
          <cell r="M79">
            <v>12</v>
          </cell>
        </row>
        <row r="80">
          <cell r="A80" t="str">
            <v>POWER</v>
          </cell>
          <cell r="B80" t="str">
            <v>BUDGETS</v>
          </cell>
          <cell r="D80">
            <v>600000</v>
          </cell>
          <cell r="E80" t="str">
            <v>P</v>
          </cell>
          <cell r="G80" t="str">
            <v>0001140</v>
          </cell>
          <cell r="I80" t="str">
            <v>CON2004</v>
          </cell>
          <cell r="J80" t="str">
            <v>USD</v>
          </cell>
          <cell r="L80">
            <v>2007</v>
          </cell>
          <cell r="M80">
            <v>12</v>
          </cell>
        </row>
        <row r="81">
          <cell r="A81" t="str">
            <v>POWER</v>
          </cell>
          <cell r="B81" t="str">
            <v>BUDGETS</v>
          </cell>
          <cell r="D81">
            <v>600000</v>
          </cell>
          <cell r="E81" t="str">
            <v>P</v>
          </cell>
          <cell r="G81" t="str">
            <v>0001140</v>
          </cell>
          <cell r="I81" t="str">
            <v>CON2004</v>
          </cell>
          <cell r="J81" t="str">
            <v>USD</v>
          </cell>
          <cell r="L81">
            <v>2008</v>
          </cell>
          <cell r="M81">
            <v>12</v>
          </cell>
        </row>
        <row r="82">
          <cell r="A82" t="str">
            <v>POWER</v>
          </cell>
          <cell r="B82" t="str">
            <v>BUDGETS</v>
          </cell>
          <cell r="D82">
            <v>600530</v>
          </cell>
          <cell r="E82" t="str">
            <v>P</v>
          </cell>
          <cell r="G82" t="str">
            <v>0001139</v>
          </cell>
          <cell r="I82" t="str">
            <v>CON2004</v>
          </cell>
          <cell r="J82" t="str">
            <v>USD</v>
          </cell>
          <cell r="L82">
            <v>2003</v>
          </cell>
          <cell r="M82">
            <v>12</v>
          </cell>
        </row>
        <row r="83">
          <cell r="A83" t="str">
            <v>POWER</v>
          </cell>
          <cell r="B83" t="str">
            <v>BUDGETS</v>
          </cell>
          <cell r="D83">
            <v>600530</v>
          </cell>
          <cell r="E83" t="str">
            <v>P</v>
          </cell>
          <cell r="G83" t="str">
            <v>0001139</v>
          </cell>
          <cell r="I83" t="str">
            <v>CON2004</v>
          </cell>
          <cell r="J83" t="str">
            <v>USD</v>
          </cell>
          <cell r="L83">
            <v>2004</v>
          </cell>
          <cell r="M83">
            <v>12</v>
          </cell>
        </row>
        <row r="84">
          <cell r="A84" t="str">
            <v>POWER</v>
          </cell>
          <cell r="B84" t="str">
            <v>BUDGETS</v>
          </cell>
          <cell r="D84">
            <v>600530</v>
          </cell>
          <cell r="E84" t="str">
            <v>P</v>
          </cell>
          <cell r="G84" t="str">
            <v>0001139</v>
          </cell>
          <cell r="I84" t="str">
            <v>CON2004</v>
          </cell>
          <cell r="J84" t="str">
            <v>USD</v>
          </cell>
          <cell r="L84">
            <v>2005</v>
          </cell>
          <cell r="M84">
            <v>12</v>
          </cell>
        </row>
        <row r="85">
          <cell r="A85" t="str">
            <v>POWER</v>
          </cell>
          <cell r="B85" t="str">
            <v>BUDGETS</v>
          </cell>
          <cell r="D85">
            <v>600530</v>
          </cell>
          <cell r="E85" t="str">
            <v>P</v>
          </cell>
          <cell r="G85" t="str">
            <v>0001139</v>
          </cell>
          <cell r="I85" t="str">
            <v>CON2004</v>
          </cell>
          <cell r="J85" t="str">
            <v>USD</v>
          </cell>
          <cell r="L85">
            <v>2006</v>
          </cell>
          <cell r="M85">
            <v>12</v>
          </cell>
        </row>
        <row r="86">
          <cell r="A86" t="str">
            <v>POWER</v>
          </cell>
          <cell r="B86" t="str">
            <v>BUDGETS</v>
          </cell>
          <cell r="D86">
            <v>600530</v>
          </cell>
          <cell r="E86" t="str">
            <v>P</v>
          </cell>
          <cell r="G86" t="str">
            <v>0001139</v>
          </cell>
          <cell r="I86" t="str">
            <v>CON2004</v>
          </cell>
          <cell r="J86" t="str">
            <v>USD</v>
          </cell>
          <cell r="L86">
            <v>2007</v>
          </cell>
          <cell r="M86">
            <v>12</v>
          </cell>
        </row>
        <row r="87">
          <cell r="A87" t="str">
            <v>POWER</v>
          </cell>
          <cell r="B87" t="str">
            <v>BUDGETS</v>
          </cell>
          <cell r="D87">
            <v>600530</v>
          </cell>
          <cell r="E87" t="str">
            <v>P</v>
          </cell>
          <cell r="G87" t="str">
            <v>0001139</v>
          </cell>
          <cell r="I87" t="str">
            <v>CON2004</v>
          </cell>
          <cell r="J87" t="str">
            <v>USD</v>
          </cell>
          <cell r="L87">
            <v>2008</v>
          </cell>
          <cell r="M87">
            <v>12</v>
          </cell>
        </row>
        <row r="88">
          <cell r="A88" t="str">
            <v>POWER</v>
          </cell>
          <cell r="B88" t="str">
            <v>BUDGETS</v>
          </cell>
          <cell r="D88">
            <v>600530</v>
          </cell>
          <cell r="E88" t="str">
            <v>P</v>
          </cell>
          <cell r="G88" t="str">
            <v>0001134</v>
          </cell>
          <cell r="I88" t="str">
            <v>CON2004</v>
          </cell>
          <cell r="J88" t="str">
            <v>USD</v>
          </cell>
          <cell r="L88">
            <v>2003</v>
          </cell>
          <cell r="M88">
            <v>12</v>
          </cell>
        </row>
        <row r="89">
          <cell r="A89" t="str">
            <v>POWER</v>
          </cell>
          <cell r="B89" t="str">
            <v>BUDGETS</v>
          </cell>
          <cell r="D89">
            <v>600530</v>
          </cell>
          <cell r="E89" t="str">
            <v>P</v>
          </cell>
          <cell r="G89" t="str">
            <v>0001134</v>
          </cell>
          <cell r="I89" t="str">
            <v>CON2004</v>
          </cell>
          <cell r="J89" t="str">
            <v>USD</v>
          </cell>
          <cell r="L89">
            <v>2004</v>
          </cell>
          <cell r="M89">
            <v>12</v>
          </cell>
        </row>
        <row r="90">
          <cell r="A90" t="str">
            <v>POWER</v>
          </cell>
          <cell r="B90" t="str">
            <v>BUDGETS</v>
          </cell>
          <cell r="D90">
            <v>600530</v>
          </cell>
          <cell r="E90" t="str">
            <v>P</v>
          </cell>
          <cell r="G90" t="str">
            <v>0001134</v>
          </cell>
          <cell r="I90" t="str">
            <v>CON2004</v>
          </cell>
          <cell r="J90" t="str">
            <v>USD</v>
          </cell>
          <cell r="L90">
            <v>2005</v>
          </cell>
          <cell r="M90">
            <v>12</v>
          </cell>
        </row>
        <row r="91">
          <cell r="A91" t="str">
            <v>POWER</v>
          </cell>
          <cell r="B91" t="str">
            <v>BUDGETS</v>
          </cell>
          <cell r="D91">
            <v>600530</v>
          </cell>
          <cell r="E91" t="str">
            <v>P</v>
          </cell>
          <cell r="G91" t="str">
            <v>0001134</v>
          </cell>
          <cell r="I91" t="str">
            <v>CON2004</v>
          </cell>
          <cell r="J91" t="str">
            <v>USD</v>
          </cell>
          <cell r="L91">
            <v>2006</v>
          </cell>
          <cell r="M91">
            <v>12</v>
          </cell>
        </row>
        <row r="92">
          <cell r="A92" t="str">
            <v>POWER</v>
          </cell>
          <cell r="B92" t="str">
            <v>BUDGETS</v>
          </cell>
          <cell r="D92">
            <v>600530</v>
          </cell>
          <cell r="E92" t="str">
            <v>P</v>
          </cell>
          <cell r="G92" t="str">
            <v>0001134</v>
          </cell>
          <cell r="I92" t="str">
            <v>CON2004</v>
          </cell>
          <cell r="J92" t="str">
            <v>USD</v>
          </cell>
          <cell r="L92">
            <v>2007</v>
          </cell>
          <cell r="M92">
            <v>12</v>
          </cell>
        </row>
        <row r="93">
          <cell r="A93" t="str">
            <v>POWER</v>
          </cell>
          <cell r="B93" t="str">
            <v>BUDGETS</v>
          </cell>
          <cell r="D93">
            <v>600530</v>
          </cell>
          <cell r="E93" t="str">
            <v>P</v>
          </cell>
          <cell r="G93" t="str">
            <v>0001134</v>
          </cell>
          <cell r="I93" t="str">
            <v>CON2004</v>
          </cell>
          <cell r="J93" t="str">
            <v>USD</v>
          </cell>
          <cell r="L93">
            <v>2008</v>
          </cell>
          <cell r="M93">
            <v>12</v>
          </cell>
        </row>
        <row r="94">
          <cell r="A94" t="str">
            <v>POWER</v>
          </cell>
          <cell r="B94" t="str">
            <v>BUDGETS</v>
          </cell>
          <cell r="D94">
            <v>600530</v>
          </cell>
          <cell r="E94" t="str">
            <v>P</v>
          </cell>
          <cell r="G94" t="str">
            <v>0004554</v>
          </cell>
          <cell r="I94" t="str">
            <v>CON2004</v>
          </cell>
          <cell r="J94" t="str">
            <v>USD</v>
          </cell>
          <cell r="L94">
            <v>2003</v>
          </cell>
          <cell r="M94">
            <v>12</v>
          </cell>
        </row>
        <row r="95">
          <cell r="A95" t="str">
            <v>POWER</v>
          </cell>
          <cell r="B95" t="str">
            <v>BUDGETS</v>
          </cell>
          <cell r="D95">
            <v>600530</v>
          </cell>
          <cell r="E95" t="str">
            <v>P</v>
          </cell>
          <cell r="G95" t="str">
            <v>0004554</v>
          </cell>
          <cell r="I95" t="str">
            <v>CON2004</v>
          </cell>
          <cell r="J95" t="str">
            <v>USD</v>
          </cell>
          <cell r="L95">
            <v>2004</v>
          </cell>
          <cell r="M95">
            <v>12</v>
          </cell>
        </row>
        <row r="96">
          <cell r="A96" t="str">
            <v>POWER</v>
          </cell>
          <cell r="B96" t="str">
            <v>BUDGETS</v>
          </cell>
          <cell r="D96">
            <v>600530</v>
          </cell>
          <cell r="E96" t="str">
            <v>P</v>
          </cell>
          <cell r="G96" t="str">
            <v>0004554</v>
          </cell>
          <cell r="I96" t="str">
            <v>CON2004</v>
          </cell>
          <cell r="J96" t="str">
            <v>USD</v>
          </cell>
          <cell r="L96">
            <v>2005</v>
          </cell>
          <cell r="M96">
            <v>12</v>
          </cell>
        </row>
        <row r="97">
          <cell r="A97" t="str">
            <v>POWER</v>
          </cell>
          <cell r="B97" t="str">
            <v>BUDGETS</v>
          </cell>
          <cell r="D97">
            <v>600530</v>
          </cell>
          <cell r="E97" t="str">
            <v>P</v>
          </cell>
          <cell r="G97" t="str">
            <v>0004554</v>
          </cell>
          <cell r="I97" t="str">
            <v>CON2004</v>
          </cell>
          <cell r="J97" t="str">
            <v>USD</v>
          </cell>
          <cell r="L97">
            <v>2006</v>
          </cell>
          <cell r="M97">
            <v>12</v>
          </cell>
        </row>
        <row r="98">
          <cell r="A98" t="str">
            <v>POWER</v>
          </cell>
          <cell r="B98" t="str">
            <v>BUDGETS</v>
          </cell>
          <cell r="D98">
            <v>600530</v>
          </cell>
          <cell r="E98" t="str">
            <v>P</v>
          </cell>
          <cell r="G98" t="str">
            <v>0004554</v>
          </cell>
          <cell r="I98" t="str">
            <v>CON2004</v>
          </cell>
          <cell r="J98" t="str">
            <v>USD</v>
          </cell>
          <cell r="L98">
            <v>2007</v>
          </cell>
          <cell r="M98">
            <v>12</v>
          </cell>
        </row>
        <row r="99">
          <cell r="A99" t="str">
            <v>POWER</v>
          </cell>
          <cell r="B99" t="str">
            <v>BUDGETS</v>
          </cell>
          <cell r="D99">
            <v>600530</v>
          </cell>
          <cell r="E99" t="str">
            <v>P</v>
          </cell>
          <cell r="G99" t="str">
            <v>0004554</v>
          </cell>
          <cell r="I99" t="str">
            <v>CON2004</v>
          </cell>
          <cell r="J99" t="str">
            <v>USD</v>
          </cell>
          <cell r="L99">
            <v>2008</v>
          </cell>
          <cell r="M99">
            <v>12</v>
          </cell>
        </row>
        <row r="100">
          <cell r="A100" t="str">
            <v>POWER</v>
          </cell>
          <cell r="B100" t="str">
            <v>BUDGETS</v>
          </cell>
          <cell r="D100">
            <v>600530</v>
          </cell>
          <cell r="E100" t="str">
            <v>P</v>
          </cell>
          <cell r="G100" t="str">
            <v>0004553</v>
          </cell>
          <cell r="I100" t="str">
            <v>CON2004</v>
          </cell>
          <cell r="J100" t="str">
            <v>USD</v>
          </cell>
          <cell r="L100">
            <v>2003</v>
          </cell>
          <cell r="M100">
            <v>12</v>
          </cell>
        </row>
        <row r="101">
          <cell r="A101" t="str">
            <v>POWER</v>
          </cell>
          <cell r="B101" t="str">
            <v>BUDGETS</v>
          </cell>
          <cell r="D101">
            <v>600530</v>
          </cell>
          <cell r="E101" t="str">
            <v>P</v>
          </cell>
          <cell r="G101" t="str">
            <v>0004553</v>
          </cell>
          <cell r="I101" t="str">
            <v>CON2004</v>
          </cell>
          <cell r="J101" t="str">
            <v>USD</v>
          </cell>
          <cell r="L101">
            <v>2004</v>
          </cell>
          <cell r="M101">
            <v>12</v>
          </cell>
        </row>
        <row r="102">
          <cell r="A102" t="str">
            <v>POWER</v>
          </cell>
          <cell r="B102" t="str">
            <v>BUDGETS</v>
          </cell>
          <cell r="D102">
            <v>600530</v>
          </cell>
          <cell r="E102" t="str">
            <v>P</v>
          </cell>
          <cell r="G102" t="str">
            <v>0004553</v>
          </cell>
          <cell r="I102" t="str">
            <v>CON2004</v>
          </cell>
          <cell r="J102" t="str">
            <v>USD</v>
          </cell>
          <cell r="L102">
            <v>2005</v>
          </cell>
          <cell r="M102">
            <v>12</v>
          </cell>
        </row>
        <row r="103">
          <cell r="A103" t="str">
            <v>POWER</v>
          </cell>
          <cell r="B103" t="str">
            <v>BUDGETS</v>
          </cell>
          <cell r="D103">
            <v>600530</v>
          </cell>
          <cell r="E103" t="str">
            <v>P</v>
          </cell>
          <cell r="G103" t="str">
            <v>0004553</v>
          </cell>
          <cell r="I103" t="str">
            <v>CON2004</v>
          </cell>
          <cell r="J103" t="str">
            <v>USD</v>
          </cell>
          <cell r="L103">
            <v>2006</v>
          </cell>
          <cell r="M103">
            <v>12</v>
          </cell>
        </row>
        <row r="104">
          <cell r="A104" t="str">
            <v>POWER</v>
          </cell>
          <cell r="B104" t="str">
            <v>BUDGETS</v>
          </cell>
          <cell r="D104">
            <v>600530</v>
          </cell>
          <cell r="E104" t="str">
            <v>P</v>
          </cell>
          <cell r="G104" t="str">
            <v>0004553</v>
          </cell>
          <cell r="I104" t="str">
            <v>CON2004</v>
          </cell>
          <cell r="J104" t="str">
            <v>USD</v>
          </cell>
          <cell r="L104">
            <v>2007</v>
          </cell>
          <cell r="M104">
            <v>12</v>
          </cell>
        </row>
        <row r="105">
          <cell r="A105" t="str">
            <v>POWER</v>
          </cell>
          <cell r="B105" t="str">
            <v>BUDGETS</v>
          </cell>
          <cell r="D105">
            <v>600530</v>
          </cell>
          <cell r="E105" t="str">
            <v>P</v>
          </cell>
          <cell r="G105" t="str">
            <v>0004553</v>
          </cell>
          <cell r="I105" t="str">
            <v>CON2004</v>
          </cell>
          <cell r="J105" t="str">
            <v>USD</v>
          </cell>
          <cell r="L105">
            <v>2008</v>
          </cell>
          <cell r="M105">
            <v>12</v>
          </cell>
        </row>
        <row r="106">
          <cell r="A106" t="str">
            <v>POWER</v>
          </cell>
          <cell r="B106" t="str">
            <v>BUDGETS</v>
          </cell>
          <cell r="D106">
            <v>600530</v>
          </cell>
          <cell r="E106" t="str">
            <v>P</v>
          </cell>
          <cell r="G106" t="str">
            <v>0004555</v>
          </cell>
          <cell r="I106" t="str">
            <v>CON2004</v>
          </cell>
          <cell r="J106" t="str">
            <v>USD</v>
          </cell>
          <cell r="L106">
            <v>2003</v>
          </cell>
          <cell r="M106">
            <v>12</v>
          </cell>
        </row>
        <row r="107">
          <cell r="A107" t="str">
            <v>POWER</v>
          </cell>
          <cell r="B107" t="str">
            <v>BUDGETS</v>
          </cell>
          <cell r="D107">
            <v>600530</v>
          </cell>
          <cell r="E107" t="str">
            <v>P</v>
          </cell>
          <cell r="G107" t="str">
            <v>0004555</v>
          </cell>
          <cell r="I107" t="str">
            <v>CON2004</v>
          </cell>
          <cell r="J107" t="str">
            <v>USD</v>
          </cell>
          <cell r="L107">
            <v>2004</v>
          </cell>
          <cell r="M107">
            <v>12</v>
          </cell>
        </row>
        <row r="108">
          <cell r="A108" t="str">
            <v>POWER</v>
          </cell>
          <cell r="B108" t="str">
            <v>BUDGETS</v>
          </cell>
          <cell r="D108">
            <v>600530</v>
          </cell>
          <cell r="E108" t="str">
            <v>P</v>
          </cell>
          <cell r="G108" t="str">
            <v>0004555</v>
          </cell>
          <cell r="I108" t="str">
            <v>CON2004</v>
          </cell>
          <cell r="J108" t="str">
            <v>USD</v>
          </cell>
          <cell r="L108">
            <v>2005</v>
          </cell>
          <cell r="M108">
            <v>12</v>
          </cell>
        </row>
        <row r="109">
          <cell r="A109" t="str">
            <v>POWER</v>
          </cell>
          <cell r="B109" t="str">
            <v>BUDGETS</v>
          </cell>
          <cell r="D109">
            <v>600530</v>
          </cell>
          <cell r="E109" t="str">
            <v>P</v>
          </cell>
          <cell r="G109" t="str">
            <v>0004555</v>
          </cell>
          <cell r="I109" t="str">
            <v>CON2004</v>
          </cell>
          <cell r="J109" t="str">
            <v>USD</v>
          </cell>
          <cell r="L109">
            <v>2006</v>
          </cell>
          <cell r="M109">
            <v>12</v>
          </cell>
        </row>
        <row r="110">
          <cell r="A110" t="str">
            <v>POWER</v>
          </cell>
          <cell r="B110" t="str">
            <v>BUDGETS</v>
          </cell>
          <cell r="D110">
            <v>600530</v>
          </cell>
          <cell r="E110" t="str">
            <v>P</v>
          </cell>
          <cell r="G110" t="str">
            <v>0004555</v>
          </cell>
          <cell r="I110" t="str">
            <v>CON2004</v>
          </cell>
          <cell r="J110" t="str">
            <v>USD</v>
          </cell>
          <cell r="L110">
            <v>2007</v>
          </cell>
          <cell r="M110">
            <v>12</v>
          </cell>
        </row>
        <row r="111">
          <cell r="A111" t="str">
            <v>POWER</v>
          </cell>
          <cell r="B111" t="str">
            <v>BUDGETS</v>
          </cell>
          <cell r="D111">
            <v>600530</v>
          </cell>
          <cell r="E111" t="str">
            <v>P</v>
          </cell>
          <cell r="G111" t="str">
            <v>0004555</v>
          </cell>
          <cell r="I111" t="str">
            <v>CON2004</v>
          </cell>
          <cell r="J111" t="str">
            <v>USD</v>
          </cell>
          <cell r="L111">
            <v>2008</v>
          </cell>
          <cell r="M111">
            <v>12</v>
          </cell>
        </row>
        <row r="112">
          <cell r="A112" t="str">
            <v>POWER</v>
          </cell>
          <cell r="B112" t="str">
            <v>BUDGETS</v>
          </cell>
          <cell r="D112">
            <v>600000</v>
          </cell>
          <cell r="E112" t="str">
            <v>P</v>
          </cell>
          <cell r="G112" t="str">
            <v>0004584</v>
          </cell>
          <cell r="I112" t="str">
            <v>CON2004</v>
          </cell>
          <cell r="J112" t="str">
            <v>USD</v>
          </cell>
          <cell r="L112">
            <v>2003</v>
          </cell>
          <cell r="M112">
            <v>12</v>
          </cell>
        </row>
        <row r="113">
          <cell r="A113" t="str">
            <v>POWER</v>
          </cell>
          <cell r="B113" t="str">
            <v>BUDGETS</v>
          </cell>
          <cell r="D113">
            <v>600000</v>
          </cell>
          <cell r="E113" t="str">
            <v>P</v>
          </cell>
          <cell r="G113" t="str">
            <v>0004584</v>
          </cell>
          <cell r="I113" t="str">
            <v>CON2004</v>
          </cell>
          <cell r="J113" t="str">
            <v>USD</v>
          </cell>
          <cell r="L113">
            <v>2004</v>
          </cell>
          <cell r="M113">
            <v>12</v>
          </cell>
        </row>
        <row r="114">
          <cell r="A114" t="str">
            <v>POWER</v>
          </cell>
          <cell r="B114" t="str">
            <v>BUDGETS</v>
          </cell>
          <cell r="D114">
            <v>600000</v>
          </cell>
          <cell r="E114" t="str">
            <v>P</v>
          </cell>
          <cell r="G114" t="str">
            <v>0004584</v>
          </cell>
          <cell r="I114" t="str">
            <v>CON2004</v>
          </cell>
          <cell r="J114" t="str">
            <v>USD</v>
          </cell>
          <cell r="L114">
            <v>2005</v>
          </cell>
          <cell r="M114">
            <v>12</v>
          </cell>
        </row>
        <row r="115">
          <cell r="A115" t="str">
            <v>POWER</v>
          </cell>
          <cell r="B115" t="str">
            <v>BUDGETS</v>
          </cell>
          <cell r="D115">
            <v>600000</v>
          </cell>
          <cell r="E115" t="str">
            <v>P</v>
          </cell>
          <cell r="G115" t="str">
            <v>0004584</v>
          </cell>
          <cell r="I115" t="str">
            <v>CON2004</v>
          </cell>
          <cell r="J115" t="str">
            <v>USD</v>
          </cell>
          <cell r="L115">
            <v>2006</v>
          </cell>
          <cell r="M115">
            <v>12</v>
          </cell>
        </row>
        <row r="116">
          <cell r="A116" t="str">
            <v>POWER</v>
          </cell>
          <cell r="B116" t="str">
            <v>BUDGETS</v>
          </cell>
          <cell r="D116">
            <v>600000</v>
          </cell>
          <cell r="E116" t="str">
            <v>P</v>
          </cell>
          <cell r="G116" t="str">
            <v>0004584</v>
          </cell>
          <cell r="I116" t="str">
            <v>CON2004</v>
          </cell>
          <cell r="J116" t="str">
            <v>USD</v>
          </cell>
          <cell r="L116">
            <v>2007</v>
          </cell>
          <cell r="M116">
            <v>12</v>
          </cell>
        </row>
        <row r="117">
          <cell r="A117" t="str">
            <v>POWER</v>
          </cell>
          <cell r="B117" t="str">
            <v>BUDGETS</v>
          </cell>
          <cell r="D117">
            <v>600000</v>
          </cell>
          <cell r="E117" t="str">
            <v>P</v>
          </cell>
          <cell r="G117" t="str">
            <v>0004584</v>
          </cell>
          <cell r="I117" t="str">
            <v>CON2004</v>
          </cell>
          <cell r="J117" t="str">
            <v>USD</v>
          </cell>
          <cell r="L117">
            <v>2008</v>
          </cell>
          <cell r="M117">
            <v>12</v>
          </cell>
        </row>
        <row r="118">
          <cell r="A118" t="str">
            <v>POWER</v>
          </cell>
          <cell r="B118" t="str">
            <v>BUDGETS</v>
          </cell>
          <cell r="D118">
            <v>600000</v>
          </cell>
          <cell r="E118" t="str">
            <v>P</v>
          </cell>
          <cell r="G118" t="str">
            <v>0004550</v>
          </cell>
          <cell r="I118" t="str">
            <v>CON2004</v>
          </cell>
          <cell r="J118" t="str">
            <v>USD</v>
          </cell>
          <cell r="L118">
            <v>2003</v>
          </cell>
          <cell r="M118">
            <v>12</v>
          </cell>
        </row>
        <row r="119">
          <cell r="A119" t="str">
            <v>POWER</v>
          </cell>
          <cell r="B119" t="str">
            <v>BUDGETS</v>
          </cell>
          <cell r="D119">
            <v>600000</v>
          </cell>
          <cell r="E119" t="str">
            <v>P</v>
          </cell>
          <cell r="G119" t="str">
            <v>0004550</v>
          </cell>
          <cell r="I119" t="str">
            <v>CON2004</v>
          </cell>
          <cell r="J119" t="str">
            <v>USD</v>
          </cell>
          <cell r="L119">
            <v>2004</v>
          </cell>
          <cell r="M119">
            <v>12</v>
          </cell>
        </row>
        <row r="120">
          <cell r="A120" t="str">
            <v>POWER</v>
          </cell>
          <cell r="B120" t="str">
            <v>BUDGETS</v>
          </cell>
          <cell r="D120">
            <v>600000</v>
          </cell>
          <cell r="E120" t="str">
            <v>P</v>
          </cell>
          <cell r="G120" t="str">
            <v>0004550</v>
          </cell>
          <cell r="I120" t="str">
            <v>CON2004</v>
          </cell>
          <cell r="J120" t="str">
            <v>USD</v>
          </cell>
          <cell r="L120">
            <v>2005</v>
          </cell>
          <cell r="M120">
            <v>12</v>
          </cell>
        </row>
        <row r="121">
          <cell r="A121" t="str">
            <v>POWER</v>
          </cell>
          <cell r="B121" t="str">
            <v>BUDGETS</v>
          </cell>
          <cell r="D121">
            <v>600000</v>
          </cell>
          <cell r="E121" t="str">
            <v>P</v>
          </cell>
          <cell r="G121" t="str">
            <v>0004550</v>
          </cell>
          <cell r="I121" t="str">
            <v>CON2004</v>
          </cell>
          <cell r="J121" t="str">
            <v>USD</v>
          </cell>
          <cell r="L121">
            <v>2006</v>
          </cell>
          <cell r="M121">
            <v>12</v>
          </cell>
        </row>
        <row r="122">
          <cell r="A122" t="str">
            <v>POWER</v>
          </cell>
          <cell r="B122" t="str">
            <v>BUDGETS</v>
          </cell>
          <cell r="D122">
            <v>600000</v>
          </cell>
          <cell r="E122" t="str">
            <v>P</v>
          </cell>
          <cell r="G122" t="str">
            <v>0004550</v>
          </cell>
          <cell r="I122" t="str">
            <v>CON2004</v>
          </cell>
          <cell r="J122" t="str">
            <v>USD</v>
          </cell>
          <cell r="L122">
            <v>2007</v>
          </cell>
          <cell r="M122">
            <v>12</v>
          </cell>
        </row>
        <row r="123">
          <cell r="A123" t="str">
            <v>POWER</v>
          </cell>
          <cell r="B123" t="str">
            <v>BUDGETS</v>
          </cell>
          <cell r="D123">
            <v>600000</v>
          </cell>
          <cell r="E123" t="str">
            <v>P</v>
          </cell>
          <cell r="G123" t="str">
            <v>0004550</v>
          </cell>
          <cell r="I123" t="str">
            <v>CON2004</v>
          </cell>
          <cell r="J123" t="str">
            <v>USD</v>
          </cell>
          <cell r="L123">
            <v>2008</v>
          </cell>
          <cell r="M123">
            <v>12</v>
          </cell>
        </row>
        <row r="124">
          <cell r="A124" t="str">
            <v>POWER</v>
          </cell>
          <cell r="B124" t="str">
            <v>BUDGETS</v>
          </cell>
          <cell r="D124">
            <v>600000</v>
          </cell>
          <cell r="E124" t="str">
            <v>P</v>
          </cell>
          <cell r="G124" t="str">
            <v>0004549</v>
          </cell>
          <cell r="I124" t="str">
            <v>CON2004</v>
          </cell>
          <cell r="J124" t="str">
            <v>USD</v>
          </cell>
          <cell r="L124">
            <v>2003</v>
          </cell>
          <cell r="M124">
            <v>12</v>
          </cell>
        </row>
        <row r="125">
          <cell r="A125" t="str">
            <v>POWER</v>
          </cell>
          <cell r="B125" t="str">
            <v>BUDGETS</v>
          </cell>
          <cell r="D125">
            <v>600000</v>
          </cell>
          <cell r="E125" t="str">
            <v>P</v>
          </cell>
          <cell r="G125" t="str">
            <v>0004549</v>
          </cell>
          <cell r="I125" t="str">
            <v>CON2004</v>
          </cell>
          <cell r="J125" t="str">
            <v>USD</v>
          </cell>
          <cell r="L125">
            <v>2004</v>
          </cell>
          <cell r="M125">
            <v>12</v>
          </cell>
        </row>
        <row r="126">
          <cell r="A126" t="str">
            <v>POWER</v>
          </cell>
          <cell r="B126" t="str">
            <v>BUDGETS</v>
          </cell>
          <cell r="D126">
            <v>600000</v>
          </cell>
          <cell r="E126" t="str">
            <v>P</v>
          </cell>
          <cell r="G126" t="str">
            <v>0004549</v>
          </cell>
          <cell r="I126" t="str">
            <v>CON2004</v>
          </cell>
          <cell r="J126" t="str">
            <v>USD</v>
          </cell>
          <cell r="L126">
            <v>2005</v>
          </cell>
          <cell r="M126">
            <v>12</v>
          </cell>
        </row>
        <row r="127">
          <cell r="A127" t="str">
            <v>POWER</v>
          </cell>
          <cell r="B127" t="str">
            <v>BUDGETS</v>
          </cell>
          <cell r="D127">
            <v>600000</v>
          </cell>
          <cell r="E127" t="str">
            <v>P</v>
          </cell>
          <cell r="G127" t="str">
            <v>0004549</v>
          </cell>
          <cell r="I127" t="str">
            <v>CON2004</v>
          </cell>
          <cell r="J127" t="str">
            <v>USD</v>
          </cell>
          <cell r="L127">
            <v>2006</v>
          </cell>
          <cell r="M127">
            <v>12</v>
          </cell>
        </row>
        <row r="128">
          <cell r="A128" t="str">
            <v>POWER</v>
          </cell>
          <cell r="B128" t="str">
            <v>BUDGETS</v>
          </cell>
          <cell r="D128">
            <v>600000</v>
          </cell>
          <cell r="E128" t="str">
            <v>P</v>
          </cell>
          <cell r="G128" t="str">
            <v>0004549</v>
          </cell>
          <cell r="I128" t="str">
            <v>CON2004</v>
          </cell>
          <cell r="J128" t="str">
            <v>USD</v>
          </cell>
          <cell r="L128">
            <v>2007</v>
          </cell>
          <cell r="M128">
            <v>12</v>
          </cell>
        </row>
        <row r="129">
          <cell r="A129" t="str">
            <v>POWER</v>
          </cell>
          <cell r="B129" t="str">
            <v>BUDGETS</v>
          </cell>
          <cell r="D129">
            <v>600000</v>
          </cell>
          <cell r="E129" t="str">
            <v>P</v>
          </cell>
          <cell r="G129" t="str">
            <v>0004549</v>
          </cell>
          <cell r="I129" t="str">
            <v>CON2004</v>
          </cell>
          <cell r="J129" t="str">
            <v>USD</v>
          </cell>
          <cell r="L129">
            <v>2008</v>
          </cell>
          <cell r="M129">
            <v>12</v>
          </cell>
        </row>
        <row r="130">
          <cell r="A130" t="str">
            <v>POWER</v>
          </cell>
          <cell r="B130" t="str">
            <v>BUDGETS</v>
          </cell>
          <cell r="D130">
            <v>600000</v>
          </cell>
          <cell r="E130" t="str">
            <v>P</v>
          </cell>
          <cell r="G130" t="str">
            <v>0004548</v>
          </cell>
          <cell r="I130" t="str">
            <v>CON2004</v>
          </cell>
          <cell r="J130" t="str">
            <v>USD</v>
          </cell>
          <cell r="L130">
            <v>2003</v>
          </cell>
          <cell r="M130">
            <v>12</v>
          </cell>
        </row>
        <row r="131">
          <cell r="A131" t="str">
            <v>POWER</v>
          </cell>
          <cell r="B131" t="str">
            <v>BUDGETS</v>
          </cell>
          <cell r="D131">
            <v>600000</v>
          </cell>
          <cell r="E131" t="str">
            <v>P</v>
          </cell>
          <cell r="G131" t="str">
            <v>0004548</v>
          </cell>
          <cell r="I131" t="str">
            <v>CON2004</v>
          </cell>
          <cell r="J131" t="str">
            <v>USD</v>
          </cell>
          <cell r="L131">
            <v>2004</v>
          </cell>
          <cell r="M131">
            <v>12</v>
          </cell>
        </row>
        <row r="132">
          <cell r="A132" t="str">
            <v>POWER</v>
          </cell>
          <cell r="B132" t="str">
            <v>BUDGETS</v>
          </cell>
          <cell r="D132">
            <v>600000</v>
          </cell>
          <cell r="E132" t="str">
            <v>P</v>
          </cell>
          <cell r="G132" t="str">
            <v>0004548</v>
          </cell>
          <cell r="I132" t="str">
            <v>CON2004</v>
          </cell>
          <cell r="J132" t="str">
            <v>USD</v>
          </cell>
          <cell r="L132">
            <v>2005</v>
          </cell>
          <cell r="M132">
            <v>12</v>
          </cell>
        </row>
        <row r="133">
          <cell r="A133" t="str">
            <v>POWER</v>
          </cell>
          <cell r="B133" t="str">
            <v>BUDGETS</v>
          </cell>
          <cell r="D133">
            <v>600000</v>
          </cell>
          <cell r="E133" t="str">
            <v>P</v>
          </cell>
          <cell r="G133" t="str">
            <v>0004548</v>
          </cell>
          <cell r="I133" t="str">
            <v>CON2004</v>
          </cell>
          <cell r="J133" t="str">
            <v>USD</v>
          </cell>
          <cell r="L133">
            <v>2006</v>
          </cell>
          <cell r="M133">
            <v>12</v>
          </cell>
        </row>
        <row r="134">
          <cell r="A134" t="str">
            <v>POWER</v>
          </cell>
          <cell r="B134" t="str">
            <v>BUDGETS</v>
          </cell>
          <cell r="D134">
            <v>600000</v>
          </cell>
          <cell r="E134" t="str">
            <v>P</v>
          </cell>
          <cell r="G134" t="str">
            <v>0004548</v>
          </cell>
          <cell r="I134" t="str">
            <v>CON2004</v>
          </cell>
          <cell r="J134" t="str">
            <v>USD</v>
          </cell>
          <cell r="L134">
            <v>2007</v>
          </cell>
          <cell r="M134">
            <v>12</v>
          </cell>
        </row>
        <row r="135">
          <cell r="A135" t="str">
            <v>POWER</v>
          </cell>
          <cell r="B135" t="str">
            <v>BUDGETS</v>
          </cell>
          <cell r="D135">
            <v>600000</v>
          </cell>
          <cell r="E135" t="str">
            <v>P</v>
          </cell>
          <cell r="G135" t="str">
            <v>0004548</v>
          </cell>
          <cell r="I135" t="str">
            <v>CON2004</v>
          </cell>
          <cell r="J135" t="str">
            <v>USD</v>
          </cell>
          <cell r="L135">
            <v>2008</v>
          </cell>
          <cell r="M135">
            <v>12</v>
          </cell>
        </row>
        <row r="136">
          <cell r="A136" t="str">
            <v>POWER</v>
          </cell>
          <cell r="B136" t="str">
            <v>BUDGETS</v>
          </cell>
          <cell r="D136">
            <v>600000</v>
          </cell>
          <cell r="E136" t="str">
            <v>P</v>
          </cell>
          <cell r="G136" t="str">
            <v>0004547</v>
          </cell>
          <cell r="I136" t="str">
            <v>CON2004</v>
          </cell>
          <cell r="J136" t="str">
            <v>USD</v>
          </cell>
          <cell r="L136">
            <v>2003</v>
          </cell>
          <cell r="M136">
            <v>12</v>
          </cell>
        </row>
        <row r="137">
          <cell r="A137" t="str">
            <v>POWER</v>
          </cell>
          <cell r="B137" t="str">
            <v>BUDGETS</v>
          </cell>
          <cell r="D137">
            <v>600000</v>
          </cell>
          <cell r="E137" t="str">
            <v>P</v>
          </cell>
          <cell r="G137" t="str">
            <v>0004547</v>
          </cell>
          <cell r="I137" t="str">
            <v>CON2004</v>
          </cell>
          <cell r="J137" t="str">
            <v>USD</v>
          </cell>
          <cell r="L137">
            <v>2004</v>
          </cell>
          <cell r="M137">
            <v>12</v>
          </cell>
        </row>
        <row r="138">
          <cell r="A138" t="str">
            <v>POWER</v>
          </cell>
          <cell r="B138" t="str">
            <v>BUDGETS</v>
          </cell>
          <cell r="D138">
            <v>600000</v>
          </cell>
          <cell r="E138" t="str">
            <v>P</v>
          </cell>
          <cell r="G138" t="str">
            <v>0004547</v>
          </cell>
          <cell r="I138" t="str">
            <v>CON2004</v>
          </cell>
          <cell r="J138" t="str">
            <v>USD</v>
          </cell>
          <cell r="L138">
            <v>2005</v>
          </cell>
          <cell r="M138">
            <v>12</v>
          </cell>
        </row>
        <row r="139">
          <cell r="A139" t="str">
            <v>POWER</v>
          </cell>
          <cell r="B139" t="str">
            <v>BUDGETS</v>
          </cell>
          <cell r="D139">
            <v>600000</v>
          </cell>
          <cell r="E139" t="str">
            <v>P</v>
          </cell>
          <cell r="G139" t="str">
            <v>0004547</v>
          </cell>
          <cell r="I139" t="str">
            <v>CON2004</v>
          </cell>
          <cell r="J139" t="str">
            <v>USD</v>
          </cell>
          <cell r="L139">
            <v>2006</v>
          </cell>
          <cell r="M139">
            <v>12</v>
          </cell>
        </row>
        <row r="140">
          <cell r="A140" t="str">
            <v>POWER</v>
          </cell>
          <cell r="B140" t="str">
            <v>BUDGETS</v>
          </cell>
          <cell r="D140">
            <v>600000</v>
          </cell>
          <cell r="E140" t="str">
            <v>P</v>
          </cell>
          <cell r="G140" t="str">
            <v>0004547</v>
          </cell>
          <cell r="I140" t="str">
            <v>CON2004</v>
          </cell>
          <cell r="J140" t="str">
            <v>USD</v>
          </cell>
          <cell r="L140">
            <v>2007</v>
          </cell>
          <cell r="M140">
            <v>12</v>
          </cell>
        </row>
        <row r="141">
          <cell r="A141" t="str">
            <v>POWER</v>
          </cell>
          <cell r="B141" t="str">
            <v>BUDGETS</v>
          </cell>
          <cell r="D141">
            <v>600000</v>
          </cell>
          <cell r="E141" t="str">
            <v>P</v>
          </cell>
          <cell r="G141" t="str">
            <v>0004547</v>
          </cell>
          <cell r="I141" t="str">
            <v>CON2004</v>
          </cell>
          <cell r="J141" t="str">
            <v>USD</v>
          </cell>
          <cell r="L141">
            <v>2008</v>
          </cell>
          <cell r="M141">
            <v>12</v>
          </cell>
        </row>
        <row r="142">
          <cell r="A142" t="str">
            <v>POWER</v>
          </cell>
          <cell r="B142" t="str">
            <v>BUDGETS</v>
          </cell>
          <cell r="D142">
            <v>600000</v>
          </cell>
          <cell r="E142" t="str">
            <v>P</v>
          </cell>
          <cell r="G142" t="str">
            <v>0004546</v>
          </cell>
          <cell r="I142" t="str">
            <v>CON2004</v>
          </cell>
          <cell r="J142" t="str">
            <v>USD</v>
          </cell>
          <cell r="L142">
            <v>2003</v>
          </cell>
          <cell r="M142">
            <v>12</v>
          </cell>
        </row>
        <row r="143">
          <cell r="A143" t="str">
            <v>POWER</v>
          </cell>
          <cell r="B143" t="str">
            <v>BUDGETS</v>
          </cell>
          <cell r="D143">
            <v>600000</v>
          </cell>
          <cell r="E143" t="str">
            <v>P</v>
          </cell>
          <cell r="G143" t="str">
            <v>0004546</v>
          </cell>
          <cell r="I143" t="str">
            <v>CON2004</v>
          </cell>
          <cell r="J143" t="str">
            <v>USD</v>
          </cell>
          <cell r="L143">
            <v>2004</v>
          </cell>
          <cell r="M143">
            <v>12</v>
          </cell>
        </row>
        <row r="144">
          <cell r="A144" t="str">
            <v>POWER</v>
          </cell>
          <cell r="B144" t="str">
            <v>BUDGETS</v>
          </cell>
          <cell r="D144">
            <v>600000</v>
          </cell>
          <cell r="E144" t="str">
            <v>P</v>
          </cell>
          <cell r="G144" t="str">
            <v>0004546</v>
          </cell>
          <cell r="I144" t="str">
            <v>CON2004</v>
          </cell>
          <cell r="J144" t="str">
            <v>USD</v>
          </cell>
          <cell r="L144">
            <v>2005</v>
          </cell>
          <cell r="M144">
            <v>12</v>
          </cell>
        </row>
        <row r="145">
          <cell r="A145" t="str">
            <v>POWER</v>
          </cell>
          <cell r="B145" t="str">
            <v>BUDGETS</v>
          </cell>
          <cell r="D145">
            <v>600000</v>
          </cell>
          <cell r="E145" t="str">
            <v>P</v>
          </cell>
          <cell r="G145" t="str">
            <v>0004546</v>
          </cell>
          <cell r="I145" t="str">
            <v>CON2004</v>
          </cell>
          <cell r="J145" t="str">
            <v>USD</v>
          </cell>
          <cell r="L145">
            <v>2006</v>
          </cell>
          <cell r="M145">
            <v>12</v>
          </cell>
        </row>
        <row r="146">
          <cell r="A146" t="str">
            <v>POWER</v>
          </cell>
          <cell r="B146" t="str">
            <v>BUDGETS</v>
          </cell>
          <cell r="D146">
            <v>600000</v>
          </cell>
          <cell r="E146" t="str">
            <v>P</v>
          </cell>
          <cell r="G146" t="str">
            <v>0004546</v>
          </cell>
          <cell r="I146" t="str">
            <v>CON2004</v>
          </cell>
          <cell r="J146" t="str">
            <v>USD</v>
          </cell>
          <cell r="L146">
            <v>2007</v>
          </cell>
          <cell r="M146">
            <v>12</v>
          </cell>
        </row>
        <row r="147">
          <cell r="A147" t="str">
            <v>POWER</v>
          </cell>
          <cell r="B147" t="str">
            <v>BUDGETS</v>
          </cell>
          <cell r="D147">
            <v>600000</v>
          </cell>
          <cell r="E147" t="str">
            <v>P</v>
          </cell>
          <cell r="G147" t="str">
            <v>0004546</v>
          </cell>
          <cell r="I147" t="str">
            <v>CON2004</v>
          </cell>
          <cell r="J147" t="str">
            <v>USD</v>
          </cell>
          <cell r="L147">
            <v>2008</v>
          </cell>
          <cell r="M147">
            <v>12</v>
          </cell>
        </row>
        <row r="148">
          <cell r="A148" t="str">
            <v>POWER</v>
          </cell>
          <cell r="B148" t="str">
            <v>BUDGETS</v>
          </cell>
          <cell r="D148">
            <v>600000</v>
          </cell>
          <cell r="E148" t="str">
            <v>P</v>
          </cell>
          <cell r="G148" t="str">
            <v>0004545</v>
          </cell>
          <cell r="I148" t="str">
            <v>CON2004</v>
          </cell>
          <cell r="J148" t="str">
            <v>USD</v>
          </cell>
          <cell r="L148">
            <v>2003</v>
          </cell>
          <cell r="M148">
            <v>12</v>
          </cell>
        </row>
        <row r="149">
          <cell r="A149" t="str">
            <v>POWER</v>
          </cell>
          <cell r="B149" t="str">
            <v>BUDGETS</v>
          </cell>
          <cell r="D149">
            <v>600000</v>
          </cell>
          <cell r="E149" t="str">
            <v>P</v>
          </cell>
          <cell r="G149" t="str">
            <v>0004545</v>
          </cell>
          <cell r="I149" t="str">
            <v>CON2004</v>
          </cell>
          <cell r="J149" t="str">
            <v>USD</v>
          </cell>
          <cell r="L149">
            <v>2004</v>
          </cell>
          <cell r="M149">
            <v>12</v>
          </cell>
        </row>
        <row r="150">
          <cell r="A150" t="str">
            <v>POWER</v>
          </cell>
          <cell r="B150" t="str">
            <v>BUDGETS</v>
          </cell>
          <cell r="D150">
            <v>600000</v>
          </cell>
          <cell r="E150" t="str">
            <v>P</v>
          </cell>
          <cell r="G150" t="str">
            <v>0004545</v>
          </cell>
          <cell r="I150" t="str">
            <v>CON2004</v>
          </cell>
          <cell r="J150" t="str">
            <v>USD</v>
          </cell>
          <cell r="L150">
            <v>2005</v>
          </cell>
          <cell r="M150">
            <v>12</v>
          </cell>
        </row>
        <row r="151">
          <cell r="A151" t="str">
            <v>POWER</v>
          </cell>
          <cell r="B151" t="str">
            <v>BUDGETS</v>
          </cell>
          <cell r="D151">
            <v>600000</v>
          </cell>
          <cell r="E151" t="str">
            <v>P</v>
          </cell>
          <cell r="G151" t="str">
            <v>0004545</v>
          </cell>
          <cell r="I151" t="str">
            <v>CON2004</v>
          </cell>
          <cell r="J151" t="str">
            <v>USD</v>
          </cell>
          <cell r="L151">
            <v>2006</v>
          </cell>
          <cell r="M151">
            <v>12</v>
          </cell>
        </row>
        <row r="152">
          <cell r="A152" t="str">
            <v>POWER</v>
          </cell>
          <cell r="B152" t="str">
            <v>BUDGETS</v>
          </cell>
          <cell r="D152">
            <v>600000</v>
          </cell>
          <cell r="E152" t="str">
            <v>P</v>
          </cell>
          <cell r="G152" t="str">
            <v>0004545</v>
          </cell>
          <cell r="I152" t="str">
            <v>CON2004</v>
          </cell>
          <cell r="J152" t="str">
            <v>USD</v>
          </cell>
          <cell r="L152">
            <v>2007</v>
          </cell>
          <cell r="M152">
            <v>12</v>
          </cell>
        </row>
        <row r="153">
          <cell r="A153" t="str">
            <v>POWER</v>
          </cell>
          <cell r="B153" t="str">
            <v>BUDGETS</v>
          </cell>
          <cell r="D153">
            <v>600000</v>
          </cell>
          <cell r="E153" t="str">
            <v>P</v>
          </cell>
          <cell r="G153" t="str">
            <v>0004545</v>
          </cell>
          <cell r="I153" t="str">
            <v>CON2004</v>
          </cell>
          <cell r="J153" t="str">
            <v>USD</v>
          </cell>
          <cell r="L153">
            <v>2008</v>
          </cell>
          <cell r="M153">
            <v>12</v>
          </cell>
        </row>
        <row r="154">
          <cell r="A154" t="str">
            <v>POWER</v>
          </cell>
          <cell r="B154" t="str">
            <v>BUDGETS</v>
          </cell>
          <cell r="D154">
            <v>600000</v>
          </cell>
          <cell r="E154" t="str">
            <v>P</v>
          </cell>
          <cell r="G154" t="str">
            <v>0004544</v>
          </cell>
          <cell r="I154" t="str">
            <v>CON2004</v>
          </cell>
          <cell r="J154" t="str">
            <v>USD</v>
          </cell>
          <cell r="L154">
            <v>2003</v>
          </cell>
          <cell r="M154">
            <v>12</v>
          </cell>
        </row>
        <row r="155">
          <cell r="A155" t="str">
            <v>POWER</v>
          </cell>
          <cell r="B155" t="str">
            <v>BUDGETS</v>
          </cell>
          <cell r="D155">
            <v>600000</v>
          </cell>
          <cell r="E155" t="str">
            <v>P</v>
          </cell>
          <cell r="G155" t="str">
            <v>0004544</v>
          </cell>
          <cell r="I155" t="str">
            <v>CON2004</v>
          </cell>
          <cell r="J155" t="str">
            <v>USD</v>
          </cell>
          <cell r="L155">
            <v>2004</v>
          </cell>
          <cell r="M155">
            <v>12</v>
          </cell>
        </row>
        <row r="156">
          <cell r="A156" t="str">
            <v>POWER</v>
          </cell>
          <cell r="B156" t="str">
            <v>BUDGETS</v>
          </cell>
          <cell r="D156">
            <v>600000</v>
          </cell>
          <cell r="E156" t="str">
            <v>P</v>
          </cell>
          <cell r="G156" t="str">
            <v>0004544</v>
          </cell>
          <cell r="I156" t="str">
            <v>CON2004</v>
          </cell>
          <cell r="J156" t="str">
            <v>USD</v>
          </cell>
          <cell r="L156">
            <v>2005</v>
          </cell>
          <cell r="M156">
            <v>12</v>
          </cell>
        </row>
        <row r="157">
          <cell r="A157" t="str">
            <v>POWER</v>
          </cell>
          <cell r="B157" t="str">
            <v>BUDGETS</v>
          </cell>
          <cell r="D157">
            <v>600000</v>
          </cell>
          <cell r="E157" t="str">
            <v>P</v>
          </cell>
          <cell r="G157" t="str">
            <v>0004544</v>
          </cell>
          <cell r="I157" t="str">
            <v>CON2004</v>
          </cell>
          <cell r="J157" t="str">
            <v>USD</v>
          </cell>
          <cell r="L157">
            <v>2006</v>
          </cell>
          <cell r="M157">
            <v>12</v>
          </cell>
        </row>
        <row r="158">
          <cell r="A158" t="str">
            <v>POWER</v>
          </cell>
          <cell r="B158" t="str">
            <v>BUDGETS</v>
          </cell>
          <cell r="D158">
            <v>600000</v>
          </cell>
          <cell r="E158" t="str">
            <v>P</v>
          </cell>
          <cell r="G158" t="str">
            <v>0004544</v>
          </cell>
          <cell r="I158" t="str">
            <v>CON2004</v>
          </cell>
          <cell r="J158" t="str">
            <v>USD</v>
          </cell>
          <cell r="L158">
            <v>2007</v>
          </cell>
          <cell r="M158">
            <v>12</v>
          </cell>
        </row>
        <row r="159">
          <cell r="A159" t="str">
            <v>POWER</v>
          </cell>
          <cell r="B159" t="str">
            <v>BUDGETS</v>
          </cell>
          <cell r="D159">
            <v>600000</v>
          </cell>
          <cell r="E159" t="str">
            <v>P</v>
          </cell>
          <cell r="G159" t="str">
            <v>0004544</v>
          </cell>
          <cell r="I159" t="str">
            <v>CON2004</v>
          </cell>
          <cell r="J159" t="str">
            <v>USD</v>
          </cell>
          <cell r="L159">
            <v>2008</v>
          </cell>
          <cell r="M159">
            <v>12</v>
          </cell>
        </row>
        <row r="160">
          <cell r="A160" t="str">
            <v>POWER</v>
          </cell>
          <cell r="B160" t="str">
            <v>BUDGETS</v>
          </cell>
          <cell r="D160">
            <v>600000</v>
          </cell>
          <cell r="E160" t="str">
            <v>P</v>
          </cell>
          <cell r="G160" t="str">
            <v>0004543</v>
          </cell>
          <cell r="I160" t="str">
            <v>CON2004</v>
          </cell>
          <cell r="J160" t="str">
            <v>USD</v>
          </cell>
          <cell r="L160">
            <v>2003</v>
          </cell>
          <cell r="M160">
            <v>12</v>
          </cell>
        </row>
        <row r="161">
          <cell r="A161" t="str">
            <v>POWER</v>
          </cell>
          <cell r="B161" t="str">
            <v>BUDGETS</v>
          </cell>
          <cell r="D161">
            <v>600000</v>
          </cell>
          <cell r="E161" t="str">
            <v>P</v>
          </cell>
          <cell r="G161" t="str">
            <v>0004543</v>
          </cell>
          <cell r="I161" t="str">
            <v>CON2004</v>
          </cell>
          <cell r="J161" t="str">
            <v>USD</v>
          </cell>
          <cell r="L161">
            <v>2004</v>
          </cell>
          <cell r="M161">
            <v>12</v>
          </cell>
        </row>
        <row r="162">
          <cell r="A162" t="str">
            <v>POWER</v>
          </cell>
          <cell r="B162" t="str">
            <v>BUDGETS</v>
          </cell>
          <cell r="D162">
            <v>600000</v>
          </cell>
          <cell r="E162" t="str">
            <v>P</v>
          </cell>
          <cell r="G162" t="str">
            <v>0004543</v>
          </cell>
          <cell r="I162" t="str">
            <v>CON2004</v>
          </cell>
          <cell r="J162" t="str">
            <v>USD</v>
          </cell>
          <cell r="L162">
            <v>2005</v>
          </cell>
          <cell r="M162">
            <v>12</v>
          </cell>
        </row>
        <row r="163">
          <cell r="A163" t="str">
            <v>POWER</v>
          </cell>
          <cell r="B163" t="str">
            <v>BUDGETS</v>
          </cell>
          <cell r="D163">
            <v>600000</v>
          </cell>
          <cell r="E163" t="str">
            <v>P</v>
          </cell>
          <cell r="G163" t="str">
            <v>0004543</v>
          </cell>
          <cell r="I163" t="str">
            <v>CON2004</v>
          </cell>
          <cell r="J163" t="str">
            <v>USD</v>
          </cell>
          <cell r="L163">
            <v>2006</v>
          </cell>
          <cell r="M163">
            <v>12</v>
          </cell>
        </row>
        <row r="164">
          <cell r="A164" t="str">
            <v>POWER</v>
          </cell>
          <cell r="B164" t="str">
            <v>BUDGETS</v>
          </cell>
          <cell r="D164">
            <v>600000</v>
          </cell>
          <cell r="E164" t="str">
            <v>P</v>
          </cell>
          <cell r="G164" t="str">
            <v>0004543</v>
          </cell>
          <cell r="I164" t="str">
            <v>CON2004</v>
          </cell>
          <cell r="J164" t="str">
            <v>USD</v>
          </cell>
          <cell r="L164">
            <v>2007</v>
          </cell>
          <cell r="M164">
            <v>12</v>
          </cell>
        </row>
        <row r="165">
          <cell r="A165" t="str">
            <v>POWER</v>
          </cell>
          <cell r="B165" t="str">
            <v>BUDGETS</v>
          </cell>
          <cell r="D165">
            <v>600000</v>
          </cell>
          <cell r="E165" t="str">
            <v>P</v>
          </cell>
          <cell r="G165" t="str">
            <v>0004543</v>
          </cell>
          <cell r="I165" t="str">
            <v>CON2004</v>
          </cell>
          <cell r="J165" t="str">
            <v>USD</v>
          </cell>
          <cell r="L165">
            <v>2008</v>
          </cell>
          <cell r="M165">
            <v>12</v>
          </cell>
        </row>
        <row r="166">
          <cell r="A166" t="str">
            <v>POWER</v>
          </cell>
          <cell r="B166" t="str">
            <v>BUDGETS</v>
          </cell>
          <cell r="D166">
            <v>600000</v>
          </cell>
          <cell r="E166" t="str">
            <v>P</v>
          </cell>
          <cell r="G166" t="str">
            <v>0004551</v>
          </cell>
          <cell r="I166" t="str">
            <v>CON2004</v>
          </cell>
          <cell r="J166" t="str">
            <v>USD</v>
          </cell>
          <cell r="L166">
            <v>2003</v>
          </cell>
          <cell r="M166">
            <v>12</v>
          </cell>
        </row>
        <row r="167">
          <cell r="A167" t="str">
            <v>POWER</v>
          </cell>
          <cell r="B167" t="str">
            <v>BUDGETS</v>
          </cell>
          <cell r="D167">
            <v>600000</v>
          </cell>
          <cell r="E167" t="str">
            <v>P</v>
          </cell>
          <cell r="G167" t="str">
            <v>0004551</v>
          </cell>
          <cell r="I167" t="str">
            <v>CON2004</v>
          </cell>
          <cell r="J167" t="str">
            <v>USD</v>
          </cell>
          <cell r="L167">
            <v>2004</v>
          </cell>
          <cell r="M167">
            <v>12</v>
          </cell>
        </row>
        <row r="168">
          <cell r="A168" t="str">
            <v>POWER</v>
          </cell>
          <cell r="B168" t="str">
            <v>BUDGETS</v>
          </cell>
          <cell r="D168">
            <v>600000</v>
          </cell>
          <cell r="E168" t="str">
            <v>P</v>
          </cell>
          <cell r="G168" t="str">
            <v>0004551</v>
          </cell>
          <cell r="I168" t="str">
            <v>CON2004</v>
          </cell>
          <cell r="J168" t="str">
            <v>USD</v>
          </cell>
          <cell r="L168">
            <v>2005</v>
          </cell>
          <cell r="M168">
            <v>12</v>
          </cell>
        </row>
        <row r="169">
          <cell r="A169" t="str">
            <v>POWER</v>
          </cell>
          <cell r="B169" t="str">
            <v>BUDGETS</v>
          </cell>
          <cell r="D169">
            <v>600000</v>
          </cell>
          <cell r="E169" t="str">
            <v>P</v>
          </cell>
          <cell r="G169" t="str">
            <v>0004551</v>
          </cell>
          <cell r="I169" t="str">
            <v>CON2004</v>
          </cell>
          <cell r="J169" t="str">
            <v>USD</v>
          </cell>
          <cell r="L169">
            <v>2006</v>
          </cell>
          <cell r="M169">
            <v>12</v>
          </cell>
        </row>
        <row r="170">
          <cell r="A170" t="str">
            <v>POWER</v>
          </cell>
          <cell r="B170" t="str">
            <v>BUDGETS</v>
          </cell>
          <cell r="D170">
            <v>600000</v>
          </cell>
          <cell r="E170" t="str">
            <v>P</v>
          </cell>
          <cell r="G170" t="str">
            <v>0004551</v>
          </cell>
          <cell r="I170" t="str">
            <v>CON2004</v>
          </cell>
          <cell r="J170" t="str">
            <v>USD</v>
          </cell>
          <cell r="L170">
            <v>2007</v>
          </cell>
          <cell r="M170">
            <v>12</v>
          </cell>
        </row>
        <row r="171">
          <cell r="A171" t="str">
            <v>POWER</v>
          </cell>
          <cell r="B171" t="str">
            <v>BUDGETS</v>
          </cell>
          <cell r="D171">
            <v>600000</v>
          </cell>
          <cell r="E171" t="str">
            <v>P</v>
          </cell>
          <cell r="G171" t="str">
            <v>0004551</v>
          </cell>
          <cell r="I171" t="str">
            <v>CON2004</v>
          </cell>
          <cell r="J171" t="str">
            <v>USD</v>
          </cell>
          <cell r="L171">
            <v>2008</v>
          </cell>
          <cell r="M171">
            <v>12</v>
          </cell>
        </row>
        <row r="172">
          <cell r="A172" t="str">
            <v>POWER</v>
          </cell>
          <cell r="B172" t="str">
            <v>BUDGETS</v>
          </cell>
          <cell r="D172">
            <v>600000</v>
          </cell>
          <cell r="E172" t="str">
            <v>P</v>
          </cell>
          <cell r="G172" t="str">
            <v>0004552</v>
          </cell>
          <cell r="I172" t="str">
            <v>CON2004</v>
          </cell>
          <cell r="J172" t="str">
            <v>USD</v>
          </cell>
          <cell r="L172">
            <v>2003</v>
          </cell>
          <cell r="M172">
            <v>12</v>
          </cell>
        </row>
        <row r="173">
          <cell r="A173" t="str">
            <v>POWER</v>
          </cell>
          <cell r="B173" t="str">
            <v>BUDGETS</v>
          </cell>
          <cell r="D173">
            <v>600000</v>
          </cell>
          <cell r="E173" t="str">
            <v>P</v>
          </cell>
          <cell r="G173" t="str">
            <v>0004552</v>
          </cell>
          <cell r="I173" t="str">
            <v>CON2004</v>
          </cell>
          <cell r="J173" t="str">
            <v>USD</v>
          </cell>
          <cell r="L173">
            <v>2004</v>
          </cell>
          <cell r="M173">
            <v>12</v>
          </cell>
        </row>
        <row r="174">
          <cell r="A174" t="str">
            <v>POWER</v>
          </cell>
          <cell r="B174" t="str">
            <v>BUDGETS</v>
          </cell>
          <cell r="D174">
            <v>600000</v>
          </cell>
          <cell r="E174" t="str">
            <v>P</v>
          </cell>
          <cell r="G174" t="str">
            <v>0004552</v>
          </cell>
          <cell r="I174" t="str">
            <v>CON2004</v>
          </cell>
          <cell r="J174" t="str">
            <v>USD</v>
          </cell>
          <cell r="L174">
            <v>2005</v>
          </cell>
          <cell r="M174">
            <v>12</v>
          </cell>
        </row>
        <row r="175">
          <cell r="A175" t="str">
            <v>POWER</v>
          </cell>
          <cell r="B175" t="str">
            <v>BUDGETS</v>
          </cell>
          <cell r="D175">
            <v>600000</v>
          </cell>
          <cell r="E175" t="str">
            <v>P</v>
          </cell>
          <cell r="G175" t="str">
            <v>0004552</v>
          </cell>
          <cell r="I175" t="str">
            <v>CON2004</v>
          </cell>
          <cell r="J175" t="str">
            <v>USD</v>
          </cell>
          <cell r="L175">
            <v>2006</v>
          </cell>
          <cell r="M175">
            <v>12</v>
          </cell>
        </row>
        <row r="176">
          <cell r="A176" t="str">
            <v>POWER</v>
          </cell>
          <cell r="B176" t="str">
            <v>BUDGETS</v>
          </cell>
          <cell r="D176">
            <v>600000</v>
          </cell>
          <cell r="E176" t="str">
            <v>P</v>
          </cell>
          <cell r="G176" t="str">
            <v>0004552</v>
          </cell>
          <cell r="I176" t="str">
            <v>CON2004</v>
          </cell>
          <cell r="J176" t="str">
            <v>USD</v>
          </cell>
          <cell r="L176">
            <v>2007</v>
          </cell>
          <cell r="M176">
            <v>12</v>
          </cell>
        </row>
        <row r="177">
          <cell r="A177" t="str">
            <v>POWER</v>
          </cell>
          <cell r="B177" t="str">
            <v>BUDGETS</v>
          </cell>
          <cell r="D177">
            <v>600000</v>
          </cell>
          <cell r="E177" t="str">
            <v>P</v>
          </cell>
          <cell r="G177" t="str">
            <v>0004552</v>
          </cell>
          <cell r="I177" t="str">
            <v>CON2004</v>
          </cell>
          <cell r="J177" t="str">
            <v>USD</v>
          </cell>
          <cell r="L177">
            <v>2008</v>
          </cell>
          <cell r="M177">
            <v>12</v>
          </cell>
        </row>
        <row r="178">
          <cell r="A178" t="str">
            <v>POWER</v>
          </cell>
          <cell r="B178" t="str">
            <v>BUDGETS</v>
          </cell>
          <cell r="D178">
            <v>600000</v>
          </cell>
          <cell r="E178" t="str">
            <v>P</v>
          </cell>
          <cell r="G178" t="str">
            <v>0004542</v>
          </cell>
          <cell r="I178" t="str">
            <v>CON2004</v>
          </cell>
          <cell r="J178" t="str">
            <v>USD</v>
          </cell>
          <cell r="L178">
            <v>2003</v>
          </cell>
          <cell r="M178">
            <v>12</v>
          </cell>
        </row>
        <row r="179">
          <cell r="A179" t="str">
            <v>POWER</v>
          </cell>
          <cell r="B179" t="str">
            <v>BUDGETS</v>
          </cell>
          <cell r="D179">
            <v>600000</v>
          </cell>
          <cell r="E179" t="str">
            <v>P</v>
          </cell>
          <cell r="G179" t="str">
            <v>0004542</v>
          </cell>
          <cell r="I179" t="str">
            <v>CON2004</v>
          </cell>
          <cell r="J179" t="str">
            <v>USD</v>
          </cell>
          <cell r="L179">
            <v>2004</v>
          </cell>
          <cell r="M179">
            <v>12</v>
          </cell>
        </row>
        <row r="180">
          <cell r="A180" t="str">
            <v>POWER</v>
          </cell>
          <cell r="B180" t="str">
            <v>BUDGETS</v>
          </cell>
          <cell r="D180">
            <v>600000</v>
          </cell>
          <cell r="E180" t="str">
            <v>P</v>
          </cell>
          <cell r="G180" t="str">
            <v>0004542</v>
          </cell>
          <cell r="I180" t="str">
            <v>CON2004</v>
          </cell>
          <cell r="J180" t="str">
            <v>USD</v>
          </cell>
          <cell r="L180">
            <v>2005</v>
          </cell>
          <cell r="M180">
            <v>12</v>
          </cell>
        </row>
        <row r="181">
          <cell r="A181" t="str">
            <v>POWER</v>
          </cell>
          <cell r="B181" t="str">
            <v>BUDGETS</v>
          </cell>
          <cell r="D181">
            <v>600000</v>
          </cell>
          <cell r="E181" t="str">
            <v>P</v>
          </cell>
          <cell r="G181" t="str">
            <v>0004542</v>
          </cell>
          <cell r="I181" t="str">
            <v>CON2004</v>
          </cell>
          <cell r="J181" t="str">
            <v>USD</v>
          </cell>
          <cell r="L181">
            <v>2006</v>
          </cell>
          <cell r="M181">
            <v>12</v>
          </cell>
        </row>
        <row r="182">
          <cell r="A182" t="str">
            <v>POWER</v>
          </cell>
          <cell r="B182" t="str">
            <v>BUDGETS</v>
          </cell>
          <cell r="D182">
            <v>600000</v>
          </cell>
          <cell r="E182" t="str">
            <v>P</v>
          </cell>
          <cell r="G182" t="str">
            <v>0004542</v>
          </cell>
          <cell r="I182" t="str">
            <v>CON2004</v>
          </cell>
          <cell r="J182" t="str">
            <v>USD</v>
          </cell>
          <cell r="L182">
            <v>2007</v>
          </cell>
          <cell r="M182">
            <v>12</v>
          </cell>
        </row>
        <row r="183">
          <cell r="A183" t="str">
            <v>POWER</v>
          </cell>
          <cell r="B183" t="str">
            <v>BUDGETS</v>
          </cell>
          <cell r="D183">
            <v>600000</v>
          </cell>
          <cell r="E183" t="str">
            <v>P</v>
          </cell>
          <cell r="G183" t="str">
            <v>0004542</v>
          </cell>
          <cell r="I183" t="str">
            <v>CON2004</v>
          </cell>
          <cell r="J183" t="str">
            <v>USD</v>
          </cell>
          <cell r="L183">
            <v>2008</v>
          </cell>
          <cell r="M183">
            <v>12</v>
          </cell>
        </row>
        <row r="184">
          <cell r="A184" t="str">
            <v>POWER</v>
          </cell>
          <cell r="B184" t="str">
            <v>BUDGETS</v>
          </cell>
          <cell r="D184">
            <v>600000</v>
          </cell>
          <cell r="E184" t="str">
            <v>P</v>
          </cell>
          <cell r="G184" t="str">
            <v>0004541</v>
          </cell>
          <cell r="I184" t="str">
            <v>CON2004</v>
          </cell>
          <cell r="J184" t="str">
            <v>USD</v>
          </cell>
          <cell r="L184">
            <v>2003</v>
          </cell>
          <cell r="M184">
            <v>12</v>
          </cell>
        </row>
        <row r="185">
          <cell r="A185" t="str">
            <v>POWER</v>
          </cell>
          <cell r="B185" t="str">
            <v>BUDGETS</v>
          </cell>
          <cell r="D185">
            <v>600000</v>
          </cell>
          <cell r="E185" t="str">
            <v>P</v>
          </cell>
          <cell r="G185" t="str">
            <v>0004541</v>
          </cell>
          <cell r="I185" t="str">
            <v>CON2004</v>
          </cell>
          <cell r="J185" t="str">
            <v>USD</v>
          </cell>
          <cell r="L185">
            <v>2004</v>
          </cell>
          <cell r="M185">
            <v>12</v>
          </cell>
        </row>
        <row r="186">
          <cell r="A186" t="str">
            <v>POWER</v>
          </cell>
          <cell r="B186" t="str">
            <v>BUDGETS</v>
          </cell>
          <cell r="D186">
            <v>600000</v>
          </cell>
          <cell r="E186" t="str">
            <v>P</v>
          </cell>
          <cell r="G186" t="str">
            <v>0004541</v>
          </cell>
          <cell r="I186" t="str">
            <v>CON2004</v>
          </cell>
          <cell r="J186" t="str">
            <v>USD</v>
          </cell>
          <cell r="L186">
            <v>2005</v>
          </cell>
          <cell r="M186">
            <v>12</v>
          </cell>
        </row>
        <row r="187">
          <cell r="A187" t="str">
            <v>POWER</v>
          </cell>
          <cell r="B187" t="str">
            <v>BUDGETS</v>
          </cell>
          <cell r="D187">
            <v>600000</v>
          </cell>
          <cell r="E187" t="str">
            <v>P</v>
          </cell>
          <cell r="G187" t="str">
            <v>0004541</v>
          </cell>
          <cell r="I187" t="str">
            <v>CON2004</v>
          </cell>
          <cell r="J187" t="str">
            <v>USD</v>
          </cell>
          <cell r="L187">
            <v>2006</v>
          </cell>
          <cell r="M187">
            <v>12</v>
          </cell>
        </row>
        <row r="188">
          <cell r="A188" t="str">
            <v>POWER</v>
          </cell>
          <cell r="B188" t="str">
            <v>BUDGETS</v>
          </cell>
          <cell r="D188">
            <v>600000</v>
          </cell>
          <cell r="E188" t="str">
            <v>P</v>
          </cell>
          <cell r="G188" t="str">
            <v>0004541</v>
          </cell>
          <cell r="I188" t="str">
            <v>CON2004</v>
          </cell>
          <cell r="J188" t="str">
            <v>USD</v>
          </cell>
          <cell r="L188">
            <v>2007</v>
          </cell>
          <cell r="M188">
            <v>12</v>
          </cell>
        </row>
        <row r="189">
          <cell r="A189" t="str">
            <v>POWER</v>
          </cell>
          <cell r="B189" t="str">
            <v>BUDGETS</v>
          </cell>
          <cell r="D189">
            <v>600000</v>
          </cell>
          <cell r="E189" t="str">
            <v>P</v>
          </cell>
          <cell r="G189" t="str">
            <v>0004541</v>
          </cell>
          <cell r="I189" t="str">
            <v>CON2004</v>
          </cell>
          <cell r="J189" t="str">
            <v>USD</v>
          </cell>
          <cell r="L189">
            <v>2008</v>
          </cell>
          <cell r="M189">
            <v>12</v>
          </cell>
        </row>
        <row r="190">
          <cell r="A190" t="str">
            <v>POWER</v>
          </cell>
          <cell r="B190" t="str">
            <v>BUDGETS</v>
          </cell>
          <cell r="D190">
            <v>600000</v>
          </cell>
          <cell r="E190" t="str">
            <v>P</v>
          </cell>
          <cell r="G190" t="str">
            <v>0004540</v>
          </cell>
          <cell r="I190" t="str">
            <v>CON2004</v>
          </cell>
          <cell r="J190" t="str">
            <v>USD</v>
          </cell>
          <cell r="L190">
            <v>2003</v>
          </cell>
          <cell r="M190">
            <v>12</v>
          </cell>
        </row>
        <row r="191">
          <cell r="A191" t="str">
            <v>POWER</v>
          </cell>
          <cell r="B191" t="str">
            <v>BUDGETS</v>
          </cell>
          <cell r="D191">
            <v>600000</v>
          </cell>
          <cell r="E191" t="str">
            <v>P</v>
          </cell>
          <cell r="G191" t="str">
            <v>0004540</v>
          </cell>
          <cell r="I191" t="str">
            <v>CON2004</v>
          </cell>
          <cell r="J191" t="str">
            <v>USD</v>
          </cell>
          <cell r="L191">
            <v>2004</v>
          </cell>
          <cell r="M191">
            <v>12</v>
          </cell>
        </row>
        <row r="192">
          <cell r="A192" t="str">
            <v>POWER</v>
          </cell>
          <cell r="B192" t="str">
            <v>BUDGETS</v>
          </cell>
          <cell r="D192">
            <v>600000</v>
          </cell>
          <cell r="E192" t="str">
            <v>P</v>
          </cell>
          <cell r="G192" t="str">
            <v>0004540</v>
          </cell>
          <cell r="I192" t="str">
            <v>CON2004</v>
          </cell>
          <cell r="J192" t="str">
            <v>USD</v>
          </cell>
          <cell r="L192">
            <v>2005</v>
          </cell>
          <cell r="M192">
            <v>12</v>
          </cell>
        </row>
        <row r="193">
          <cell r="A193" t="str">
            <v>POWER</v>
          </cell>
          <cell r="B193" t="str">
            <v>BUDGETS</v>
          </cell>
          <cell r="D193">
            <v>600000</v>
          </cell>
          <cell r="E193" t="str">
            <v>P</v>
          </cell>
          <cell r="G193" t="str">
            <v>0004540</v>
          </cell>
          <cell r="I193" t="str">
            <v>CON2004</v>
          </cell>
          <cell r="J193" t="str">
            <v>USD</v>
          </cell>
          <cell r="L193">
            <v>2006</v>
          </cell>
          <cell r="M193">
            <v>12</v>
          </cell>
        </row>
        <row r="194">
          <cell r="A194" t="str">
            <v>POWER</v>
          </cell>
          <cell r="B194" t="str">
            <v>BUDGETS</v>
          </cell>
          <cell r="D194">
            <v>600000</v>
          </cell>
          <cell r="E194" t="str">
            <v>P</v>
          </cell>
          <cell r="G194" t="str">
            <v>0004540</v>
          </cell>
          <cell r="I194" t="str">
            <v>CON2004</v>
          </cell>
          <cell r="J194" t="str">
            <v>USD</v>
          </cell>
          <cell r="L194">
            <v>2007</v>
          </cell>
          <cell r="M194">
            <v>12</v>
          </cell>
        </row>
        <row r="195">
          <cell r="A195" t="str">
            <v>POWER</v>
          </cell>
          <cell r="B195" t="str">
            <v>BUDGETS</v>
          </cell>
          <cell r="D195">
            <v>600000</v>
          </cell>
          <cell r="E195" t="str">
            <v>P</v>
          </cell>
          <cell r="G195" t="str">
            <v>0004540</v>
          </cell>
          <cell r="I195" t="str">
            <v>CON2004</v>
          </cell>
          <cell r="J195" t="str">
            <v>USD</v>
          </cell>
          <cell r="L195">
            <v>2008</v>
          </cell>
          <cell r="M195">
            <v>12</v>
          </cell>
        </row>
        <row r="196">
          <cell r="A196" t="str">
            <v>POWER</v>
          </cell>
          <cell r="B196" t="str">
            <v>BUDGETS</v>
          </cell>
          <cell r="D196">
            <v>600000</v>
          </cell>
          <cell r="E196" t="str">
            <v>P</v>
          </cell>
          <cell r="G196" t="str">
            <v>0004539</v>
          </cell>
          <cell r="I196" t="str">
            <v>CON2004</v>
          </cell>
          <cell r="J196" t="str">
            <v>USD</v>
          </cell>
          <cell r="L196">
            <v>2003</v>
          </cell>
          <cell r="M196">
            <v>12</v>
          </cell>
        </row>
        <row r="197">
          <cell r="A197" t="str">
            <v>POWER</v>
          </cell>
          <cell r="B197" t="str">
            <v>BUDGETS</v>
          </cell>
          <cell r="D197">
            <v>600000</v>
          </cell>
          <cell r="E197" t="str">
            <v>P</v>
          </cell>
          <cell r="G197" t="str">
            <v>0004539</v>
          </cell>
          <cell r="I197" t="str">
            <v>CON2004</v>
          </cell>
          <cell r="J197" t="str">
            <v>USD</v>
          </cell>
          <cell r="L197">
            <v>2004</v>
          </cell>
          <cell r="M197">
            <v>12</v>
          </cell>
        </row>
        <row r="198">
          <cell r="A198" t="str">
            <v>POWER</v>
          </cell>
          <cell r="B198" t="str">
            <v>BUDGETS</v>
          </cell>
          <cell r="D198">
            <v>600000</v>
          </cell>
          <cell r="E198" t="str">
            <v>P</v>
          </cell>
          <cell r="G198" t="str">
            <v>0004539</v>
          </cell>
          <cell r="I198" t="str">
            <v>CON2004</v>
          </cell>
          <cell r="J198" t="str">
            <v>USD</v>
          </cell>
          <cell r="L198">
            <v>2005</v>
          </cell>
          <cell r="M198">
            <v>12</v>
          </cell>
        </row>
        <row r="199">
          <cell r="A199" t="str">
            <v>POWER</v>
          </cell>
          <cell r="B199" t="str">
            <v>BUDGETS</v>
          </cell>
          <cell r="D199">
            <v>600000</v>
          </cell>
          <cell r="E199" t="str">
            <v>P</v>
          </cell>
          <cell r="G199" t="str">
            <v>0004539</v>
          </cell>
          <cell r="I199" t="str">
            <v>CON2004</v>
          </cell>
          <cell r="J199" t="str">
            <v>USD</v>
          </cell>
          <cell r="L199">
            <v>2006</v>
          </cell>
          <cell r="M199">
            <v>12</v>
          </cell>
        </row>
        <row r="200">
          <cell r="A200" t="str">
            <v>POWER</v>
          </cell>
          <cell r="B200" t="str">
            <v>BUDGETS</v>
          </cell>
          <cell r="D200">
            <v>600000</v>
          </cell>
          <cell r="E200" t="str">
            <v>P</v>
          </cell>
          <cell r="G200" t="str">
            <v>0004539</v>
          </cell>
          <cell r="I200" t="str">
            <v>CON2004</v>
          </cell>
          <cell r="J200" t="str">
            <v>USD</v>
          </cell>
          <cell r="L200">
            <v>2007</v>
          </cell>
          <cell r="M200">
            <v>12</v>
          </cell>
        </row>
        <row r="201">
          <cell r="A201" t="str">
            <v>POWER</v>
          </cell>
          <cell r="B201" t="str">
            <v>BUDGETS</v>
          </cell>
          <cell r="D201">
            <v>600000</v>
          </cell>
          <cell r="E201" t="str">
            <v>P</v>
          </cell>
          <cell r="G201" t="str">
            <v>0004539</v>
          </cell>
          <cell r="I201" t="str">
            <v>CON2004</v>
          </cell>
          <cell r="J201" t="str">
            <v>USD</v>
          </cell>
          <cell r="L201">
            <v>2008</v>
          </cell>
          <cell r="M201">
            <v>12</v>
          </cell>
        </row>
        <row r="202">
          <cell r="A202" t="str">
            <v>POWER</v>
          </cell>
          <cell r="B202" t="str">
            <v>BUDGETS</v>
          </cell>
          <cell r="D202">
            <v>600000</v>
          </cell>
          <cell r="E202" t="str">
            <v>P</v>
          </cell>
          <cell r="G202" t="str">
            <v>0004538</v>
          </cell>
          <cell r="I202" t="str">
            <v>CON2004</v>
          </cell>
          <cell r="J202" t="str">
            <v>USD</v>
          </cell>
          <cell r="L202">
            <v>2003</v>
          </cell>
          <cell r="M202">
            <v>12</v>
          </cell>
        </row>
        <row r="203">
          <cell r="A203" t="str">
            <v>POWER</v>
          </cell>
          <cell r="B203" t="str">
            <v>BUDGETS</v>
          </cell>
          <cell r="D203">
            <v>600000</v>
          </cell>
          <cell r="E203" t="str">
            <v>P</v>
          </cell>
          <cell r="G203" t="str">
            <v>0004538</v>
          </cell>
          <cell r="I203" t="str">
            <v>CON2004</v>
          </cell>
          <cell r="J203" t="str">
            <v>USD</v>
          </cell>
          <cell r="L203">
            <v>2004</v>
          </cell>
          <cell r="M203">
            <v>12</v>
          </cell>
        </row>
        <row r="204">
          <cell r="A204" t="str">
            <v>POWER</v>
          </cell>
          <cell r="B204" t="str">
            <v>BUDGETS</v>
          </cell>
          <cell r="D204">
            <v>600000</v>
          </cell>
          <cell r="E204" t="str">
            <v>P</v>
          </cell>
          <cell r="G204" t="str">
            <v>0004538</v>
          </cell>
          <cell r="I204" t="str">
            <v>CON2004</v>
          </cell>
          <cell r="J204" t="str">
            <v>USD</v>
          </cell>
          <cell r="L204">
            <v>2005</v>
          </cell>
          <cell r="M204">
            <v>12</v>
          </cell>
        </row>
        <row r="205">
          <cell r="A205" t="str">
            <v>POWER</v>
          </cell>
          <cell r="B205" t="str">
            <v>BUDGETS</v>
          </cell>
          <cell r="D205">
            <v>600000</v>
          </cell>
          <cell r="E205" t="str">
            <v>P</v>
          </cell>
          <cell r="G205" t="str">
            <v>0004538</v>
          </cell>
          <cell r="I205" t="str">
            <v>CON2004</v>
          </cell>
          <cell r="J205" t="str">
            <v>USD</v>
          </cell>
          <cell r="L205">
            <v>2006</v>
          </cell>
          <cell r="M205">
            <v>12</v>
          </cell>
        </row>
        <row r="206">
          <cell r="A206" t="str">
            <v>POWER</v>
          </cell>
          <cell r="B206" t="str">
            <v>BUDGETS</v>
          </cell>
          <cell r="D206">
            <v>600000</v>
          </cell>
          <cell r="E206" t="str">
            <v>P</v>
          </cell>
          <cell r="G206" t="str">
            <v>0004538</v>
          </cell>
          <cell r="I206" t="str">
            <v>CON2004</v>
          </cell>
          <cell r="J206" t="str">
            <v>USD</v>
          </cell>
          <cell r="L206">
            <v>2007</v>
          </cell>
          <cell r="M206">
            <v>12</v>
          </cell>
        </row>
        <row r="207">
          <cell r="A207" t="str">
            <v>POWER</v>
          </cell>
          <cell r="B207" t="str">
            <v>BUDGETS</v>
          </cell>
          <cell r="D207">
            <v>600000</v>
          </cell>
          <cell r="E207" t="str">
            <v>P</v>
          </cell>
          <cell r="G207" t="str">
            <v>0004538</v>
          </cell>
          <cell r="I207" t="str">
            <v>CON2004</v>
          </cell>
          <cell r="J207" t="str">
            <v>USD</v>
          </cell>
          <cell r="L207">
            <v>2008</v>
          </cell>
          <cell r="M207">
            <v>12</v>
          </cell>
        </row>
        <row r="208">
          <cell r="A208" t="str">
            <v>POWER</v>
          </cell>
          <cell r="B208" t="str">
            <v>BUDGETS</v>
          </cell>
          <cell r="D208">
            <v>600000</v>
          </cell>
          <cell r="E208" t="str">
            <v>P</v>
          </cell>
          <cell r="G208" t="str">
            <v>0004537</v>
          </cell>
          <cell r="I208" t="str">
            <v>CON2004</v>
          </cell>
          <cell r="J208" t="str">
            <v>USD</v>
          </cell>
          <cell r="L208">
            <v>2003</v>
          </cell>
          <cell r="M208">
            <v>12</v>
          </cell>
        </row>
        <row r="209">
          <cell r="A209" t="str">
            <v>POWER</v>
          </cell>
          <cell r="B209" t="str">
            <v>BUDGETS</v>
          </cell>
          <cell r="D209">
            <v>600000</v>
          </cell>
          <cell r="E209" t="str">
            <v>P</v>
          </cell>
          <cell r="G209" t="str">
            <v>0004537</v>
          </cell>
          <cell r="I209" t="str">
            <v>CON2004</v>
          </cell>
          <cell r="J209" t="str">
            <v>USD</v>
          </cell>
          <cell r="L209">
            <v>2004</v>
          </cell>
          <cell r="M209">
            <v>12</v>
          </cell>
        </row>
        <row r="210">
          <cell r="A210" t="str">
            <v>POWER</v>
          </cell>
          <cell r="B210" t="str">
            <v>BUDGETS</v>
          </cell>
          <cell r="D210">
            <v>600000</v>
          </cell>
          <cell r="E210" t="str">
            <v>P</v>
          </cell>
          <cell r="G210" t="str">
            <v>0004537</v>
          </cell>
          <cell r="I210" t="str">
            <v>CON2004</v>
          </cell>
          <cell r="J210" t="str">
            <v>USD</v>
          </cell>
          <cell r="L210">
            <v>2005</v>
          </cell>
          <cell r="M210">
            <v>12</v>
          </cell>
        </row>
        <row r="211">
          <cell r="A211" t="str">
            <v>POWER</v>
          </cell>
          <cell r="B211" t="str">
            <v>BUDGETS</v>
          </cell>
          <cell r="D211">
            <v>600000</v>
          </cell>
          <cell r="E211" t="str">
            <v>P</v>
          </cell>
          <cell r="G211" t="str">
            <v>0004537</v>
          </cell>
          <cell r="I211" t="str">
            <v>CON2004</v>
          </cell>
          <cell r="J211" t="str">
            <v>USD</v>
          </cell>
          <cell r="L211">
            <v>2006</v>
          </cell>
          <cell r="M211">
            <v>12</v>
          </cell>
        </row>
        <row r="212">
          <cell r="A212" t="str">
            <v>POWER</v>
          </cell>
          <cell r="B212" t="str">
            <v>BUDGETS</v>
          </cell>
          <cell r="D212">
            <v>600000</v>
          </cell>
          <cell r="E212" t="str">
            <v>P</v>
          </cell>
          <cell r="G212" t="str">
            <v>0004537</v>
          </cell>
          <cell r="I212" t="str">
            <v>CON2004</v>
          </cell>
          <cell r="J212" t="str">
            <v>USD</v>
          </cell>
          <cell r="L212">
            <v>2007</v>
          </cell>
          <cell r="M212">
            <v>12</v>
          </cell>
        </row>
        <row r="213">
          <cell r="A213" t="str">
            <v>POWER</v>
          </cell>
          <cell r="B213" t="str">
            <v>BUDGETS</v>
          </cell>
          <cell r="D213">
            <v>600000</v>
          </cell>
          <cell r="E213" t="str">
            <v>P</v>
          </cell>
          <cell r="G213" t="str">
            <v>0004537</v>
          </cell>
          <cell r="I213" t="str">
            <v>CON2004</v>
          </cell>
          <cell r="J213" t="str">
            <v>USD</v>
          </cell>
          <cell r="L213">
            <v>2008</v>
          </cell>
          <cell r="M213">
            <v>12</v>
          </cell>
        </row>
        <row r="214">
          <cell r="A214" t="str">
            <v>POWER</v>
          </cell>
          <cell r="B214" t="str">
            <v>BUDGETS</v>
          </cell>
          <cell r="D214">
            <v>600000</v>
          </cell>
          <cell r="E214" t="str">
            <v>P</v>
          </cell>
          <cell r="G214" t="str">
            <v>0004536</v>
          </cell>
          <cell r="I214" t="str">
            <v>CON2004</v>
          </cell>
          <cell r="J214" t="str">
            <v>USD</v>
          </cell>
          <cell r="L214">
            <v>2003</v>
          </cell>
          <cell r="M214">
            <v>12</v>
          </cell>
        </row>
        <row r="215">
          <cell r="A215" t="str">
            <v>POWER</v>
          </cell>
          <cell r="B215" t="str">
            <v>BUDGETS</v>
          </cell>
          <cell r="D215">
            <v>600000</v>
          </cell>
          <cell r="E215" t="str">
            <v>P</v>
          </cell>
          <cell r="G215" t="str">
            <v>0004536</v>
          </cell>
          <cell r="I215" t="str">
            <v>CON2004</v>
          </cell>
          <cell r="J215" t="str">
            <v>USD</v>
          </cell>
          <cell r="L215">
            <v>2004</v>
          </cell>
          <cell r="M215">
            <v>12</v>
          </cell>
        </row>
        <row r="216">
          <cell r="A216" t="str">
            <v>POWER</v>
          </cell>
          <cell r="B216" t="str">
            <v>BUDGETS</v>
          </cell>
          <cell r="D216">
            <v>600000</v>
          </cell>
          <cell r="E216" t="str">
            <v>P</v>
          </cell>
          <cell r="G216" t="str">
            <v>0004536</v>
          </cell>
          <cell r="I216" t="str">
            <v>CON2004</v>
          </cell>
          <cell r="J216" t="str">
            <v>USD</v>
          </cell>
          <cell r="L216">
            <v>2005</v>
          </cell>
          <cell r="M216">
            <v>12</v>
          </cell>
        </row>
        <row r="217">
          <cell r="A217" t="str">
            <v>POWER</v>
          </cell>
          <cell r="B217" t="str">
            <v>BUDGETS</v>
          </cell>
          <cell r="D217">
            <v>600000</v>
          </cell>
          <cell r="E217" t="str">
            <v>P</v>
          </cell>
          <cell r="G217" t="str">
            <v>0004536</v>
          </cell>
          <cell r="I217" t="str">
            <v>CON2004</v>
          </cell>
          <cell r="J217" t="str">
            <v>USD</v>
          </cell>
          <cell r="L217">
            <v>2006</v>
          </cell>
          <cell r="M217">
            <v>12</v>
          </cell>
        </row>
        <row r="218">
          <cell r="A218" t="str">
            <v>POWER</v>
          </cell>
          <cell r="B218" t="str">
            <v>BUDGETS</v>
          </cell>
          <cell r="D218">
            <v>600000</v>
          </cell>
          <cell r="E218" t="str">
            <v>P</v>
          </cell>
          <cell r="G218" t="str">
            <v>0004536</v>
          </cell>
          <cell r="I218" t="str">
            <v>CON2004</v>
          </cell>
          <cell r="J218" t="str">
            <v>USD</v>
          </cell>
          <cell r="L218">
            <v>2007</v>
          </cell>
          <cell r="M218">
            <v>12</v>
          </cell>
        </row>
        <row r="219">
          <cell r="A219" t="str">
            <v>POWER</v>
          </cell>
          <cell r="B219" t="str">
            <v>BUDGETS</v>
          </cell>
          <cell r="D219">
            <v>600000</v>
          </cell>
          <cell r="E219" t="str">
            <v>P</v>
          </cell>
          <cell r="G219" t="str">
            <v>0004536</v>
          </cell>
          <cell r="I219" t="str">
            <v>CON2004</v>
          </cell>
          <cell r="J219" t="str">
            <v>USD</v>
          </cell>
          <cell r="L219">
            <v>2008</v>
          </cell>
          <cell r="M219">
            <v>12</v>
          </cell>
        </row>
        <row r="220">
          <cell r="A220" t="str">
            <v>POWER</v>
          </cell>
          <cell r="B220" t="str">
            <v>BUDGETS</v>
          </cell>
          <cell r="D220">
            <v>600000</v>
          </cell>
          <cell r="E220" t="str">
            <v>P</v>
          </cell>
          <cell r="G220" t="str">
            <v>0004535</v>
          </cell>
          <cell r="I220" t="str">
            <v>CON2004</v>
          </cell>
          <cell r="J220" t="str">
            <v>USD</v>
          </cell>
          <cell r="L220">
            <v>2003</v>
          </cell>
          <cell r="M220">
            <v>12</v>
          </cell>
        </row>
        <row r="221">
          <cell r="A221" t="str">
            <v>POWER</v>
          </cell>
          <cell r="B221" t="str">
            <v>BUDGETS</v>
          </cell>
          <cell r="D221">
            <v>600000</v>
          </cell>
          <cell r="E221" t="str">
            <v>P</v>
          </cell>
          <cell r="G221" t="str">
            <v>0004535</v>
          </cell>
          <cell r="I221" t="str">
            <v>CON2004</v>
          </cell>
          <cell r="J221" t="str">
            <v>USD</v>
          </cell>
          <cell r="L221">
            <v>2004</v>
          </cell>
          <cell r="M221">
            <v>12</v>
          </cell>
        </row>
        <row r="222">
          <cell r="A222" t="str">
            <v>POWER</v>
          </cell>
          <cell r="B222" t="str">
            <v>BUDGETS</v>
          </cell>
          <cell r="D222">
            <v>600000</v>
          </cell>
          <cell r="E222" t="str">
            <v>P</v>
          </cell>
          <cell r="G222" t="str">
            <v>0004535</v>
          </cell>
          <cell r="I222" t="str">
            <v>CON2004</v>
          </cell>
          <cell r="J222" t="str">
            <v>USD</v>
          </cell>
          <cell r="L222">
            <v>2005</v>
          </cell>
          <cell r="M222">
            <v>12</v>
          </cell>
        </row>
        <row r="223">
          <cell r="A223" t="str">
            <v>POWER</v>
          </cell>
          <cell r="B223" t="str">
            <v>BUDGETS</v>
          </cell>
          <cell r="D223">
            <v>600000</v>
          </cell>
          <cell r="E223" t="str">
            <v>P</v>
          </cell>
          <cell r="G223" t="str">
            <v>0004535</v>
          </cell>
          <cell r="I223" t="str">
            <v>CON2004</v>
          </cell>
          <cell r="J223" t="str">
            <v>USD</v>
          </cell>
          <cell r="L223">
            <v>2006</v>
          </cell>
          <cell r="M223">
            <v>12</v>
          </cell>
        </row>
        <row r="224">
          <cell r="A224" t="str">
            <v>POWER</v>
          </cell>
          <cell r="B224" t="str">
            <v>BUDGETS</v>
          </cell>
          <cell r="D224">
            <v>600000</v>
          </cell>
          <cell r="E224" t="str">
            <v>P</v>
          </cell>
          <cell r="G224" t="str">
            <v>0004535</v>
          </cell>
          <cell r="I224" t="str">
            <v>CON2004</v>
          </cell>
          <cell r="J224" t="str">
            <v>USD</v>
          </cell>
          <cell r="L224">
            <v>2007</v>
          </cell>
          <cell r="M224">
            <v>12</v>
          </cell>
        </row>
        <row r="225">
          <cell r="A225" t="str">
            <v>POWER</v>
          </cell>
          <cell r="B225" t="str">
            <v>BUDGETS</v>
          </cell>
          <cell r="D225">
            <v>600000</v>
          </cell>
          <cell r="E225" t="str">
            <v>P</v>
          </cell>
          <cell r="G225" t="str">
            <v>0004535</v>
          </cell>
          <cell r="I225" t="str">
            <v>CON2004</v>
          </cell>
          <cell r="J225" t="str">
            <v>USD</v>
          </cell>
          <cell r="L225">
            <v>2008</v>
          </cell>
          <cell r="M225">
            <v>12</v>
          </cell>
        </row>
        <row r="226">
          <cell r="A226" t="str">
            <v>POWER</v>
          </cell>
          <cell r="B226" t="str">
            <v>BUDGETS</v>
          </cell>
          <cell r="D226">
            <v>600000</v>
          </cell>
          <cell r="E226" t="str">
            <v>P</v>
          </cell>
          <cell r="G226" t="str">
            <v>0004571</v>
          </cell>
          <cell r="I226" t="str">
            <v>CON2004</v>
          </cell>
          <cell r="J226" t="str">
            <v>USD</v>
          </cell>
          <cell r="L226">
            <v>2003</v>
          </cell>
          <cell r="M226">
            <v>12</v>
          </cell>
        </row>
        <row r="227">
          <cell r="A227" t="str">
            <v>POWER</v>
          </cell>
          <cell r="B227" t="str">
            <v>BUDGETS</v>
          </cell>
          <cell r="D227">
            <v>600000</v>
          </cell>
          <cell r="E227" t="str">
            <v>P</v>
          </cell>
          <cell r="G227" t="str">
            <v>0004571</v>
          </cell>
          <cell r="I227" t="str">
            <v>CON2004</v>
          </cell>
          <cell r="J227" t="str">
            <v>USD</v>
          </cell>
          <cell r="L227">
            <v>2004</v>
          </cell>
          <cell r="M227">
            <v>12</v>
          </cell>
        </row>
        <row r="228">
          <cell r="A228" t="str">
            <v>POWER</v>
          </cell>
          <cell r="B228" t="str">
            <v>BUDGETS</v>
          </cell>
          <cell r="D228">
            <v>600000</v>
          </cell>
          <cell r="E228" t="str">
            <v>P</v>
          </cell>
          <cell r="G228" t="str">
            <v>0004571</v>
          </cell>
          <cell r="I228" t="str">
            <v>CON2004</v>
          </cell>
          <cell r="J228" t="str">
            <v>USD</v>
          </cell>
          <cell r="L228">
            <v>2005</v>
          </cell>
          <cell r="M228">
            <v>12</v>
          </cell>
        </row>
        <row r="229">
          <cell r="A229" t="str">
            <v>POWER</v>
          </cell>
          <cell r="B229" t="str">
            <v>BUDGETS</v>
          </cell>
          <cell r="D229">
            <v>600000</v>
          </cell>
          <cell r="E229" t="str">
            <v>P</v>
          </cell>
          <cell r="G229" t="str">
            <v>0004571</v>
          </cell>
          <cell r="I229" t="str">
            <v>CON2004</v>
          </cell>
          <cell r="J229" t="str">
            <v>USD</v>
          </cell>
          <cell r="L229">
            <v>2006</v>
          </cell>
          <cell r="M229">
            <v>12</v>
          </cell>
        </row>
        <row r="230">
          <cell r="A230" t="str">
            <v>POWER</v>
          </cell>
          <cell r="B230" t="str">
            <v>BUDGETS</v>
          </cell>
          <cell r="D230">
            <v>600000</v>
          </cell>
          <cell r="E230" t="str">
            <v>P</v>
          </cell>
          <cell r="G230" t="str">
            <v>0004571</v>
          </cell>
          <cell r="I230" t="str">
            <v>CON2004</v>
          </cell>
          <cell r="J230" t="str">
            <v>USD</v>
          </cell>
          <cell r="L230">
            <v>2007</v>
          </cell>
          <cell r="M230">
            <v>12</v>
          </cell>
        </row>
        <row r="231">
          <cell r="A231" t="str">
            <v>POWER</v>
          </cell>
          <cell r="B231" t="str">
            <v>BUDGETS</v>
          </cell>
          <cell r="D231">
            <v>600000</v>
          </cell>
          <cell r="E231" t="str">
            <v>P</v>
          </cell>
          <cell r="G231" t="str">
            <v>0004571</v>
          </cell>
          <cell r="I231" t="str">
            <v>CON2004</v>
          </cell>
          <cell r="J231" t="str">
            <v>USD</v>
          </cell>
          <cell r="L231">
            <v>2008</v>
          </cell>
          <cell r="M231">
            <v>12</v>
          </cell>
        </row>
        <row r="232">
          <cell r="A232" t="str">
            <v>POWER</v>
          </cell>
          <cell r="B232" t="str">
            <v>BUDGETS</v>
          </cell>
          <cell r="D232">
            <v>600000</v>
          </cell>
          <cell r="E232" t="str">
            <v>P</v>
          </cell>
          <cell r="G232" t="str">
            <v>0001094</v>
          </cell>
          <cell r="I232" t="str">
            <v>CON2004</v>
          </cell>
          <cell r="J232" t="str">
            <v>USD</v>
          </cell>
          <cell r="L232">
            <v>2003</v>
          </cell>
          <cell r="M232">
            <v>12</v>
          </cell>
        </row>
        <row r="233">
          <cell r="A233" t="str">
            <v>POWER</v>
          </cell>
          <cell r="B233" t="str">
            <v>BUDGETS</v>
          </cell>
          <cell r="D233">
            <v>600000</v>
          </cell>
          <cell r="E233" t="str">
            <v>P</v>
          </cell>
          <cell r="G233" t="str">
            <v>0001094</v>
          </cell>
          <cell r="I233" t="str">
            <v>CON2004</v>
          </cell>
          <cell r="J233" t="str">
            <v>USD</v>
          </cell>
          <cell r="L233">
            <v>2004</v>
          </cell>
          <cell r="M233">
            <v>12</v>
          </cell>
        </row>
        <row r="234">
          <cell r="A234" t="str">
            <v>POWER</v>
          </cell>
          <cell r="B234" t="str">
            <v>BUDGETS</v>
          </cell>
          <cell r="D234">
            <v>600000</v>
          </cell>
          <cell r="E234" t="str">
            <v>P</v>
          </cell>
          <cell r="G234" t="str">
            <v>0001094</v>
          </cell>
          <cell r="I234" t="str">
            <v>CON2004</v>
          </cell>
          <cell r="J234" t="str">
            <v>USD</v>
          </cell>
          <cell r="L234">
            <v>2005</v>
          </cell>
          <cell r="M234">
            <v>12</v>
          </cell>
        </row>
        <row r="235">
          <cell r="A235" t="str">
            <v>POWER</v>
          </cell>
          <cell r="B235" t="str">
            <v>BUDGETS</v>
          </cell>
          <cell r="D235">
            <v>600000</v>
          </cell>
          <cell r="E235" t="str">
            <v>P</v>
          </cell>
          <cell r="G235" t="str">
            <v>0001094</v>
          </cell>
          <cell r="I235" t="str">
            <v>CON2004</v>
          </cell>
          <cell r="J235" t="str">
            <v>USD</v>
          </cell>
          <cell r="L235">
            <v>2006</v>
          </cell>
          <cell r="M235">
            <v>12</v>
          </cell>
        </row>
        <row r="236">
          <cell r="A236" t="str">
            <v>POWER</v>
          </cell>
          <cell r="B236" t="str">
            <v>BUDGETS</v>
          </cell>
          <cell r="D236">
            <v>600000</v>
          </cell>
          <cell r="E236" t="str">
            <v>P</v>
          </cell>
          <cell r="G236" t="str">
            <v>0001094</v>
          </cell>
          <cell r="I236" t="str">
            <v>CON2004</v>
          </cell>
          <cell r="J236" t="str">
            <v>USD</v>
          </cell>
          <cell r="L236">
            <v>2007</v>
          </cell>
          <cell r="M236">
            <v>12</v>
          </cell>
        </row>
        <row r="237">
          <cell r="A237" t="str">
            <v>POWER</v>
          </cell>
          <cell r="B237" t="str">
            <v>BUDGETS</v>
          </cell>
          <cell r="D237">
            <v>600000</v>
          </cell>
          <cell r="E237" t="str">
            <v>P</v>
          </cell>
          <cell r="G237" t="str">
            <v>0001094</v>
          </cell>
          <cell r="I237" t="str">
            <v>CON2004</v>
          </cell>
          <cell r="J237" t="str">
            <v>USD</v>
          </cell>
          <cell r="L237">
            <v>2008</v>
          </cell>
          <cell r="M237">
            <v>12</v>
          </cell>
        </row>
        <row r="238">
          <cell r="A238" t="str">
            <v>POWER</v>
          </cell>
          <cell r="B238" t="str">
            <v>BUDGETS</v>
          </cell>
          <cell r="D238">
            <v>600000</v>
          </cell>
          <cell r="E238" t="str">
            <v>P</v>
          </cell>
          <cell r="G238" t="str">
            <v>0001096</v>
          </cell>
          <cell r="I238" t="str">
            <v>CON2004</v>
          </cell>
          <cell r="J238" t="str">
            <v>USD</v>
          </cell>
          <cell r="L238">
            <v>2003</v>
          </cell>
          <cell r="M238">
            <v>12</v>
          </cell>
        </row>
        <row r="239">
          <cell r="A239" t="str">
            <v>POWER</v>
          </cell>
          <cell r="B239" t="str">
            <v>BUDGETS</v>
          </cell>
          <cell r="D239">
            <v>600000</v>
          </cell>
          <cell r="E239" t="str">
            <v>P</v>
          </cell>
          <cell r="G239" t="str">
            <v>0001096</v>
          </cell>
          <cell r="I239" t="str">
            <v>CON2004</v>
          </cell>
          <cell r="J239" t="str">
            <v>USD</v>
          </cell>
          <cell r="L239">
            <v>2004</v>
          </cell>
          <cell r="M239">
            <v>12</v>
          </cell>
        </row>
        <row r="240">
          <cell r="A240" t="str">
            <v>POWER</v>
          </cell>
          <cell r="B240" t="str">
            <v>BUDGETS</v>
          </cell>
          <cell r="D240">
            <v>600000</v>
          </cell>
          <cell r="E240" t="str">
            <v>P</v>
          </cell>
          <cell r="G240" t="str">
            <v>0001096</v>
          </cell>
          <cell r="I240" t="str">
            <v>CON2004</v>
          </cell>
          <cell r="J240" t="str">
            <v>USD</v>
          </cell>
          <cell r="L240">
            <v>2005</v>
          </cell>
          <cell r="M240">
            <v>12</v>
          </cell>
        </row>
        <row r="241">
          <cell r="A241" t="str">
            <v>POWER</v>
          </cell>
          <cell r="B241" t="str">
            <v>BUDGETS</v>
          </cell>
          <cell r="D241">
            <v>600000</v>
          </cell>
          <cell r="E241" t="str">
            <v>P</v>
          </cell>
          <cell r="G241" t="str">
            <v>0001096</v>
          </cell>
          <cell r="I241" t="str">
            <v>CON2004</v>
          </cell>
          <cell r="J241" t="str">
            <v>USD</v>
          </cell>
          <cell r="L241">
            <v>2006</v>
          </cell>
          <cell r="M241">
            <v>12</v>
          </cell>
        </row>
        <row r="242">
          <cell r="A242" t="str">
            <v>POWER</v>
          </cell>
          <cell r="B242" t="str">
            <v>BUDGETS</v>
          </cell>
          <cell r="D242">
            <v>600000</v>
          </cell>
          <cell r="E242" t="str">
            <v>P</v>
          </cell>
          <cell r="G242" t="str">
            <v>0001096</v>
          </cell>
          <cell r="I242" t="str">
            <v>CON2004</v>
          </cell>
          <cell r="J242" t="str">
            <v>USD</v>
          </cell>
          <cell r="L242">
            <v>2007</v>
          </cell>
          <cell r="M242">
            <v>12</v>
          </cell>
        </row>
        <row r="243">
          <cell r="A243" t="str">
            <v>POWER</v>
          </cell>
          <cell r="B243" t="str">
            <v>BUDGETS</v>
          </cell>
          <cell r="D243">
            <v>600000</v>
          </cell>
          <cell r="E243" t="str">
            <v>P</v>
          </cell>
          <cell r="G243" t="str">
            <v>0001096</v>
          </cell>
          <cell r="I243" t="str">
            <v>CON2004</v>
          </cell>
          <cell r="J243" t="str">
            <v>USD</v>
          </cell>
          <cell r="L243">
            <v>2008</v>
          </cell>
          <cell r="M243">
            <v>12</v>
          </cell>
        </row>
        <row r="244">
          <cell r="A244" t="str">
            <v>POWER</v>
          </cell>
          <cell r="B244" t="str">
            <v>BUDGETS</v>
          </cell>
          <cell r="D244">
            <v>600000</v>
          </cell>
          <cell r="E244" t="str">
            <v>P</v>
          </cell>
          <cell r="G244" t="str">
            <v>0001098</v>
          </cell>
          <cell r="I244" t="str">
            <v>CON2004</v>
          </cell>
          <cell r="J244" t="str">
            <v>USD</v>
          </cell>
          <cell r="L244">
            <v>2003</v>
          </cell>
          <cell r="M244">
            <v>12</v>
          </cell>
        </row>
        <row r="245">
          <cell r="A245" t="str">
            <v>POWER</v>
          </cell>
          <cell r="B245" t="str">
            <v>BUDGETS</v>
          </cell>
          <cell r="D245">
            <v>600000</v>
          </cell>
          <cell r="E245" t="str">
            <v>P</v>
          </cell>
          <cell r="G245" t="str">
            <v>0001098</v>
          </cell>
          <cell r="I245" t="str">
            <v>CON2004</v>
          </cell>
          <cell r="J245" t="str">
            <v>USD</v>
          </cell>
          <cell r="L245">
            <v>2004</v>
          </cell>
          <cell r="M245">
            <v>12</v>
          </cell>
        </row>
        <row r="246">
          <cell r="A246" t="str">
            <v>POWER</v>
          </cell>
          <cell r="B246" t="str">
            <v>BUDGETS</v>
          </cell>
          <cell r="D246">
            <v>600000</v>
          </cell>
          <cell r="E246" t="str">
            <v>P</v>
          </cell>
          <cell r="G246" t="str">
            <v>0001098</v>
          </cell>
          <cell r="I246" t="str">
            <v>CON2004</v>
          </cell>
          <cell r="J246" t="str">
            <v>USD</v>
          </cell>
          <cell r="L246">
            <v>2005</v>
          </cell>
          <cell r="M246">
            <v>12</v>
          </cell>
        </row>
        <row r="247">
          <cell r="A247" t="str">
            <v>POWER</v>
          </cell>
          <cell r="B247" t="str">
            <v>BUDGETS</v>
          </cell>
          <cell r="D247">
            <v>600000</v>
          </cell>
          <cell r="E247" t="str">
            <v>P</v>
          </cell>
          <cell r="G247" t="str">
            <v>0001098</v>
          </cell>
          <cell r="I247" t="str">
            <v>CON2004</v>
          </cell>
          <cell r="J247" t="str">
            <v>USD</v>
          </cell>
          <cell r="L247">
            <v>2006</v>
          </cell>
          <cell r="M247">
            <v>12</v>
          </cell>
        </row>
        <row r="248">
          <cell r="A248" t="str">
            <v>POWER</v>
          </cell>
          <cell r="B248" t="str">
            <v>BUDGETS</v>
          </cell>
          <cell r="D248">
            <v>600000</v>
          </cell>
          <cell r="E248" t="str">
            <v>P</v>
          </cell>
          <cell r="G248" t="str">
            <v>0001098</v>
          </cell>
          <cell r="I248" t="str">
            <v>CON2004</v>
          </cell>
          <cell r="J248" t="str">
            <v>USD</v>
          </cell>
          <cell r="L248">
            <v>2007</v>
          </cell>
          <cell r="M248">
            <v>12</v>
          </cell>
        </row>
        <row r="249">
          <cell r="A249" t="str">
            <v>POWER</v>
          </cell>
          <cell r="B249" t="str">
            <v>BUDGETS</v>
          </cell>
          <cell r="D249">
            <v>600000</v>
          </cell>
          <cell r="E249" t="str">
            <v>P</v>
          </cell>
          <cell r="G249" t="str">
            <v>0001098</v>
          </cell>
          <cell r="I249" t="str">
            <v>CON2004</v>
          </cell>
          <cell r="J249" t="str">
            <v>USD</v>
          </cell>
          <cell r="L249">
            <v>2008</v>
          </cell>
          <cell r="M249">
            <v>12</v>
          </cell>
        </row>
        <row r="250">
          <cell r="A250" t="str">
            <v>POWER</v>
          </cell>
          <cell r="B250" t="str">
            <v>BUDGETS</v>
          </cell>
          <cell r="D250">
            <v>600000</v>
          </cell>
          <cell r="E250" t="str">
            <v>P</v>
          </cell>
          <cell r="G250" t="str">
            <v>0001099</v>
          </cell>
          <cell r="I250" t="str">
            <v>CON2004</v>
          </cell>
          <cell r="J250" t="str">
            <v>USD</v>
          </cell>
          <cell r="L250">
            <v>2003</v>
          </cell>
          <cell r="M250">
            <v>12</v>
          </cell>
        </row>
        <row r="251">
          <cell r="A251" t="str">
            <v>POWER</v>
          </cell>
          <cell r="B251" t="str">
            <v>BUDGETS</v>
          </cell>
          <cell r="D251">
            <v>600000</v>
          </cell>
          <cell r="E251" t="str">
            <v>P</v>
          </cell>
          <cell r="G251" t="str">
            <v>0001099</v>
          </cell>
          <cell r="I251" t="str">
            <v>CON2004</v>
          </cell>
          <cell r="J251" t="str">
            <v>USD</v>
          </cell>
          <cell r="L251">
            <v>2004</v>
          </cell>
          <cell r="M251">
            <v>12</v>
          </cell>
        </row>
        <row r="252">
          <cell r="A252" t="str">
            <v>POWER</v>
          </cell>
          <cell r="B252" t="str">
            <v>BUDGETS</v>
          </cell>
          <cell r="D252">
            <v>600000</v>
          </cell>
          <cell r="E252" t="str">
            <v>P</v>
          </cell>
          <cell r="G252" t="str">
            <v>0001099</v>
          </cell>
          <cell r="I252" t="str">
            <v>CON2004</v>
          </cell>
          <cell r="J252" t="str">
            <v>USD</v>
          </cell>
          <cell r="L252">
            <v>2005</v>
          </cell>
          <cell r="M252">
            <v>12</v>
          </cell>
        </row>
        <row r="253">
          <cell r="A253" t="str">
            <v>POWER</v>
          </cell>
          <cell r="B253" t="str">
            <v>BUDGETS</v>
          </cell>
          <cell r="D253">
            <v>600000</v>
          </cell>
          <cell r="E253" t="str">
            <v>P</v>
          </cell>
          <cell r="G253" t="str">
            <v>0001099</v>
          </cell>
          <cell r="I253" t="str">
            <v>CON2004</v>
          </cell>
          <cell r="J253" t="str">
            <v>USD</v>
          </cell>
          <cell r="L253">
            <v>2006</v>
          </cell>
          <cell r="M253">
            <v>12</v>
          </cell>
        </row>
        <row r="254">
          <cell r="A254" t="str">
            <v>POWER</v>
          </cell>
          <cell r="B254" t="str">
            <v>BUDGETS</v>
          </cell>
          <cell r="D254">
            <v>600000</v>
          </cell>
          <cell r="E254" t="str">
            <v>P</v>
          </cell>
          <cell r="G254" t="str">
            <v>0001099</v>
          </cell>
          <cell r="I254" t="str">
            <v>CON2004</v>
          </cell>
          <cell r="J254" t="str">
            <v>USD</v>
          </cell>
          <cell r="L254">
            <v>2007</v>
          </cell>
          <cell r="M254">
            <v>12</v>
          </cell>
        </row>
        <row r="255">
          <cell r="A255" t="str">
            <v>POWER</v>
          </cell>
          <cell r="B255" t="str">
            <v>BUDGETS</v>
          </cell>
          <cell r="D255">
            <v>600000</v>
          </cell>
          <cell r="E255" t="str">
            <v>P</v>
          </cell>
          <cell r="G255" t="str">
            <v>0001099</v>
          </cell>
          <cell r="I255" t="str">
            <v>CON2004</v>
          </cell>
          <cell r="J255" t="str">
            <v>USD</v>
          </cell>
          <cell r="L255">
            <v>2008</v>
          </cell>
          <cell r="M255">
            <v>12</v>
          </cell>
        </row>
        <row r="256">
          <cell r="A256" t="str">
            <v>POWER</v>
          </cell>
          <cell r="B256" t="str">
            <v>BUDGETS</v>
          </cell>
          <cell r="D256">
            <v>600000</v>
          </cell>
          <cell r="E256" t="str">
            <v>P</v>
          </cell>
          <cell r="G256" t="str">
            <v>0001102</v>
          </cell>
          <cell r="I256" t="str">
            <v>CON2004</v>
          </cell>
          <cell r="J256" t="str">
            <v>USD</v>
          </cell>
          <cell r="L256">
            <v>2003</v>
          </cell>
          <cell r="M256">
            <v>12</v>
          </cell>
        </row>
        <row r="257">
          <cell r="A257" t="str">
            <v>POWER</v>
          </cell>
          <cell r="B257" t="str">
            <v>BUDGETS</v>
          </cell>
          <cell r="D257">
            <v>600000</v>
          </cell>
          <cell r="E257" t="str">
            <v>P</v>
          </cell>
          <cell r="G257" t="str">
            <v>0001102</v>
          </cell>
          <cell r="I257" t="str">
            <v>CON2004</v>
          </cell>
          <cell r="J257" t="str">
            <v>USD</v>
          </cell>
          <cell r="L257">
            <v>2004</v>
          </cell>
          <cell r="M257">
            <v>12</v>
          </cell>
        </row>
        <row r="258">
          <cell r="A258" t="str">
            <v>POWER</v>
          </cell>
          <cell r="B258" t="str">
            <v>BUDGETS</v>
          </cell>
          <cell r="D258">
            <v>600000</v>
          </cell>
          <cell r="E258" t="str">
            <v>P</v>
          </cell>
          <cell r="G258" t="str">
            <v>0001102</v>
          </cell>
          <cell r="I258" t="str">
            <v>CON2004</v>
          </cell>
          <cell r="J258" t="str">
            <v>USD</v>
          </cell>
          <cell r="L258">
            <v>2005</v>
          </cell>
          <cell r="M258">
            <v>12</v>
          </cell>
        </row>
        <row r="259">
          <cell r="A259" t="str">
            <v>POWER</v>
          </cell>
          <cell r="B259" t="str">
            <v>BUDGETS</v>
          </cell>
          <cell r="D259">
            <v>600000</v>
          </cell>
          <cell r="E259" t="str">
            <v>P</v>
          </cell>
          <cell r="G259" t="str">
            <v>0001102</v>
          </cell>
          <cell r="I259" t="str">
            <v>CON2004</v>
          </cell>
          <cell r="J259" t="str">
            <v>USD</v>
          </cell>
          <cell r="L259">
            <v>2006</v>
          </cell>
          <cell r="M259">
            <v>12</v>
          </cell>
        </row>
        <row r="260">
          <cell r="A260" t="str">
            <v>POWER</v>
          </cell>
          <cell r="B260" t="str">
            <v>BUDGETS</v>
          </cell>
          <cell r="D260">
            <v>600000</v>
          </cell>
          <cell r="E260" t="str">
            <v>P</v>
          </cell>
          <cell r="G260" t="str">
            <v>0001102</v>
          </cell>
          <cell r="I260" t="str">
            <v>CON2004</v>
          </cell>
          <cell r="J260" t="str">
            <v>USD</v>
          </cell>
          <cell r="L260">
            <v>2007</v>
          </cell>
          <cell r="M260">
            <v>12</v>
          </cell>
        </row>
        <row r="261">
          <cell r="A261" t="str">
            <v>POWER</v>
          </cell>
          <cell r="B261" t="str">
            <v>BUDGETS</v>
          </cell>
          <cell r="D261">
            <v>600000</v>
          </cell>
          <cell r="E261" t="str">
            <v>P</v>
          </cell>
          <cell r="G261" t="str">
            <v>0001102</v>
          </cell>
          <cell r="I261" t="str">
            <v>CON2004</v>
          </cell>
          <cell r="J261" t="str">
            <v>USD</v>
          </cell>
          <cell r="L261">
            <v>2008</v>
          </cell>
          <cell r="M261">
            <v>12</v>
          </cell>
        </row>
        <row r="262">
          <cell r="A262" t="str">
            <v>POWER</v>
          </cell>
          <cell r="B262" t="str">
            <v>BUDGETS</v>
          </cell>
          <cell r="D262">
            <v>600000</v>
          </cell>
          <cell r="E262" t="str">
            <v>P</v>
          </cell>
          <cell r="G262" t="str">
            <v>0001104</v>
          </cell>
          <cell r="I262" t="str">
            <v>CON2004</v>
          </cell>
          <cell r="J262" t="str">
            <v>USD</v>
          </cell>
          <cell r="L262">
            <v>2003</v>
          </cell>
          <cell r="M262">
            <v>12</v>
          </cell>
        </row>
        <row r="263">
          <cell r="A263" t="str">
            <v>POWER</v>
          </cell>
          <cell r="B263" t="str">
            <v>BUDGETS</v>
          </cell>
          <cell r="D263">
            <v>600000</v>
          </cell>
          <cell r="E263" t="str">
            <v>P</v>
          </cell>
          <cell r="G263" t="str">
            <v>0001104</v>
          </cell>
          <cell r="I263" t="str">
            <v>CON2004</v>
          </cell>
          <cell r="J263" t="str">
            <v>USD</v>
          </cell>
          <cell r="L263">
            <v>2004</v>
          </cell>
          <cell r="M263">
            <v>12</v>
          </cell>
        </row>
        <row r="264">
          <cell r="A264" t="str">
            <v>POWER</v>
          </cell>
          <cell r="B264" t="str">
            <v>BUDGETS</v>
          </cell>
          <cell r="D264">
            <v>600000</v>
          </cell>
          <cell r="E264" t="str">
            <v>P</v>
          </cell>
          <cell r="G264" t="str">
            <v>0001104</v>
          </cell>
          <cell r="I264" t="str">
            <v>CON2004</v>
          </cell>
          <cell r="J264" t="str">
            <v>USD</v>
          </cell>
          <cell r="L264">
            <v>2005</v>
          </cell>
          <cell r="M264">
            <v>12</v>
          </cell>
        </row>
        <row r="265">
          <cell r="A265" t="str">
            <v>POWER</v>
          </cell>
          <cell r="B265" t="str">
            <v>BUDGETS</v>
          </cell>
          <cell r="D265">
            <v>600000</v>
          </cell>
          <cell r="E265" t="str">
            <v>P</v>
          </cell>
          <cell r="G265" t="str">
            <v>0001104</v>
          </cell>
          <cell r="I265" t="str">
            <v>CON2004</v>
          </cell>
          <cell r="J265" t="str">
            <v>USD</v>
          </cell>
          <cell r="L265">
            <v>2006</v>
          </cell>
          <cell r="M265">
            <v>12</v>
          </cell>
        </row>
        <row r="266">
          <cell r="A266" t="str">
            <v>POWER</v>
          </cell>
          <cell r="B266" t="str">
            <v>BUDGETS</v>
          </cell>
          <cell r="D266">
            <v>600000</v>
          </cell>
          <cell r="E266" t="str">
            <v>P</v>
          </cell>
          <cell r="G266" t="str">
            <v>0001104</v>
          </cell>
          <cell r="I266" t="str">
            <v>CON2004</v>
          </cell>
          <cell r="J266" t="str">
            <v>USD</v>
          </cell>
          <cell r="L266">
            <v>2007</v>
          </cell>
          <cell r="M266">
            <v>12</v>
          </cell>
        </row>
        <row r="267">
          <cell r="A267" t="str">
            <v>POWER</v>
          </cell>
          <cell r="B267" t="str">
            <v>BUDGETS</v>
          </cell>
          <cell r="D267">
            <v>600000</v>
          </cell>
          <cell r="E267" t="str">
            <v>P</v>
          </cell>
          <cell r="G267" t="str">
            <v>0001104</v>
          </cell>
          <cell r="I267" t="str">
            <v>CON2004</v>
          </cell>
          <cell r="J267" t="str">
            <v>USD</v>
          </cell>
          <cell r="L267">
            <v>2008</v>
          </cell>
          <cell r="M267">
            <v>12</v>
          </cell>
        </row>
        <row r="268">
          <cell r="A268" t="str">
            <v>POWER</v>
          </cell>
          <cell r="B268" t="str">
            <v>BUDGETS</v>
          </cell>
          <cell r="D268">
            <v>600000</v>
          </cell>
          <cell r="E268" t="str">
            <v>P</v>
          </cell>
          <cell r="G268" t="str">
            <v>0004145</v>
          </cell>
          <cell r="I268" t="str">
            <v>CON2004</v>
          </cell>
          <cell r="J268" t="str">
            <v>USD</v>
          </cell>
          <cell r="L268">
            <v>2003</v>
          </cell>
          <cell r="M268">
            <v>12</v>
          </cell>
        </row>
        <row r="269">
          <cell r="A269" t="str">
            <v>POWER</v>
          </cell>
          <cell r="B269" t="str">
            <v>BUDGETS</v>
          </cell>
          <cell r="D269">
            <v>600000</v>
          </cell>
          <cell r="E269" t="str">
            <v>P</v>
          </cell>
          <cell r="G269" t="str">
            <v>0004145</v>
          </cell>
          <cell r="I269" t="str">
            <v>CON2004</v>
          </cell>
          <cell r="J269" t="str">
            <v>USD</v>
          </cell>
          <cell r="L269">
            <v>2004</v>
          </cell>
          <cell r="M269">
            <v>12</v>
          </cell>
        </row>
        <row r="270">
          <cell r="A270" t="str">
            <v>POWER</v>
          </cell>
          <cell r="B270" t="str">
            <v>BUDGETS</v>
          </cell>
          <cell r="D270">
            <v>600000</v>
          </cell>
          <cell r="E270" t="str">
            <v>P</v>
          </cell>
          <cell r="G270" t="str">
            <v>0004145</v>
          </cell>
          <cell r="I270" t="str">
            <v>CON2004</v>
          </cell>
          <cell r="J270" t="str">
            <v>USD</v>
          </cell>
          <cell r="L270">
            <v>2005</v>
          </cell>
          <cell r="M270">
            <v>12</v>
          </cell>
        </row>
        <row r="271">
          <cell r="A271" t="str">
            <v>POWER</v>
          </cell>
          <cell r="B271" t="str">
            <v>BUDGETS</v>
          </cell>
          <cell r="D271">
            <v>600000</v>
          </cell>
          <cell r="E271" t="str">
            <v>P</v>
          </cell>
          <cell r="G271" t="str">
            <v>0004145</v>
          </cell>
          <cell r="I271" t="str">
            <v>CON2004</v>
          </cell>
          <cell r="J271" t="str">
            <v>USD</v>
          </cell>
          <cell r="L271">
            <v>2006</v>
          </cell>
          <cell r="M271">
            <v>12</v>
          </cell>
        </row>
        <row r="272">
          <cell r="A272" t="str">
            <v>POWER</v>
          </cell>
          <cell r="B272" t="str">
            <v>BUDGETS</v>
          </cell>
          <cell r="D272">
            <v>600000</v>
          </cell>
          <cell r="E272" t="str">
            <v>P</v>
          </cell>
          <cell r="G272" t="str">
            <v>0004145</v>
          </cell>
          <cell r="I272" t="str">
            <v>CON2004</v>
          </cell>
          <cell r="J272" t="str">
            <v>USD</v>
          </cell>
          <cell r="L272">
            <v>2007</v>
          </cell>
          <cell r="M272">
            <v>12</v>
          </cell>
        </row>
        <row r="273">
          <cell r="A273" t="str">
            <v>POWER</v>
          </cell>
          <cell r="B273" t="str">
            <v>BUDGETS</v>
          </cell>
          <cell r="D273">
            <v>600000</v>
          </cell>
          <cell r="E273" t="str">
            <v>P</v>
          </cell>
          <cell r="G273" t="str">
            <v>0004145</v>
          </cell>
          <cell r="I273" t="str">
            <v>CON2004</v>
          </cell>
          <cell r="J273" t="str">
            <v>USD</v>
          </cell>
          <cell r="L273">
            <v>2008</v>
          </cell>
          <cell r="M273">
            <v>12</v>
          </cell>
        </row>
        <row r="274">
          <cell r="A274" t="str">
            <v>POWER</v>
          </cell>
          <cell r="B274" t="str">
            <v>BUDGETS</v>
          </cell>
          <cell r="D274">
            <v>600000</v>
          </cell>
          <cell r="E274" t="str">
            <v>P</v>
          </cell>
          <cell r="G274" t="str">
            <v>0001035</v>
          </cell>
          <cell r="I274" t="str">
            <v>CON2004</v>
          </cell>
          <cell r="J274" t="str">
            <v>USD</v>
          </cell>
          <cell r="L274">
            <v>2003</v>
          </cell>
          <cell r="M274">
            <v>12</v>
          </cell>
        </row>
        <row r="275">
          <cell r="A275" t="str">
            <v>POWER</v>
          </cell>
          <cell r="B275" t="str">
            <v>BUDGETS</v>
          </cell>
          <cell r="D275">
            <v>600000</v>
          </cell>
          <cell r="E275" t="str">
            <v>P</v>
          </cell>
          <cell r="G275" t="str">
            <v>0001035</v>
          </cell>
          <cell r="I275" t="str">
            <v>CON2004</v>
          </cell>
          <cell r="J275" t="str">
            <v>USD</v>
          </cell>
          <cell r="L275">
            <v>2004</v>
          </cell>
          <cell r="M275">
            <v>12</v>
          </cell>
        </row>
        <row r="276">
          <cell r="A276" t="str">
            <v>POWER</v>
          </cell>
          <cell r="B276" t="str">
            <v>BUDGETS</v>
          </cell>
          <cell r="D276">
            <v>600000</v>
          </cell>
          <cell r="E276" t="str">
            <v>P</v>
          </cell>
          <cell r="G276" t="str">
            <v>0001035</v>
          </cell>
          <cell r="I276" t="str">
            <v>CON2004</v>
          </cell>
          <cell r="J276" t="str">
            <v>USD</v>
          </cell>
          <cell r="L276">
            <v>2005</v>
          </cell>
          <cell r="M276">
            <v>12</v>
          </cell>
        </row>
        <row r="277">
          <cell r="A277" t="str">
            <v>POWER</v>
          </cell>
          <cell r="B277" t="str">
            <v>BUDGETS</v>
          </cell>
          <cell r="D277">
            <v>600000</v>
          </cell>
          <cell r="E277" t="str">
            <v>P</v>
          </cell>
          <cell r="G277" t="str">
            <v>0001035</v>
          </cell>
          <cell r="I277" t="str">
            <v>CON2004</v>
          </cell>
          <cell r="J277" t="str">
            <v>USD</v>
          </cell>
          <cell r="L277">
            <v>2006</v>
          </cell>
          <cell r="M277">
            <v>12</v>
          </cell>
        </row>
        <row r="278">
          <cell r="A278" t="str">
            <v>POWER</v>
          </cell>
          <cell r="B278" t="str">
            <v>BUDGETS</v>
          </cell>
          <cell r="D278">
            <v>600000</v>
          </cell>
          <cell r="E278" t="str">
            <v>P</v>
          </cell>
          <cell r="G278" t="str">
            <v>0001035</v>
          </cell>
          <cell r="I278" t="str">
            <v>CON2004</v>
          </cell>
          <cell r="J278" t="str">
            <v>USD</v>
          </cell>
          <cell r="L278">
            <v>2007</v>
          </cell>
          <cell r="M278">
            <v>12</v>
          </cell>
        </row>
        <row r="279">
          <cell r="A279" t="str">
            <v>POWER</v>
          </cell>
          <cell r="B279" t="str">
            <v>BUDGETS</v>
          </cell>
          <cell r="D279">
            <v>600000</v>
          </cell>
          <cell r="E279" t="str">
            <v>P</v>
          </cell>
          <cell r="G279" t="str">
            <v>0001035</v>
          </cell>
          <cell r="I279" t="str">
            <v>CON2004</v>
          </cell>
          <cell r="J279" t="str">
            <v>USD</v>
          </cell>
          <cell r="L279">
            <v>2008</v>
          </cell>
          <cell r="M279">
            <v>12</v>
          </cell>
        </row>
        <row r="280">
          <cell r="A280" t="str">
            <v>POWER</v>
          </cell>
          <cell r="B280" t="str">
            <v>BUDGETS</v>
          </cell>
          <cell r="D280">
            <v>600000</v>
          </cell>
          <cell r="E280" t="str">
            <v>P</v>
          </cell>
          <cell r="G280" t="str">
            <v>0001124</v>
          </cell>
          <cell r="I280" t="str">
            <v>CON2004</v>
          </cell>
          <cell r="J280" t="str">
            <v>USD</v>
          </cell>
          <cell r="L280">
            <v>2003</v>
          </cell>
          <cell r="M280">
            <v>12</v>
          </cell>
        </row>
        <row r="281">
          <cell r="A281" t="str">
            <v>POWER</v>
          </cell>
          <cell r="B281" t="str">
            <v>BUDGETS</v>
          </cell>
          <cell r="D281">
            <v>600000</v>
          </cell>
          <cell r="E281" t="str">
            <v>P</v>
          </cell>
          <cell r="G281" t="str">
            <v>0001124</v>
          </cell>
          <cell r="I281" t="str">
            <v>CON2004</v>
          </cell>
          <cell r="J281" t="str">
            <v>USD</v>
          </cell>
          <cell r="L281">
            <v>2004</v>
          </cell>
          <cell r="M281">
            <v>12</v>
          </cell>
        </row>
        <row r="282">
          <cell r="A282" t="str">
            <v>POWER</v>
          </cell>
          <cell r="B282" t="str">
            <v>BUDGETS</v>
          </cell>
          <cell r="D282">
            <v>600000</v>
          </cell>
          <cell r="E282" t="str">
            <v>P</v>
          </cell>
          <cell r="G282" t="str">
            <v>0001124</v>
          </cell>
          <cell r="I282" t="str">
            <v>CON2004</v>
          </cell>
          <cell r="J282" t="str">
            <v>USD</v>
          </cell>
          <cell r="L282">
            <v>2005</v>
          </cell>
          <cell r="M282">
            <v>12</v>
          </cell>
        </row>
        <row r="283">
          <cell r="A283" t="str">
            <v>POWER</v>
          </cell>
          <cell r="B283" t="str">
            <v>BUDGETS</v>
          </cell>
          <cell r="D283">
            <v>600000</v>
          </cell>
          <cell r="E283" t="str">
            <v>P</v>
          </cell>
          <cell r="G283" t="str">
            <v>0001124</v>
          </cell>
          <cell r="I283" t="str">
            <v>CON2004</v>
          </cell>
          <cell r="J283" t="str">
            <v>USD</v>
          </cell>
          <cell r="L283">
            <v>2006</v>
          </cell>
          <cell r="M283">
            <v>12</v>
          </cell>
        </row>
        <row r="284">
          <cell r="A284" t="str">
            <v>POWER</v>
          </cell>
          <cell r="B284" t="str">
            <v>BUDGETS</v>
          </cell>
          <cell r="D284">
            <v>600000</v>
          </cell>
          <cell r="E284" t="str">
            <v>P</v>
          </cell>
          <cell r="G284" t="str">
            <v>0001124</v>
          </cell>
          <cell r="I284" t="str">
            <v>CON2004</v>
          </cell>
          <cell r="J284" t="str">
            <v>USD</v>
          </cell>
          <cell r="L284">
            <v>2007</v>
          </cell>
          <cell r="M284">
            <v>12</v>
          </cell>
        </row>
        <row r="285">
          <cell r="A285" t="str">
            <v>POWER</v>
          </cell>
          <cell r="B285" t="str">
            <v>BUDGETS</v>
          </cell>
          <cell r="D285">
            <v>600000</v>
          </cell>
          <cell r="E285" t="str">
            <v>P</v>
          </cell>
          <cell r="G285" t="str">
            <v>0001124</v>
          </cell>
          <cell r="I285" t="str">
            <v>CON2004</v>
          </cell>
          <cell r="J285" t="str">
            <v>USD</v>
          </cell>
          <cell r="L285">
            <v>2008</v>
          </cell>
          <cell r="M285">
            <v>12</v>
          </cell>
        </row>
        <row r="286">
          <cell r="A286" t="str">
            <v>POWER</v>
          </cell>
          <cell r="B286" t="str">
            <v>BUDGETS</v>
          </cell>
          <cell r="D286">
            <v>600000</v>
          </cell>
          <cell r="E286" t="str">
            <v>P</v>
          </cell>
          <cell r="G286" t="str">
            <v>0001126</v>
          </cell>
          <cell r="I286" t="str">
            <v>CON2004</v>
          </cell>
          <cell r="J286" t="str">
            <v>USD</v>
          </cell>
          <cell r="L286">
            <v>2003</v>
          </cell>
          <cell r="M286">
            <v>12</v>
          </cell>
        </row>
        <row r="287">
          <cell r="A287" t="str">
            <v>POWER</v>
          </cell>
          <cell r="B287" t="str">
            <v>BUDGETS</v>
          </cell>
          <cell r="D287">
            <v>600000</v>
          </cell>
          <cell r="E287" t="str">
            <v>P</v>
          </cell>
          <cell r="G287" t="str">
            <v>0001126</v>
          </cell>
          <cell r="I287" t="str">
            <v>CON2004</v>
          </cell>
          <cell r="J287" t="str">
            <v>USD</v>
          </cell>
          <cell r="L287">
            <v>2004</v>
          </cell>
          <cell r="M287">
            <v>12</v>
          </cell>
        </row>
        <row r="288">
          <cell r="A288" t="str">
            <v>POWER</v>
          </cell>
          <cell r="B288" t="str">
            <v>BUDGETS</v>
          </cell>
          <cell r="D288">
            <v>600000</v>
          </cell>
          <cell r="E288" t="str">
            <v>P</v>
          </cell>
          <cell r="G288" t="str">
            <v>0001126</v>
          </cell>
          <cell r="I288" t="str">
            <v>CON2004</v>
          </cell>
          <cell r="J288" t="str">
            <v>USD</v>
          </cell>
          <cell r="L288">
            <v>2005</v>
          </cell>
          <cell r="M288">
            <v>12</v>
          </cell>
        </row>
        <row r="289">
          <cell r="A289" t="str">
            <v>POWER</v>
          </cell>
          <cell r="B289" t="str">
            <v>BUDGETS</v>
          </cell>
          <cell r="D289">
            <v>600000</v>
          </cell>
          <cell r="E289" t="str">
            <v>P</v>
          </cell>
          <cell r="G289" t="str">
            <v>0001126</v>
          </cell>
          <cell r="I289" t="str">
            <v>CON2004</v>
          </cell>
          <cell r="J289" t="str">
            <v>USD</v>
          </cell>
          <cell r="L289">
            <v>2006</v>
          </cell>
          <cell r="M289">
            <v>12</v>
          </cell>
        </row>
        <row r="290">
          <cell r="A290" t="str">
            <v>POWER</v>
          </cell>
          <cell r="B290" t="str">
            <v>BUDGETS</v>
          </cell>
          <cell r="D290">
            <v>600000</v>
          </cell>
          <cell r="E290" t="str">
            <v>P</v>
          </cell>
          <cell r="G290" t="str">
            <v>0001126</v>
          </cell>
          <cell r="I290" t="str">
            <v>CON2004</v>
          </cell>
          <cell r="J290" t="str">
            <v>USD</v>
          </cell>
          <cell r="L290">
            <v>2007</v>
          </cell>
          <cell r="M290">
            <v>12</v>
          </cell>
        </row>
        <row r="291">
          <cell r="A291" t="str">
            <v>POWER</v>
          </cell>
          <cell r="B291" t="str">
            <v>BUDGETS</v>
          </cell>
          <cell r="D291">
            <v>600000</v>
          </cell>
          <cell r="E291" t="str">
            <v>P</v>
          </cell>
          <cell r="G291" t="str">
            <v>0001126</v>
          </cell>
          <cell r="I291" t="str">
            <v>CON2004</v>
          </cell>
          <cell r="J291" t="str">
            <v>USD</v>
          </cell>
          <cell r="L291">
            <v>2008</v>
          </cell>
          <cell r="M291">
            <v>12</v>
          </cell>
        </row>
        <row r="292">
          <cell r="A292" t="str">
            <v>POWER</v>
          </cell>
          <cell r="B292" t="str">
            <v>BUDGETS</v>
          </cell>
          <cell r="D292">
            <v>600000</v>
          </cell>
          <cell r="E292" t="str">
            <v>P</v>
          </cell>
          <cell r="G292" t="str">
            <v>0004142</v>
          </cell>
          <cell r="I292" t="str">
            <v>CON2004</v>
          </cell>
          <cell r="J292" t="str">
            <v>USD</v>
          </cell>
          <cell r="L292">
            <v>2003</v>
          </cell>
          <cell r="M292">
            <v>12</v>
          </cell>
        </row>
        <row r="293">
          <cell r="A293" t="str">
            <v>POWER</v>
          </cell>
          <cell r="B293" t="str">
            <v>BUDGETS</v>
          </cell>
          <cell r="D293">
            <v>600000</v>
          </cell>
          <cell r="E293" t="str">
            <v>P</v>
          </cell>
          <cell r="G293" t="str">
            <v>0004142</v>
          </cell>
          <cell r="I293" t="str">
            <v>CON2004</v>
          </cell>
          <cell r="J293" t="str">
            <v>USD</v>
          </cell>
          <cell r="L293">
            <v>2004</v>
          </cell>
          <cell r="M293">
            <v>12</v>
          </cell>
        </row>
        <row r="294">
          <cell r="A294" t="str">
            <v>POWER</v>
          </cell>
          <cell r="B294" t="str">
            <v>BUDGETS</v>
          </cell>
          <cell r="D294">
            <v>600000</v>
          </cell>
          <cell r="E294" t="str">
            <v>P</v>
          </cell>
          <cell r="G294" t="str">
            <v>0004142</v>
          </cell>
          <cell r="I294" t="str">
            <v>CON2004</v>
          </cell>
          <cell r="J294" t="str">
            <v>USD</v>
          </cell>
          <cell r="L294">
            <v>2005</v>
          </cell>
          <cell r="M294">
            <v>12</v>
          </cell>
        </row>
        <row r="295">
          <cell r="A295" t="str">
            <v>POWER</v>
          </cell>
          <cell r="B295" t="str">
            <v>BUDGETS</v>
          </cell>
          <cell r="D295">
            <v>600000</v>
          </cell>
          <cell r="E295" t="str">
            <v>P</v>
          </cell>
          <cell r="G295" t="str">
            <v>0004142</v>
          </cell>
          <cell r="I295" t="str">
            <v>CON2004</v>
          </cell>
          <cell r="J295" t="str">
            <v>USD</v>
          </cell>
          <cell r="L295">
            <v>2006</v>
          </cell>
          <cell r="M295">
            <v>12</v>
          </cell>
        </row>
        <row r="296">
          <cell r="A296" t="str">
            <v>POWER</v>
          </cell>
          <cell r="B296" t="str">
            <v>BUDGETS</v>
          </cell>
          <cell r="D296">
            <v>600000</v>
          </cell>
          <cell r="E296" t="str">
            <v>P</v>
          </cell>
          <cell r="G296" t="str">
            <v>0004142</v>
          </cell>
          <cell r="I296" t="str">
            <v>CON2004</v>
          </cell>
          <cell r="J296" t="str">
            <v>USD</v>
          </cell>
          <cell r="L296">
            <v>2007</v>
          </cell>
          <cell r="M296">
            <v>12</v>
          </cell>
        </row>
        <row r="297">
          <cell r="A297" t="str">
            <v>POWER</v>
          </cell>
          <cell r="B297" t="str">
            <v>BUDGETS</v>
          </cell>
          <cell r="D297">
            <v>600000</v>
          </cell>
          <cell r="E297" t="str">
            <v>P</v>
          </cell>
          <cell r="G297" t="str">
            <v>0004142</v>
          </cell>
          <cell r="I297" t="str">
            <v>CON2004</v>
          </cell>
          <cell r="J297" t="str">
            <v>USD</v>
          </cell>
          <cell r="L297">
            <v>2008</v>
          </cell>
          <cell r="M297">
            <v>12</v>
          </cell>
        </row>
        <row r="298">
          <cell r="A298" t="str">
            <v>POWER</v>
          </cell>
          <cell r="B298" t="str">
            <v>BUDGETS</v>
          </cell>
          <cell r="D298">
            <v>600000</v>
          </cell>
          <cell r="E298" t="str">
            <v>P</v>
          </cell>
          <cell r="G298" t="str">
            <v>0001141</v>
          </cell>
          <cell r="I298" t="str">
            <v>CON2004</v>
          </cell>
          <cell r="J298" t="str">
            <v>USD</v>
          </cell>
          <cell r="L298">
            <v>2003</v>
          </cell>
          <cell r="M298">
            <v>12</v>
          </cell>
        </row>
        <row r="299">
          <cell r="A299" t="str">
            <v>POWER</v>
          </cell>
          <cell r="B299" t="str">
            <v>BUDGETS</v>
          </cell>
          <cell r="D299">
            <v>600000</v>
          </cell>
          <cell r="E299" t="str">
            <v>P</v>
          </cell>
          <cell r="G299" t="str">
            <v>0001141</v>
          </cell>
          <cell r="I299" t="str">
            <v>CON2004</v>
          </cell>
          <cell r="J299" t="str">
            <v>USD</v>
          </cell>
          <cell r="L299">
            <v>2004</v>
          </cell>
          <cell r="M299">
            <v>12</v>
          </cell>
        </row>
        <row r="300">
          <cell r="A300" t="str">
            <v>POWER</v>
          </cell>
          <cell r="B300" t="str">
            <v>BUDGETS</v>
          </cell>
          <cell r="D300">
            <v>600000</v>
          </cell>
          <cell r="E300" t="str">
            <v>P</v>
          </cell>
          <cell r="G300" t="str">
            <v>0001141</v>
          </cell>
          <cell r="I300" t="str">
            <v>CON2004</v>
          </cell>
          <cell r="J300" t="str">
            <v>USD</v>
          </cell>
          <cell r="L300">
            <v>2005</v>
          </cell>
          <cell r="M300">
            <v>12</v>
          </cell>
        </row>
        <row r="301">
          <cell r="A301" t="str">
            <v>POWER</v>
          </cell>
          <cell r="B301" t="str">
            <v>BUDGETS</v>
          </cell>
          <cell r="D301">
            <v>600000</v>
          </cell>
          <cell r="E301" t="str">
            <v>P</v>
          </cell>
          <cell r="G301" t="str">
            <v>0001141</v>
          </cell>
          <cell r="I301" t="str">
            <v>CON2004</v>
          </cell>
          <cell r="J301" t="str">
            <v>USD</v>
          </cell>
          <cell r="L301">
            <v>2006</v>
          </cell>
          <cell r="M301">
            <v>12</v>
          </cell>
        </row>
        <row r="302">
          <cell r="A302" t="str">
            <v>POWER</v>
          </cell>
          <cell r="B302" t="str">
            <v>BUDGETS</v>
          </cell>
          <cell r="D302">
            <v>600000</v>
          </cell>
          <cell r="E302" t="str">
            <v>P</v>
          </cell>
          <cell r="G302" t="str">
            <v>0001141</v>
          </cell>
          <cell r="I302" t="str">
            <v>CON2004</v>
          </cell>
          <cell r="J302" t="str">
            <v>USD</v>
          </cell>
          <cell r="L302">
            <v>2007</v>
          </cell>
          <cell r="M302">
            <v>12</v>
          </cell>
        </row>
        <row r="303">
          <cell r="A303" t="str">
            <v>POWER</v>
          </cell>
          <cell r="B303" t="str">
            <v>BUDGETS</v>
          </cell>
          <cell r="D303">
            <v>600000</v>
          </cell>
          <cell r="E303" t="str">
            <v>P</v>
          </cell>
          <cell r="G303" t="str">
            <v>0001141</v>
          </cell>
          <cell r="I303" t="str">
            <v>CON2004</v>
          </cell>
          <cell r="J303" t="str">
            <v>USD</v>
          </cell>
          <cell r="L303">
            <v>2008</v>
          </cell>
          <cell r="M303">
            <v>12</v>
          </cell>
        </row>
        <row r="304">
          <cell r="A304" t="str">
            <v>POWER</v>
          </cell>
          <cell r="B304" t="str">
            <v>BUDGETS</v>
          </cell>
          <cell r="D304">
            <v>600000</v>
          </cell>
          <cell r="E304" t="str">
            <v>P</v>
          </cell>
          <cell r="G304" t="str">
            <v>0001143</v>
          </cell>
          <cell r="I304" t="str">
            <v>CON2004</v>
          </cell>
          <cell r="J304" t="str">
            <v>USD</v>
          </cell>
          <cell r="L304">
            <v>2003</v>
          </cell>
          <cell r="M304">
            <v>12</v>
          </cell>
        </row>
        <row r="305">
          <cell r="A305" t="str">
            <v>POWER</v>
          </cell>
          <cell r="B305" t="str">
            <v>BUDGETS</v>
          </cell>
          <cell r="D305">
            <v>600000</v>
          </cell>
          <cell r="E305" t="str">
            <v>P</v>
          </cell>
          <cell r="G305" t="str">
            <v>0001143</v>
          </cell>
          <cell r="I305" t="str">
            <v>CON2004</v>
          </cell>
          <cell r="J305" t="str">
            <v>USD</v>
          </cell>
          <cell r="L305">
            <v>2004</v>
          </cell>
          <cell r="M305">
            <v>12</v>
          </cell>
        </row>
        <row r="306">
          <cell r="A306" t="str">
            <v>POWER</v>
          </cell>
          <cell r="B306" t="str">
            <v>BUDGETS</v>
          </cell>
          <cell r="D306">
            <v>600000</v>
          </cell>
          <cell r="E306" t="str">
            <v>P</v>
          </cell>
          <cell r="G306" t="str">
            <v>0001143</v>
          </cell>
          <cell r="I306" t="str">
            <v>CON2004</v>
          </cell>
          <cell r="J306" t="str">
            <v>USD</v>
          </cell>
          <cell r="L306">
            <v>2005</v>
          </cell>
          <cell r="M306">
            <v>12</v>
          </cell>
        </row>
        <row r="307">
          <cell r="A307" t="str">
            <v>POWER</v>
          </cell>
          <cell r="B307" t="str">
            <v>BUDGETS</v>
          </cell>
          <cell r="D307">
            <v>600000</v>
          </cell>
          <cell r="E307" t="str">
            <v>P</v>
          </cell>
          <cell r="G307" t="str">
            <v>0001143</v>
          </cell>
          <cell r="I307" t="str">
            <v>CON2004</v>
          </cell>
          <cell r="J307" t="str">
            <v>USD</v>
          </cell>
          <cell r="L307">
            <v>2006</v>
          </cell>
          <cell r="M307">
            <v>12</v>
          </cell>
        </row>
        <row r="308">
          <cell r="A308" t="str">
            <v>POWER</v>
          </cell>
          <cell r="B308" t="str">
            <v>BUDGETS</v>
          </cell>
          <cell r="D308">
            <v>600000</v>
          </cell>
          <cell r="E308" t="str">
            <v>P</v>
          </cell>
          <cell r="G308" t="str">
            <v>0001143</v>
          </cell>
          <cell r="I308" t="str">
            <v>CON2004</v>
          </cell>
          <cell r="J308" t="str">
            <v>USD</v>
          </cell>
          <cell r="L308">
            <v>2007</v>
          </cell>
          <cell r="M308">
            <v>12</v>
          </cell>
        </row>
        <row r="309">
          <cell r="A309" t="str">
            <v>POWER</v>
          </cell>
          <cell r="B309" t="str">
            <v>BUDGETS</v>
          </cell>
          <cell r="D309">
            <v>600000</v>
          </cell>
          <cell r="E309" t="str">
            <v>P</v>
          </cell>
          <cell r="G309" t="str">
            <v>0001143</v>
          </cell>
          <cell r="I309" t="str">
            <v>CON2004</v>
          </cell>
          <cell r="J309" t="str">
            <v>USD</v>
          </cell>
          <cell r="L309">
            <v>2008</v>
          </cell>
          <cell r="M309">
            <v>12</v>
          </cell>
        </row>
        <row r="310">
          <cell r="A310" t="str">
            <v>POWER</v>
          </cell>
          <cell r="B310" t="str">
            <v>BUDGETS</v>
          </cell>
          <cell r="D310">
            <v>600000</v>
          </cell>
          <cell r="E310" t="str">
            <v>P</v>
          </cell>
          <cell r="G310" t="str">
            <v>0001145</v>
          </cell>
          <cell r="I310" t="str">
            <v>CON2004</v>
          </cell>
          <cell r="J310" t="str">
            <v>USD</v>
          </cell>
          <cell r="L310">
            <v>2003</v>
          </cell>
          <cell r="M310">
            <v>12</v>
          </cell>
        </row>
        <row r="311">
          <cell r="A311" t="str">
            <v>POWER</v>
          </cell>
          <cell r="B311" t="str">
            <v>BUDGETS</v>
          </cell>
          <cell r="D311">
            <v>600000</v>
          </cell>
          <cell r="E311" t="str">
            <v>P</v>
          </cell>
          <cell r="G311" t="str">
            <v>0001145</v>
          </cell>
          <cell r="I311" t="str">
            <v>CON2004</v>
          </cell>
          <cell r="J311" t="str">
            <v>USD</v>
          </cell>
          <cell r="L311">
            <v>2004</v>
          </cell>
          <cell r="M311">
            <v>12</v>
          </cell>
        </row>
        <row r="312">
          <cell r="A312" t="str">
            <v>POWER</v>
          </cell>
          <cell r="B312" t="str">
            <v>BUDGETS</v>
          </cell>
          <cell r="D312">
            <v>600000</v>
          </cell>
          <cell r="E312" t="str">
            <v>P</v>
          </cell>
          <cell r="G312" t="str">
            <v>0001145</v>
          </cell>
          <cell r="I312" t="str">
            <v>CON2004</v>
          </cell>
          <cell r="J312" t="str">
            <v>USD</v>
          </cell>
          <cell r="L312">
            <v>2005</v>
          </cell>
          <cell r="M312">
            <v>12</v>
          </cell>
        </row>
        <row r="313">
          <cell r="A313" t="str">
            <v>POWER</v>
          </cell>
          <cell r="B313" t="str">
            <v>BUDGETS</v>
          </cell>
          <cell r="D313">
            <v>600000</v>
          </cell>
          <cell r="E313" t="str">
            <v>P</v>
          </cell>
          <cell r="G313" t="str">
            <v>0001145</v>
          </cell>
          <cell r="I313" t="str">
            <v>CON2004</v>
          </cell>
          <cell r="J313" t="str">
            <v>USD</v>
          </cell>
          <cell r="L313">
            <v>2006</v>
          </cell>
          <cell r="M313">
            <v>12</v>
          </cell>
        </row>
        <row r="314">
          <cell r="A314" t="str">
            <v>POWER</v>
          </cell>
          <cell r="B314" t="str">
            <v>BUDGETS</v>
          </cell>
          <cell r="D314">
            <v>600000</v>
          </cell>
          <cell r="E314" t="str">
            <v>P</v>
          </cell>
          <cell r="G314" t="str">
            <v>0001145</v>
          </cell>
          <cell r="I314" t="str">
            <v>CON2004</v>
          </cell>
          <cell r="J314" t="str">
            <v>USD</v>
          </cell>
          <cell r="L314">
            <v>2007</v>
          </cell>
          <cell r="M314">
            <v>12</v>
          </cell>
        </row>
        <row r="315">
          <cell r="A315" t="str">
            <v>POWER</v>
          </cell>
          <cell r="B315" t="str">
            <v>BUDGETS</v>
          </cell>
          <cell r="D315">
            <v>600000</v>
          </cell>
          <cell r="E315" t="str">
            <v>P</v>
          </cell>
          <cell r="G315" t="str">
            <v>0001145</v>
          </cell>
          <cell r="I315" t="str">
            <v>CON2004</v>
          </cell>
          <cell r="J315" t="str">
            <v>USD</v>
          </cell>
          <cell r="L315">
            <v>2008</v>
          </cell>
          <cell r="M315">
            <v>12</v>
          </cell>
        </row>
        <row r="316">
          <cell r="A316" t="str">
            <v>POWER</v>
          </cell>
          <cell r="B316" t="str">
            <v>BUDGETS</v>
          </cell>
          <cell r="D316">
            <v>600000</v>
          </cell>
          <cell r="E316" t="str">
            <v>P</v>
          </cell>
          <cell r="G316" t="str">
            <v>0004570</v>
          </cell>
          <cell r="I316" t="str">
            <v>CON2004</v>
          </cell>
          <cell r="J316" t="str">
            <v>USD</v>
          </cell>
          <cell r="L316">
            <v>2003</v>
          </cell>
          <cell r="M316">
            <v>12</v>
          </cell>
        </row>
        <row r="317">
          <cell r="A317" t="str">
            <v>POWER</v>
          </cell>
          <cell r="B317" t="str">
            <v>BUDGETS</v>
          </cell>
          <cell r="D317">
            <v>600000</v>
          </cell>
          <cell r="E317" t="str">
            <v>P</v>
          </cell>
          <cell r="G317" t="str">
            <v>0004570</v>
          </cell>
          <cell r="I317" t="str">
            <v>CON2004</v>
          </cell>
          <cell r="J317" t="str">
            <v>USD</v>
          </cell>
          <cell r="L317">
            <v>2004</v>
          </cell>
          <cell r="M317">
            <v>12</v>
          </cell>
        </row>
        <row r="318">
          <cell r="A318" t="str">
            <v>POWER</v>
          </cell>
          <cell r="B318" t="str">
            <v>BUDGETS</v>
          </cell>
          <cell r="D318">
            <v>600000</v>
          </cell>
          <cell r="E318" t="str">
            <v>P</v>
          </cell>
          <cell r="G318" t="str">
            <v>0004570</v>
          </cell>
          <cell r="I318" t="str">
            <v>CON2004</v>
          </cell>
          <cell r="J318" t="str">
            <v>USD</v>
          </cell>
          <cell r="L318">
            <v>2005</v>
          </cell>
          <cell r="M318">
            <v>12</v>
          </cell>
        </row>
        <row r="319">
          <cell r="A319" t="str">
            <v>POWER</v>
          </cell>
          <cell r="B319" t="str">
            <v>BUDGETS</v>
          </cell>
          <cell r="D319">
            <v>600000</v>
          </cell>
          <cell r="E319" t="str">
            <v>P</v>
          </cell>
          <cell r="G319" t="str">
            <v>0004570</v>
          </cell>
          <cell r="I319" t="str">
            <v>CON2004</v>
          </cell>
          <cell r="J319" t="str">
            <v>USD</v>
          </cell>
          <cell r="L319">
            <v>2006</v>
          </cell>
          <cell r="M319">
            <v>12</v>
          </cell>
        </row>
        <row r="320">
          <cell r="A320" t="str">
            <v>POWER</v>
          </cell>
          <cell r="B320" t="str">
            <v>BUDGETS</v>
          </cell>
          <cell r="D320">
            <v>600000</v>
          </cell>
          <cell r="E320" t="str">
            <v>P</v>
          </cell>
          <cell r="G320" t="str">
            <v>0004570</v>
          </cell>
          <cell r="I320" t="str">
            <v>CON2004</v>
          </cell>
          <cell r="J320" t="str">
            <v>USD</v>
          </cell>
          <cell r="L320">
            <v>2007</v>
          </cell>
          <cell r="M320">
            <v>12</v>
          </cell>
        </row>
        <row r="321">
          <cell r="A321" t="str">
            <v>POWER</v>
          </cell>
          <cell r="B321" t="str">
            <v>BUDGETS</v>
          </cell>
          <cell r="D321">
            <v>600000</v>
          </cell>
          <cell r="E321" t="str">
            <v>P</v>
          </cell>
          <cell r="G321" t="str">
            <v>0004570</v>
          </cell>
          <cell r="I321" t="str">
            <v>CON2004</v>
          </cell>
          <cell r="J321" t="str">
            <v>USD</v>
          </cell>
          <cell r="L321">
            <v>2008</v>
          </cell>
          <cell r="M321">
            <v>12</v>
          </cell>
        </row>
        <row r="322">
          <cell r="A322" t="str">
            <v>POWER</v>
          </cell>
          <cell r="B322" t="str">
            <v>BUDGETS</v>
          </cell>
          <cell r="D322">
            <v>600000</v>
          </cell>
          <cell r="E322" t="str">
            <v>P</v>
          </cell>
          <cell r="G322" t="str">
            <v>0001160</v>
          </cell>
          <cell r="I322" t="str">
            <v>CON2004</v>
          </cell>
          <cell r="J322" t="str">
            <v>USD</v>
          </cell>
          <cell r="L322">
            <v>2003</v>
          </cell>
          <cell r="M322">
            <v>12</v>
          </cell>
        </row>
        <row r="323">
          <cell r="A323" t="str">
            <v>POWER</v>
          </cell>
          <cell r="B323" t="str">
            <v>BUDGETS</v>
          </cell>
          <cell r="D323">
            <v>600000</v>
          </cell>
          <cell r="E323" t="str">
            <v>P</v>
          </cell>
          <cell r="G323" t="str">
            <v>0001160</v>
          </cell>
          <cell r="I323" t="str">
            <v>CON2004</v>
          </cell>
          <cell r="J323" t="str">
            <v>USD</v>
          </cell>
          <cell r="L323">
            <v>2004</v>
          </cell>
          <cell r="M323">
            <v>12</v>
          </cell>
        </row>
        <row r="324">
          <cell r="A324" t="str">
            <v>POWER</v>
          </cell>
          <cell r="B324" t="str">
            <v>BUDGETS</v>
          </cell>
          <cell r="D324">
            <v>600000</v>
          </cell>
          <cell r="E324" t="str">
            <v>P</v>
          </cell>
          <cell r="G324" t="str">
            <v>0001160</v>
          </cell>
          <cell r="I324" t="str">
            <v>CON2004</v>
          </cell>
          <cell r="J324" t="str">
            <v>USD</v>
          </cell>
          <cell r="L324">
            <v>2005</v>
          </cell>
          <cell r="M324">
            <v>12</v>
          </cell>
        </row>
        <row r="325">
          <cell r="A325" t="str">
            <v>POWER</v>
          </cell>
          <cell r="B325" t="str">
            <v>BUDGETS</v>
          </cell>
          <cell r="D325">
            <v>600000</v>
          </cell>
          <cell r="E325" t="str">
            <v>P</v>
          </cell>
          <cell r="G325" t="str">
            <v>0001160</v>
          </cell>
          <cell r="I325" t="str">
            <v>CON2004</v>
          </cell>
          <cell r="J325" t="str">
            <v>USD</v>
          </cell>
          <cell r="L325">
            <v>2006</v>
          </cell>
          <cell r="M325">
            <v>12</v>
          </cell>
        </row>
        <row r="326">
          <cell r="A326" t="str">
            <v>POWER</v>
          </cell>
          <cell r="B326" t="str">
            <v>BUDGETS</v>
          </cell>
          <cell r="D326">
            <v>600000</v>
          </cell>
          <cell r="E326" t="str">
            <v>P</v>
          </cell>
          <cell r="G326" t="str">
            <v>0001160</v>
          </cell>
          <cell r="I326" t="str">
            <v>CON2004</v>
          </cell>
          <cell r="J326" t="str">
            <v>USD</v>
          </cell>
          <cell r="L326">
            <v>2007</v>
          </cell>
          <cell r="M326">
            <v>12</v>
          </cell>
        </row>
        <row r="327">
          <cell r="A327" t="str">
            <v>POWER</v>
          </cell>
          <cell r="B327" t="str">
            <v>BUDGETS</v>
          </cell>
          <cell r="D327">
            <v>600000</v>
          </cell>
          <cell r="E327" t="str">
            <v>P</v>
          </cell>
          <cell r="G327" t="str">
            <v>0001160</v>
          </cell>
          <cell r="I327" t="str">
            <v>CON2004</v>
          </cell>
          <cell r="J327" t="str">
            <v>USD</v>
          </cell>
          <cell r="L327">
            <v>2008</v>
          </cell>
          <cell r="M327">
            <v>12</v>
          </cell>
        </row>
        <row r="328">
          <cell r="A328" t="str">
            <v>POWER</v>
          </cell>
          <cell r="B328" t="str">
            <v>BUDGETS</v>
          </cell>
          <cell r="D328">
            <v>600000</v>
          </cell>
          <cell r="E328" t="str">
            <v>P</v>
          </cell>
          <cell r="G328" t="str">
            <v>0001162</v>
          </cell>
          <cell r="I328" t="str">
            <v>CON2004</v>
          </cell>
          <cell r="J328" t="str">
            <v>USD</v>
          </cell>
          <cell r="L328">
            <v>2003</v>
          </cell>
          <cell r="M328">
            <v>12</v>
          </cell>
        </row>
        <row r="329">
          <cell r="A329" t="str">
            <v>POWER</v>
          </cell>
          <cell r="B329" t="str">
            <v>BUDGETS</v>
          </cell>
          <cell r="D329">
            <v>600000</v>
          </cell>
          <cell r="E329" t="str">
            <v>P</v>
          </cell>
          <cell r="G329" t="str">
            <v>0001162</v>
          </cell>
          <cell r="I329" t="str">
            <v>CON2004</v>
          </cell>
          <cell r="J329" t="str">
            <v>USD</v>
          </cell>
          <cell r="L329">
            <v>2004</v>
          </cell>
          <cell r="M329">
            <v>12</v>
          </cell>
        </row>
        <row r="330">
          <cell r="A330" t="str">
            <v>POWER</v>
          </cell>
          <cell r="B330" t="str">
            <v>BUDGETS</v>
          </cell>
          <cell r="D330">
            <v>600000</v>
          </cell>
          <cell r="E330" t="str">
            <v>P</v>
          </cell>
          <cell r="G330" t="str">
            <v>0001162</v>
          </cell>
          <cell r="I330" t="str">
            <v>CON2004</v>
          </cell>
          <cell r="J330" t="str">
            <v>USD</v>
          </cell>
          <cell r="L330">
            <v>2005</v>
          </cell>
          <cell r="M330">
            <v>12</v>
          </cell>
        </row>
        <row r="331">
          <cell r="A331" t="str">
            <v>POWER</v>
          </cell>
          <cell r="B331" t="str">
            <v>BUDGETS</v>
          </cell>
          <cell r="D331">
            <v>600000</v>
          </cell>
          <cell r="E331" t="str">
            <v>P</v>
          </cell>
          <cell r="G331" t="str">
            <v>0001162</v>
          </cell>
          <cell r="I331" t="str">
            <v>CON2004</v>
          </cell>
          <cell r="J331" t="str">
            <v>USD</v>
          </cell>
          <cell r="L331">
            <v>2006</v>
          </cell>
          <cell r="M331">
            <v>12</v>
          </cell>
        </row>
        <row r="332">
          <cell r="A332" t="str">
            <v>POWER</v>
          </cell>
          <cell r="B332" t="str">
            <v>BUDGETS</v>
          </cell>
          <cell r="D332">
            <v>600000</v>
          </cell>
          <cell r="E332" t="str">
            <v>P</v>
          </cell>
          <cell r="G332" t="str">
            <v>0001162</v>
          </cell>
          <cell r="I332" t="str">
            <v>CON2004</v>
          </cell>
          <cell r="J332" t="str">
            <v>USD</v>
          </cell>
          <cell r="L332">
            <v>2007</v>
          </cell>
          <cell r="M332">
            <v>12</v>
          </cell>
        </row>
        <row r="333">
          <cell r="A333" t="str">
            <v>POWER</v>
          </cell>
          <cell r="B333" t="str">
            <v>BUDGETS</v>
          </cell>
          <cell r="D333">
            <v>600000</v>
          </cell>
          <cell r="E333" t="str">
            <v>P</v>
          </cell>
          <cell r="G333" t="str">
            <v>0001162</v>
          </cell>
          <cell r="I333" t="str">
            <v>CON2004</v>
          </cell>
          <cell r="J333" t="str">
            <v>USD</v>
          </cell>
          <cell r="L333">
            <v>2008</v>
          </cell>
          <cell r="M333">
            <v>12</v>
          </cell>
        </row>
        <row r="334">
          <cell r="A334" t="str">
            <v>POWER</v>
          </cell>
          <cell r="B334" t="str">
            <v>BUDGETS</v>
          </cell>
          <cell r="D334">
            <v>600000</v>
          </cell>
          <cell r="E334" t="str">
            <v>P</v>
          </cell>
          <cell r="G334" t="str">
            <v>0001164</v>
          </cell>
          <cell r="I334" t="str">
            <v>CON2004</v>
          </cell>
          <cell r="J334" t="str">
            <v>USD</v>
          </cell>
          <cell r="L334">
            <v>2003</v>
          </cell>
          <cell r="M334">
            <v>12</v>
          </cell>
        </row>
        <row r="335">
          <cell r="A335" t="str">
            <v>POWER</v>
          </cell>
          <cell r="B335" t="str">
            <v>BUDGETS</v>
          </cell>
          <cell r="D335">
            <v>600000</v>
          </cell>
          <cell r="E335" t="str">
            <v>P</v>
          </cell>
          <cell r="G335" t="str">
            <v>0001164</v>
          </cell>
          <cell r="I335" t="str">
            <v>CON2004</v>
          </cell>
          <cell r="J335" t="str">
            <v>USD</v>
          </cell>
          <cell r="L335">
            <v>2004</v>
          </cell>
          <cell r="M335">
            <v>12</v>
          </cell>
        </row>
        <row r="336">
          <cell r="A336" t="str">
            <v>POWER</v>
          </cell>
          <cell r="B336" t="str">
            <v>BUDGETS</v>
          </cell>
          <cell r="D336">
            <v>600000</v>
          </cell>
          <cell r="E336" t="str">
            <v>P</v>
          </cell>
          <cell r="G336" t="str">
            <v>0001164</v>
          </cell>
          <cell r="I336" t="str">
            <v>CON2004</v>
          </cell>
          <cell r="J336" t="str">
            <v>USD</v>
          </cell>
          <cell r="L336">
            <v>2005</v>
          </cell>
          <cell r="M336">
            <v>12</v>
          </cell>
        </row>
        <row r="337">
          <cell r="A337" t="str">
            <v>POWER</v>
          </cell>
          <cell r="B337" t="str">
            <v>BUDGETS</v>
          </cell>
          <cell r="D337">
            <v>600000</v>
          </cell>
          <cell r="E337" t="str">
            <v>P</v>
          </cell>
          <cell r="G337" t="str">
            <v>0001164</v>
          </cell>
          <cell r="I337" t="str">
            <v>CON2004</v>
          </cell>
          <cell r="J337" t="str">
            <v>USD</v>
          </cell>
          <cell r="L337">
            <v>2006</v>
          </cell>
          <cell r="M337">
            <v>12</v>
          </cell>
        </row>
        <row r="338">
          <cell r="A338" t="str">
            <v>POWER</v>
          </cell>
          <cell r="B338" t="str">
            <v>BUDGETS</v>
          </cell>
          <cell r="D338">
            <v>600000</v>
          </cell>
          <cell r="E338" t="str">
            <v>P</v>
          </cell>
          <cell r="G338" t="str">
            <v>0001164</v>
          </cell>
          <cell r="I338" t="str">
            <v>CON2004</v>
          </cell>
          <cell r="J338" t="str">
            <v>USD</v>
          </cell>
          <cell r="L338">
            <v>2007</v>
          </cell>
          <cell r="M338">
            <v>12</v>
          </cell>
        </row>
        <row r="339">
          <cell r="A339" t="str">
            <v>POWER</v>
          </cell>
          <cell r="B339" t="str">
            <v>BUDGETS</v>
          </cell>
          <cell r="D339">
            <v>600000</v>
          </cell>
          <cell r="E339" t="str">
            <v>P</v>
          </cell>
          <cell r="G339" t="str">
            <v>0001164</v>
          </cell>
          <cell r="I339" t="str">
            <v>CON2004</v>
          </cell>
          <cell r="J339" t="str">
            <v>USD</v>
          </cell>
          <cell r="L339">
            <v>2008</v>
          </cell>
          <cell r="M339">
            <v>12</v>
          </cell>
        </row>
        <row r="340">
          <cell r="A340" t="str">
            <v>POWER</v>
          </cell>
          <cell r="B340" t="str">
            <v>BUDGETS</v>
          </cell>
          <cell r="D340">
            <v>600515</v>
          </cell>
          <cell r="E340" t="str">
            <v>P</v>
          </cell>
          <cell r="G340" t="str">
            <v>0001169</v>
          </cell>
          <cell r="I340" t="str">
            <v>CON2004</v>
          </cell>
          <cell r="J340" t="str">
            <v>USD</v>
          </cell>
          <cell r="L340">
            <v>2003</v>
          </cell>
          <cell r="M340">
            <v>12</v>
          </cell>
        </row>
        <row r="341">
          <cell r="A341" t="str">
            <v>POWER</v>
          </cell>
          <cell r="B341" t="str">
            <v>BUDGETS</v>
          </cell>
          <cell r="D341">
            <v>600515</v>
          </cell>
          <cell r="E341" t="str">
            <v>P</v>
          </cell>
          <cell r="G341" t="str">
            <v>0001169</v>
          </cell>
          <cell r="I341" t="str">
            <v>CON2004</v>
          </cell>
          <cell r="J341" t="str">
            <v>USD</v>
          </cell>
          <cell r="L341">
            <v>2004</v>
          </cell>
          <cell r="M341">
            <v>12</v>
          </cell>
        </row>
        <row r="342">
          <cell r="A342" t="str">
            <v>POWER</v>
          </cell>
          <cell r="B342" t="str">
            <v>BUDGETS</v>
          </cell>
          <cell r="D342">
            <v>600515</v>
          </cell>
          <cell r="E342" t="str">
            <v>P</v>
          </cell>
          <cell r="G342" t="str">
            <v>0001169</v>
          </cell>
          <cell r="I342" t="str">
            <v>CON2004</v>
          </cell>
          <cell r="J342" t="str">
            <v>USD</v>
          </cell>
          <cell r="L342">
            <v>2005</v>
          </cell>
          <cell r="M342">
            <v>12</v>
          </cell>
        </row>
        <row r="343">
          <cell r="A343" t="str">
            <v>POWER</v>
          </cell>
          <cell r="B343" t="str">
            <v>BUDGETS</v>
          </cell>
          <cell r="D343">
            <v>600515</v>
          </cell>
          <cell r="E343" t="str">
            <v>P</v>
          </cell>
          <cell r="G343" t="str">
            <v>0001169</v>
          </cell>
          <cell r="I343" t="str">
            <v>CON2004</v>
          </cell>
          <cell r="J343" t="str">
            <v>USD</v>
          </cell>
          <cell r="L343">
            <v>2006</v>
          </cell>
          <cell r="M343">
            <v>12</v>
          </cell>
        </row>
        <row r="344">
          <cell r="A344" t="str">
            <v>POWER</v>
          </cell>
          <cell r="B344" t="str">
            <v>BUDGETS</v>
          </cell>
          <cell r="D344">
            <v>600515</v>
          </cell>
          <cell r="E344" t="str">
            <v>P</v>
          </cell>
          <cell r="G344" t="str">
            <v>0001169</v>
          </cell>
          <cell r="I344" t="str">
            <v>CON2004</v>
          </cell>
          <cell r="J344" t="str">
            <v>USD</v>
          </cell>
          <cell r="L344">
            <v>2007</v>
          </cell>
          <cell r="M344">
            <v>12</v>
          </cell>
        </row>
        <row r="345">
          <cell r="A345" t="str">
            <v>POWER</v>
          </cell>
          <cell r="B345" t="str">
            <v>BUDGETS</v>
          </cell>
          <cell r="D345">
            <v>600515</v>
          </cell>
          <cell r="E345" t="str">
            <v>P</v>
          </cell>
          <cell r="G345" t="str">
            <v>0001169</v>
          </cell>
          <cell r="I345" t="str">
            <v>CON2004</v>
          </cell>
          <cell r="J345" t="str">
            <v>USD</v>
          </cell>
          <cell r="L345">
            <v>2008</v>
          </cell>
          <cell r="M345">
            <v>12</v>
          </cell>
        </row>
        <row r="346">
          <cell r="A346" t="str">
            <v>POWER</v>
          </cell>
          <cell r="B346" t="str">
            <v>BUDGETS</v>
          </cell>
          <cell r="D346">
            <v>600520</v>
          </cell>
          <cell r="E346" t="str">
            <v>P</v>
          </cell>
          <cell r="G346" t="str">
            <v>0001172</v>
          </cell>
          <cell r="I346" t="str">
            <v>CON2004</v>
          </cell>
          <cell r="J346" t="str">
            <v>USD</v>
          </cell>
          <cell r="L346">
            <v>2003</v>
          </cell>
          <cell r="M346">
            <v>12</v>
          </cell>
        </row>
        <row r="347">
          <cell r="A347" t="str">
            <v>POWER</v>
          </cell>
          <cell r="B347" t="str">
            <v>BUDGETS</v>
          </cell>
          <cell r="D347">
            <v>600520</v>
          </cell>
          <cell r="E347" t="str">
            <v>P</v>
          </cell>
          <cell r="G347" t="str">
            <v>0001172</v>
          </cell>
          <cell r="I347" t="str">
            <v>CON2004</v>
          </cell>
          <cell r="J347" t="str">
            <v>USD</v>
          </cell>
          <cell r="L347">
            <v>2004</v>
          </cell>
          <cell r="M347">
            <v>12</v>
          </cell>
        </row>
        <row r="348">
          <cell r="A348" t="str">
            <v>POWER</v>
          </cell>
          <cell r="B348" t="str">
            <v>BUDGETS</v>
          </cell>
          <cell r="D348">
            <v>600520</v>
          </cell>
          <cell r="E348" t="str">
            <v>P</v>
          </cell>
          <cell r="G348" t="str">
            <v>0001172</v>
          </cell>
          <cell r="I348" t="str">
            <v>CON2004</v>
          </cell>
          <cell r="J348" t="str">
            <v>USD</v>
          </cell>
          <cell r="L348">
            <v>2005</v>
          </cell>
          <cell r="M348">
            <v>12</v>
          </cell>
        </row>
        <row r="349">
          <cell r="A349" t="str">
            <v>POWER</v>
          </cell>
          <cell r="B349" t="str">
            <v>BUDGETS</v>
          </cell>
          <cell r="D349">
            <v>600520</v>
          </cell>
          <cell r="E349" t="str">
            <v>P</v>
          </cell>
          <cell r="G349" t="str">
            <v>0001172</v>
          </cell>
          <cell r="I349" t="str">
            <v>CON2004</v>
          </cell>
          <cell r="J349" t="str">
            <v>USD</v>
          </cell>
          <cell r="L349">
            <v>2006</v>
          </cell>
          <cell r="M349">
            <v>12</v>
          </cell>
        </row>
        <row r="350">
          <cell r="A350" t="str">
            <v>POWER</v>
          </cell>
          <cell r="B350" t="str">
            <v>BUDGETS</v>
          </cell>
          <cell r="D350">
            <v>600520</v>
          </cell>
          <cell r="E350" t="str">
            <v>P</v>
          </cell>
          <cell r="G350" t="str">
            <v>0001172</v>
          </cell>
          <cell r="I350" t="str">
            <v>CON2004</v>
          </cell>
          <cell r="J350" t="str">
            <v>USD</v>
          </cell>
          <cell r="L350">
            <v>2007</v>
          </cell>
          <cell r="M350">
            <v>12</v>
          </cell>
        </row>
        <row r="351">
          <cell r="A351" t="str">
            <v>POWER</v>
          </cell>
          <cell r="B351" t="str">
            <v>BUDGETS</v>
          </cell>
          <cell r="D351">
            <v>600520</v>
          </cell>
          <cell r="E351" t="str">
            <v>P</v>
          </cell>
          <cell r="G351" t="str">
            <v>0001172</v>
          </cell>
          <cell r="I351" t="str">
            <v>CON2004</v>
          </cell>
          <cell r="J351" t="str">
            <v>USD</v>
          </cell>
          <cell r="L351">
            <v>2008</v>
          </cell>
          <cell r="M351">
            <v>12</v>
          </cell>
        </row>
        <row r="352">
          <cell r="A352" t="str">
            <v>POWER</v>
          </cell>
          <cell r="B352" t="str">
            <v>BUDGETS</v>
          </cell>
          <cell r="D352">
            <v>600000</v>
          </cell>
          <cell r="E352" t="str">
            <v>P</v>
          </cell>
          <cell r="G352" t="str">
            <v>0001063</v>
          </cell>
          <cell r="I352" t="str">
            <v>CON2004</v>
          </cell>
          <cell r="J352" t="str">
            <v>USD</v>
          </cell>
          <cell r="L352">
            <v>2003</v>
          </cell>
          <cell r="M352">
            <v>12</v>
          </cell>
        </row>
        <row r="353">
          <cell r="A353" t="str">
            <v>POWER</v>
          </cell>
          <cell r="B353" t="str">
            <v>BUDGETS</v>
          </cell>
          <cell r="D353">
            <v>600000</v>
          </cell>
          <cell r="E353" t="str">
            <v>P</v>
          </cell>
          <cell r="G353" t="str">
            <v>0001063</v>
          </cell>
          <cell r="I353" t="str">
            <v>CON2004</v>
          </cell>
          <cell r="J353" t="str">
            <v>USD</v>
          </cell>
          <cell r="L353">
            <v>2004</v>
          </cell>
          <cell r="M353">
            <v>12</v>
          </cell>
        </row>
        <row r="354">
          <cell r="A354" t="str">
            <v>POWER</v>
          </cell>
          <cell r="B354" t="str">
            <v>BUDGETS</v>
          </cell>
          <cell r="D354">
            <v>600000</v>
          </cell>
          <cell r="E354" t="str">
            <v>P</v>
          </cell>
          <cell r="G354" t="str">
            <v>0001063</v>
          </cell>
          <cell r="I354" t="str">
            <v>CON2004</v>
          </cell>
          <cell r="J354" t="str">
            <v>USD</v>
          </cell>
          <cell r="L354">
            <v>2005</v>
          </cell>
          <cell r="M354">
            <v>12</v>
          </cell>
        </row>
        <row r="355">
          <cell r="A355" t="str">
            <v>POWER</v>
          </cell>
          <cell r="B355" t="str">
            <v>BUDGETS</v>
          </cell>
          <cell r="D355">
            <v>600000</v>
          </cell>
          <cell r="E355" t="str">
            <v>P</v>
          </cell>
          <cell r="G355" t="str">
            <v>0001063</v>
          </cell>
          <cell r="I355" t="str">
            <v>CON2004</v>
          </cell>
          <cell r="J355" t="str">
            <v>USD</v>
          </cell>
          <cell r="L355">
            <v>2006</v>
          </cell>
          <cell r="M355">
            <v>12</v>
          </cell>
        </row>
        <row r="356">
          <cell r="A356" t="str">
            <v>POWER</v>
          </cell>
          <cell r="B356" t="str">
            <v>BUDGETS</v>
          </cell>
          <cell r="D356">
            <v>600000</v>
          </cell>
          <cell r="E356" t="str">
            <v>P</v>
          </cell>
          <cell r="G356" t="str">
            <v>0001063</v>
          </cell>
          <cell r="I356" t="str">
            <v>CON2004</v>
          </cell>
          <cell r="J356" t="str">
            <v>USD</v>
          </cell>
          <cell r="L356">
            <v>2007</v>
          </cell>
          <cell r="M356">
            <v>12</v>
          </cell>
        </row>
        <row r="357">
          <cell r="A357" t="str">
            <v>POWER</v>
          </cell>
          <cell r="B357" t="str">
            <v>BUDGETS</v>
          </cell>
          <cell r="D357">
            <v>600000</v>
          </cell>
          <cell r="E357" t="str">
            <v>P</v>
          </cell>
          <cell r="G357" t="str">
            <v>0001063</v>
          </cell>
          <cell r="I357" t="str">
            <v>CON2004</v>
          </cell>
          <cell r="J357" t="str">
            <v>USD</v>
          </cell>
          <cell r="L357">
            <v>2008</v>
          </cell>
          <cell r="M357">
            <v>12</v>
          </cell>
        </row>
        <row r="358">
          <cell r="A358" t="str">
            <v>POWER</v>
          </cell>
          <cell r="B358" t="str">
            <v>BUDGETS</v>
          </cell>
          <cell r="D358">
            <v>600000</v>
          </cell>
          <cell r="E358" t="str">
            <v>P</v>
          </cell>
          <cell r="G358" t="str">
            <v>0001673</v>
          </cell>
          <cell r="I358" t="str">
            <v>CON2004</v>
          </cell>
          <cell r="J358" t="str">
            <v>USD</v>
          </cell>
          <cell r="L358">
            <v>2003</v>
          </cell>
          <cell r="M358">
            <v>12</v>
          </cell>
        </row>
        <row r="359">
          <cell r="A359" t="str">
            <v>POWER</v>
          </cell>
          <cell r="B359" t="str">
            <v>BUDGETS</v>
          </cell>
          <cell r="D359">
            <v>600000</v>
          </cell>
          <cell r="E359" t="str">
            <v>P</v>
          </cell>
          <cell r="G359" t="str">
            <v>0001673</v>
          </cell>
          <cell r="I359" t="str">
            <v>CON2004</v>
          </cell>
          <cell r="J359" t="str">
            <v>USD</v>
          </cell>
          <cell r="L359">
            <v>2004</v>
          </cell>
          <cell r="M359">
            <v>12</v>
          </cell>
        </row>
        <row r="360">
          <cell r="A360" t="str">
            <v>POWER</v>
          </cell>
          <cell r="B360" t="str">
            <v>BUDGETS</v>
          </cell>
          <cell r="D360">
            <v>600000</v>
          </cell>
          <cell r="E360" t="str">
            <v>P</v>
          </cell>
          <cell r="G360" t="str">
            <v>0001673</v>
          </cell>
          <cell r="I360" t="str">
            <v>CON2004</v>
          </cell>
          <cell r="J360" t="str">
            <v>USD</v>
          </cell>
          <cell r="L360">
            <v>2005</v>
          </cell>
          <cell r="M360">
            <v>12</v>
          </cell>
        </row>
        <row r="361">
          <cell r="A361" t="str">
            <v>POWER</v>
          </cell>
          <cell r="B361" t="str">
            <v>BUDGETS</v>
          </cell>
          <cell r="D361">
            <v>600000</v>
          </cell>
          <cell r="E361" t="str">
            <v>P</v>
          </cell>
          <cell r="G361" t="str">
            <v>0001673</v>
          </cell>
          <cell r="I361" t="str">
            <v>CON2004</v>
          </cell>
          <cell r="J361" t="str">
            <v>USD</v>
          </cell>
          <cell r="L361">
            <v>2006</v>
          </cell>
          <cell r="M361">
            <v>12</v>
          </cell>
        </row>
        <row r="362">
          <cell r="A362" t="str">
            <v>POWER</v>
          </cell>
          <cell r="B362" t="str">
            <v>BUDGETS</v>
          </cell>
          <cell r="D362">
            <v>600000</v>
          </cell>
          <cell r="E362" t="str">
            <v>P</v>
          </cell>
          <cell r="G362" t="str">
            <v>0001673</v>
          </cell>
          <cell r="I362" t="str">
            <v>CON2004</v>
          </cell>
          <cell r="J362" t="str">
            <v>USD</v>
          </cell>
          <cell r="L362">
            <v>2007</v>
          </cell>
          <cell r="M362">
            <v>12</v>
          </cell>
        </row>
        <row r="363">
          <cell r="A363" t="str">
            <v>POWER</v>
          </cell>
          <cell r="B363" t="str">
            <v>BUDGETS</v>
          </cell>
          <cell r="D363">
            <v>600000</v>
          </cell>
          <cell r="E363" t="str">
            <v>P</v>
          </cell>
          <cell r="G363" t="str">
            <v>0001673</v>
          </cell>
          <cell r="I363" t="str">
            <v>CON2004</v>
          </cell>
          <cell r="J363" t="str">
            <v>USD</v>
          </cell>
          <cell r="L363">
            <v>2008</v>
          </cell>
          <cell r="M363">
            <v>12</v>
          </cell>
        </row>
        <row r="364">
          <cell r="A364" t="str">
            <v>POWER</v>
          </cell>
          <cell r="B364" t="str">
            <v>BUDGETS</v>
          </cell>
          <cell r="D364">
            <v>600000</v>
          </cell>
          <cell r="E364" t="str">
            <v>P</v>
          </cell>
          <cell r="G364" t="str">
            <v>0004144</v>
          </cell>
          <cell r="I364" t="str">
            <v>CON2004</v>
          </cell>
          <cell r="J364" t="str">
            <v>USD</v>
          </cell>
          <cell r="L364">
            <v>2003</v>
          </cell>
          <cell r="M364">
            <v>12</v>
          </cell>
        </row>
        <row r="365">
          <cell r="A365" t="str">
            <v>POWER</v>
          </cell>
          <cell r="B365" t="str">
            <v>BUDGETS</v>
          </cell>
          <cell r="D365">
            <v>600000</v>
          </cell>
          <cell r="E365" t="str">
            <v>P</v>
          </cell>
          <cell r="G365" t="str">
            <v>0004144</v>
          </cell>
          <cell r="I365" t="str">
            <v>CON2004</v>
          </cell>
          <cell r="J365" t="str">
            <v>USD</v>
          </cell>
          <cell r="L365">
            <v>2004</v>
          </cell>
          <cell r="M365">
            <v>12</v>
          </cell>
        </row>
        <row r="366">
          <cell r="A366" t="str">
            <v>POWER</v>
          </cell>
          <cell r="B366" t="str">
            <v>BUDGETS</v>
          </cell>
          <cell r="D366">
            <v>600000</v>
          </cell>
          <cell r="E366" t="str">
            <v>P</v>
          </cell>
          <cell r="G366" t="str">
            <v>0004144</v>
          </cell>
          <cell r="I366" t="str">
            <v>CON2004</v>
          </cell>
          <cell r="J366" t="str">
            <v>USD</v>
          </cell>
          <cell r="L366">
            <v>2005</v>
          </cell>
          <cell r="M366">
            <v>12</v>
          </cell>
        </row>
        <row r="367">
          <cell r="A367" t="str">
            <v>POWER</v>
          </cell>
          <cell r="B367" t="str">
            <v>BUDGETS</v>
          </cell>
          <cell r="D367">
            <v>600000</v>
          </cell>
          <cell r="E367" t="str">
            <v>P</v>
          </cell>
          <cell r="G367" t="str">
            <v>0004144</v>
          </cell>
          <cell r="I367" t="str">
            <v>CON2004</v>
          </cell>
          <cell r="J367" t="str">
            <v>USD</v>
          </cell>
          <cell r="L367">
            <v>2006</v>
          </cell>
          <cell r="M367">
            <v>12</v>
          </cell>
        </row>
        <row r="368">
          <cell r="A368" t="str">
            <v>POWER</v>
          </cell>
          <cell r="B368" t="str">
            <v>BUDGETS</v>
          </cell>
          <cell r="D368">
            <v>600000</v>
          </cell>
          <cell r="E368" t="str">
            <v>P</v>
          </cell>
          <cell r="G368" t="str">
            <v>0004144</v>
          </cell>
          <cell r="I368" t="str">
            <v>CON2004</v>
          </cell>
          <cell r="J368" t="str">
            <v>USD</v>
          </cell>
          <cell r="L368">
            <v>2007</v>
          </cell>
          <cell r="M368">
            <v>12</v>
          </cell>
        </row>
        <row r="369">
          <cell r="A369" t="str">
            <v>POWER</v>
          </cell>
          <cell r="B369" t="str">
            <v>BUDGETS</v>
          </cell>
          <cell r="D369">
            <v>600000</v>
          </cell>
          <cell r="E369" t="str">
            <v>P</v>
          </cell>
          <cell r="G369" t="str">
            <v>0004144</v>
          </cell>
          <cell r="I369" t="str">
            <v>CON2004</v>
          </cell>
          <cell r="J369" t="str">
            <v>USD</v>
          </cell>
          <cell r="L369">
            <v>2008</v>
          </cell>
          <cell r="M369">
            <v>12</v>
          </cell>
        </row>
        <row r="370">
          <cell r="A370" t="str">
            <v>POWER</v>
          </cell>
          <cell r="B370" t="str">
            <v>BUDGETS</v>
          </cell>
          <cell r="D370">
            <v>600000</v>
          </cell>
          <cell r="E370" t="str">
            <v>P</v>
          </cell>
          <cell r="G370" t="str">
            <v>0001067</v>
          </cell>
          <cell r="I370" t="str">
            <v>CON2004</v>
          </cell>
          <cell r="J370" t="str">
            <v>USD</v>
          </cell>
          <cell r="L370">
            <v>2003</v>
          </cell>
          <cell r="M370">
            <v>12</v>
          </cell>
        </row>
        <row r="371">
          <cell r="A371" t="str">
            <v>POWER</v>
          </cell>
          <cell r="B371" t="str">
            <v>BUDGETS</v>
          </cell>
          <cell r="D371">
            <v>600000</v>
          </cell>
          <cell r="E371" t="str">
            <v>P</v>
          </cell>
          <cell r="G371" t="str">
            <v>0001067</v>
          </cell>
          <cell r="I371" t="str">
            <v>CON2004</v>
          </cell>
          <cell r="J371" t="str">
            <v>USD</v>
          </cell>
          <cell r="L371">
            <v>2004</v>
          </cell>
          <cell r="M371">
            <v>12</v>
          </cell>
        </row>
        <row r="372">
          <cell r="A372" t="str">
            <v>POWER</v>
          </cell>
          <cell r="B372" t="str">
            <v>BUDGETS</v>
          </cell>
          <cell r="D372">
            <v>600000</v>
          </cell>
          <cell r="E372" t="str">
            <v>P</v>
          </cell>
          <cell r="G372" t="str">
            <v>0001067</v>
          </cell>
          <cell r="I372" t="str">
            <v>CON2004</v>
          </cell>
          <cell r="J372" t="str">
            <v>USD</v>
          </cell>
          <cell r="L372">
            <v>2005</v>
          </cell>
          <cell r="M372">
            <v>12</v>
          </cell>
        </row>
        <row r="373">
          <cell r="A373" t="str">
            <v>POWER</v>
          </cell>
          <cell r="B373" t="str">
            <v>BUDGETS</v>
          </cell>
          <cell r="D373">
            <v>600000</v>
          </cell>
          <cell r="E373" t="str">
            <v>P</v>
          </cell>
          <cell r="G373" t="str">
            <v>0001067</v>
          </cell>
          <cell r="I373" t="str">
            <v>CON2004</v>
          </cell>
          <cell r="J373" t="str">
            <v>USD</v>
          </cell>
          <cell r="L373">
            <v>2006</v>
          </cell>
          <cell r="M373">
            <v>12</v>
          </cell>
        </row>
        <row r="374">
          <cell r="A374" t="str">
            <v>POWER</v>
          </cell>
          <cell r="B374" t="str">
            <v>BUDGETS</v>
          </cell>
          <cell r="D374">
            <v>600000</v>
          </cell>
          <cell r="E374" t="str">
            <v>P</v>
          </cell>
          <cell r="G374" t="str">
            <v>0001067</v>
          </cell>
          <cell r="I374" t="str">
            <v>CON2004</v>
          </cell>
          <cell r="J374" t="str">
            <v>USD</v>
          </cell>
          <cell r="L374">
            <v>2007</v>
          </cell>
          <cell r="M374">
            <v>12</v>
          </cell>
        </row>
        <row r="375">
          <cell r="A375" t="str">
            <v>POWER</v>
          </cell>
          <cell r="B375" t="str">
            <v>BUDGETS</v>
          </cell>
          <cell r="D375">
            <v>600000</v>
          </cell>
          <cell r="E375" t="str">
            <v>P</v>
          </cell>
          <cell r="G375" t="str">
            <v>0001067</v>
          </cell>
          <cell r="I375" t="str">
            <v>CON2004</v>
          </cell>
          <cell r="J375" t="str">
            <v>USD</v>
          </cell>
          <cell r="L375">
            <v>2008</v>
          </cell>
          <cell r="M375">
            <v>12</v>
          </cell>
        </row>
        <row r="376">
          <cell r="A376" t="str">
            <v>POWER</v>
          </cell>
          <cell r="B376" t="str">
            <v>BUDGETS</v>
          </cell>
          <cell r="D376">
            <v>600000</v>
          </cell>
          <cell r="E376" t="str">
            <v>P</v>
          </cell>
          <cell r="G376" t="str">
            <v>0001073</v>
          </cell>
          <cell r="I376" t="str">
            <v>CON2004</v>
          </cell>
          <cell r="J376" t="str">
            <v>USD</v>
          </cell>
          <cell r="L376">
            <v>2003</v>
          </cell>
          <cell r="M376">
            <v>12</v>
          </cell>
        </row>
        <row r="377">
          <cell r="A377" t="str">
            <v>POWER</v>
          </cell>
          <cell r="B377" t="str">
            <v>BUDGETS</v>
          </cell>
          <cell r="D377">
            <v>600000</v>
          </cell>
          <cell r="E377" t="str">
            <v>P</v>
          </cell>
          <cell r="G377" t="str">
            <v>0001073</v>
          </cell>
          <cell r="I377" t="str">
            <v>CON2004</v>
          </cell>
          <cell r="J377" t="str">
            <v>USD</v>
          </cell>
          <cell r="L377">
            <v>2004</v>
          </cell>
          <cell r="M377">
            <v>12</v>
          </cell>
        </row>
        <row r="378">
          <cell r="A378" t="str">
            <v>POWER</v>
          </cell>
          <cell r="B378" t="str">
            <v>BUDGETS</v>
          </cell>
          <cell r="D378">
            <v>600000</v>
          </cell>
          <cell r="E378" t="str">
            <v>P</v>
          </cell>
          <cell r="G378" t="str">
            <v>0001073</v>
          </cell>
          <cell r="I378" t="str">
            <v>CON2004</v>
          </cell>
          <cell r="J378" t="str">
            <v>USD</v>
          </cell>
          <cell r="L378">
            <v>2005</v>
          </cell>
          <cell r="M378">
            <v>12</v>
          </cell>
        </row>
        <row r="379">
          <cell r="A379" t="str">
            <v>POWER</v>
          </cell>
          <cell r="B379" t="str">
            <v>BUDGETS</v>
          </cell>
          <cell r="D379">
            <v>600000</v>
          </cell>
          <cell r="E379" t="str">
            <v>P</v>
          </cell>
          <cell r="G379" t="str">
            <v>0001073</v>
          </cell>
          <cell r="I379" t="str">
            <v>CON2004</v>
          </cell>
          <cell r="J379" t="str">
            <v>USD</v>
          </cell>
          <cell r="L379">
            <v>2006</v>
          </cell>
          <cell r="M379">
            <v>12</v>
          </cell>
        </row>
        <row r="380">
          <cell r="A380" t="str">
            <v>POWER</v>
          </cell>
          <cell r="B380" t="str">
            <v>BUDGETS</v>
          </cell>
          <cell r="D380">
            <v>600000</v>
          </cell>
          <cell r="E380" t="str">
            <v>P</v>
          </cell>
          <cell r="G380" t="str">
            <v>0001073</v>
          </cell>
          <cell r="I380" t="str">
            <v>CON2004</v>
          </cell>
          <cell r="J380" t="str">
            <v>USD</v>
          </cell>
          <cell r="L380">
            <v>2007</v>
          </cell>
          <cell r="M380">
            <v>12</v>
          </cell>
        </row>
        <row r="381">
          <cell r="A381" t="str">
            <v>POWER</v>
          </cell>
          <cell r="B381" t="str">
            <v>BUDGETS</v>
          </cell>
          <cell r="D381">
            <v>600000</v>
          </cell>
          <cell r="E381" t="str">
            <v>P</v>
          </cell>
          <cell r="G381" t="str">
            <v>0001073</v>
          </cell>
          <cell r="I381" t="str">
            <v>CON2004</v>
          </cell>
          <cell r="J381" t="str">
            <v>USD</v>
          </cell>
          <cell r="L381">
            <v>2008</v>
          </cell>
          <cell r="M381">
            <v>12</v>
          </cell>
        </row>
        <row r="382">
          <cell r="A382" t="str">
            <v>POWER</v>
          </cell>
          <cell r="B382" t="str">
            <v>BUDGETS</v>
          </cell>
          <cell r="D382">
            <v>600000</v>
          </cell>
          <cell r="E382" t="str">
            <v>P</v>
          </cell>
          <cell r="G382" t="str">
            <v>0001075</v>
          </cell>
          <cell r="I382" t="str">
            <v>CON2004</v>
          </cell>
          <cell r="J382" t="str">
            <v>USD</v>
          </cell>
          <cell r="L382">
            <v>2003</v>
          </cell>
          <cell r="M382">
            <v>12</v>
          </cell>
        </row>
        <row r="383">
          <cell r="A383" t="str">
            <v>POWER</v>
          </cell>
          <cell r="B383" t="str">
            <v>BUDGETS</v>
          </cell>
          <cell r="D383">
            <v>600000</v>
          </cell>
          <cell r="E383" t="str">
            <v>P</v>
          </cell>
          <cell r="G383" t="str">
            <v>0001075</v>
          </cell>
          <cell r="I383" t="str">
            <v>CON2004</v>
          </cell>
          <cell r="J383" t="str">
            <v>USD</v>
          </cell>
          <cell r="L383">
            <v>2004</v>
          </cell>
          <cell r="M383">
            <v>12</v>
          </cell>
        </row>
        <row r="384">
          <cell r="A384" t="str">
            <v>POWER</v>
          </cell>
          <cell r="B384" t="str">
            <v>BUDGETS</v>
          </cell>
          <cell r="D384">
            <v>600000</v>
          </cell>
          <cell r="E384" t="str">
            <v>P</v>
          </cell>
          <cell r="G384" t="str">
            <v>0001075</v>
          </cell>
          <cell r="I384" t="str">
            <v>CON2004</v>
          </cell>
          <cell r="J384" t="str">
            <v>USD</v>
          </cell>
          <cell r="L384">
            <v>2005</v>
          </cell>
          <cell r="M384">
            <v>12</v>
          </cell>
        </row>
        <row r="385">
          <cell r="A385" t="str">
            <v>POWER</v>
          </cell>
          <cell r="B385" t="str">
            <v>BUDGETS</v>
          </cell>
          <cell r="D385">
            <v>600000</v>
          </cell>
          <cell r="E385" t="str">
            <v>P</v>
          </cell>
          <cell r="G385" t="str">
            <v>0001075</v>
          </cell>
          <cell r="I385" t="str">
            <v>CON2004</v>
          </cell>
          <cell r="J385" t="str">
            <v>USD</v>
          </cell>
          <cell r="L385">
            <v>2006</v>
          </cell>
          <cell r="M385">
            <v>12</v>
          </cell>
        </row>
        <row r="386">
          <cell r="A386" t="str">
            <v>POWER</v>
          </cell>
          <cell r="B386" t="str">
            <v>BUDGETS</v>
          </cell>
          <cell r="D386">
            <v>600000</v>
          </cell>
          <cell r="E386" t="str">
            <v>P</v>
          </cell>
          <cell r="G386" t="str">
            <v>0001075</v>
          </cell>
          <cell r="I386" t="str">
            <v>CON2004</v>
          </cell>
          <cell r="J386" t="str">
            <v>USD</v>
          </cell>
          <cell r="L386">
            <v>2007</v>
          </cell>
          <cell r="M386">
            <v>12</v>
          </cell>
        </row>
        <row r="387">
          <cell r="A387" t="str">
            <v>POWER</v>
          </cell>
          <cell r="B387" t="str">
            <v>BUDGETS</v>
          </cell>
          <cell r="D387">
            <v>600000</v>
          </cell>
          <cell r="E387" t="str">
            <v>P</v>
          </cell>
          <cell r="G387" t="str">
            <v>0001075</v>
          </cell>
          <cell r="I387" t="str">
            <v>CON2004</v>
          </cell>
          <cell r="J387" t="str">
            <v>USD</v>
          </cell>
          <cell r="L387">
            <v>2008</v>
          </cell>
          <cell r="M387">
            <v>12</v>
          </cell>
        </row>
        <row r="388">
          <cell r="A388" t="str">
            <v>POWER</v>
          </cell>
          <cell r="B388" t="str">
            <v>BUDGETS</v>
          </cell>
          <cell r="D388">
            <v>600000</v>
          </cell>
          <cell r="E388" t="str">
            <v>P</v>
          </cell>
          <cell r="G388" t="str">
            <v>0001081</v>
          </cell>
          <cell r="I388" t="str">
            <v>CON2004</v>
          </cell>
          <cell r="J388" t="str">
            <v>USD</v>
          </cell>
          <cell r="L388">
            <v>2003</v>
          </cell>
          <cell r="M388">
            <v>12</v>
          </cell>
        </row>
        <row r="389">
          <cell r="A389" t="str">
            <v>POWER</v>
          </cell>
          <cell r="B389" t="str">
            <v>BUDGETS</v>
          </cell>
          <cell r="D389">
            <v>600000</v>
          </cell>
          <cell r="E389" t="str">
            <v>P</v>
          </cell>
          <cell r="G389" t="str">
            <v>0001081</v>
          </cell>
          <cell r="I389" t="str">
            <v>CON2004</v>
          </cell>
          <cell r="J389" t="str">
            <v>USD</v>
          </cell>
          <cell r="L389">
            <v>2004</v>
          </cell>
          <cell r="M389">
            <v>12</v>
          </cell>
        </row>
        <row r="390">
          <cell r="A390" t="str">
            <v>POWER</v>
          </cell>
          <cell r="B390" t="str">
            <v>BUDGETS</v>
          </cell>
          <cell r="D390">
            <v>600000</v>
          </cell>
          <cell r="E390" t="str">
            <v>P</v>
          </cell>
          <cell r="G390" t="str">
            <v>0001081</v>
          </cell>
          <cell r="I390" t="str">
            <v>CON2004</v>
          </cell>
          <cell r="J390" t="str">
            <v>USD</v>
          </cell>
          <cell r="L390">
            <v>2005</v>
          </cell>
          <cell r="M390">
            <v>12</v>
          </cell>
        </row>
        <row r="391">
          <cell r="A391" t="str">
            <v>POWER</v>
          </cell>
          <cell r="B391" t="str">
            <v>BUDGETS</v>
          </cell>
          <cell r="D391">
            <v>600000</v>
          </cell>
          <cell r="E391" t="str">
            <v>P</v>
          </cell>
          <cell r="G391" t="str">
            <v>0001081</v>
          </cell>
          <cell r="I391" t="str">
            <v>CON2004</v>
          </cell>
          <cell r="J391" t="str">
            <v>USD</v>
          </cell>
          <cell r="L391">
            <v>2006</v>
          </cell>
          <cell r="M391">
            <v>12</v>
          </cell>
        </row>
        <row r="392">
          <cell r="A392" t="str">
            <v>POWER</v>
          </cell>
          <cell r="B392" t="str">
            <v>BUDGETS</v>
          </cell>
          <cell r="D392">
            <v>600000</v>
          </cell>
          <cell r="E392" t="str">
            <v>P</v>
          </cell>
          <cell r="G392" t="str">
            <v>0001081</v>
          </cell>
          <cell r="I392" t="str">
            <v>CON2004</v>
          </cell>
          <cell r="J392" t="str">
            <v>USD</v>
          </cell>
          <cell r="L392">
            <v>2007</v>
          </cell>
          <cell r="M392">
            <v>12</v>
          </cell>
        </row>
        <row r="393">
          <cell r="A393" t="str">
            <v>POWER</v>
          </cell>
          <cell r="B393" t="str">
            <v>BUDGETS</v>
          </cell>
          <cell r="D393">
            <v>600000</v>
          </cell>
          <cell r="E393" t="str">
            <v>P</v>
          </cell>
          <cell r="G393" t="str">
            <v>0001081</v>
          </cell>
          <cell r="I393" t="str">
            <v>CON2004</v>
          </cell>
          <cell r="J393" t="str">
            <v>USD</v>
          </cell>
          <cell r="L393">
            <v>2008</v>
          </cell>
          <cell r="M393">
            <v>12</v>
          </cell>
        </row>
        <row r="394">
          <cell r="A394" t="str">
            <v>POWER</v>
          </cell>
          <cell r="B394" t="str">
            <v>BUDGETS</v>
          </cell>
          <cell r="D394">
            <v>600000</v>
          </cell>
          <cell r="E394" t="str">
            <v>P</v>
          </cell>
          <cell r="G394" t="str">
            <v>0001079</v>
          </cell>
          <cell r="I394" t="str">
            <v>CON2004</v>
          </cell>
          <cell r="J394" t="str">
            <v>USD</v>
          </cell>
          <cell r="L394">
            <v>2003</v>
          </cell>
          <cell r="M394">
            <v>12</v>
          </cell>
        </row>
        <row r="395">
          <cell r="A395" t="str">
            <v>POWER</v>
          </cell>
          <cell r="B395" t="str">
            <v>BUDGETS</v>
          </cell>
          <cell r="D395">
            <v>600000</v>
          </cell>
          <cell r="E395" t="str">
            <v>P</v>
          </cell>
          <cell r="G395" t="str">
            <v>0001079</v>
          </cell>
          <cell r="I395" t="str">
            <v>CON2004</v>
          </cell>
          <cell r="J395" t="str">
            <v>USD</v>
          </cell>
          <cell r="L395">
            <v>2004</v>
          </cell>
          <cell r="M395">
            <v>12</v>
          </cell>
        </row>
        <row r="396">
          <cell r="A396" t="str">
            <v>POWER</v>
          </cell>
          <cell r="B396" t="str">
            <v>BUDGETS</v>
          </cell>
          <cell r="D396">
            <v>600000</v>
          </cell>
          <cell r="E396" t="str">
            <v>P</v>
          </cell>
          <cell r="G396" t="str">
            <v>0001079</v>
          </cell>
          <cell r="I396" t="str">
            <v>CON2004</v>
          </cell>
          <cell r="J396" t="str">
            <v>USD</v>
          </cell>
          <cell r="L396">
            <v>2005</v>
          </cell>
          <cell r="M396">
            <v>12</v>
          </cell>
        </row>
        <row r="397">
          <cell r="A397" t="str">
            <v>POWER</v>
          </cell>
          <cell r="B397" t="str">
            <v>BUDGETS</v>
          </cell>
          <cell r="D397">
            <v>600000</v>
          </cell>
          <cell r="E397" t="str">
            <v>P</v>
          </cell>
          <cell r="G397" t="str">
            <v>0001079</v>
          </cell>
          <cell r="I397" t="str">
            <v>CON2004</v>
          </cell>
          <cell r="J397" t="str">
            <v>USD</v>
          </cell>
          <cell r="L397">
            <v>2006</v>
          </cell>
          <cell r="M397">
            <v>12</v>
          </cell>
        </row>
        <row r="398">
          <cell r="A398" t="str">
            <v>POWER</v>
          </cell>
          <cell r="B398" t="str">
            <v>BUDGETS</v>
          </cell>
          <cell r="D398">
            <v>600000</v>
          </cell>
          <cell r="E398" t="str">
            <v>P</v>
          </cell>
          <cell r="G398" t="str">
            <v>0001079</v>
          </cell>
          <cell r="I398" t="str">
            <v>CON2004</v>
          </cell>
          <cell r="J398" t="str">
            <v>USD</v>
          </cell>
          <cell r="L398">
            <v>2007</v>
          </cell>
          <cell r="M398">
            <v>12</v>
          </cell>
        </row>
        <row r="399">
          <cell r="A399" t="str">
            <v>POWER</v>
          </cell>
          <cell r="B399" t="str">
            <v>BUDGETS</v>
          </cell>
          <cell r="D399">
            <v>600000</v>
          </cell>
          <cell r="E399" t="str">
            <v>P</v>
          </cell>
          <cell r="G399" t="str">
            <v>0001079</v>
          </cell>
          <cell r="I399" t="str">
            <v>CON2004</v>
          </cell>
          <cell r="J399" t="str">
            <v>USD</v>
          </cell>
          <cell r="L399">
            <v>2008</v>
          </cell>
          <cell r="M399">
            <v>12</v>
          </cell>
        </row>
        <row r="400">
          <cell r="A400" t="str">
            <v>POWER</v>
          </cell>
          <cell r="B400" t="str">
            <v>BUDGETS</v>
          </cell>
          <cell r="D400">
            <v>600000</v>
          </cell>
          <cell r="E400" t="str">
            <v>P</v>
          </cell>
          <cell r="G400" t="str">
            <v>0004128</v>
          </cell>
          <cell r="I400" t="str">
            <v>CON2004</v>
          </cell>
          <cell r="J400" t="str">
            <v>USD</v>
          </cell>
          <cell r="L400">
            <v>2003</v>
          </cell>
          <cell r="M400">
            <v>12</v>
          </cell>
        </row>
        <row r="401">
          <cell r="A401" t="str">
            <v>POWER</v>
          </cell>
          <cell r="B401" t="str">
            <v>BUDGETS</v>
          </cell>
          <cell r="D401">
            <v>600000</v>
          </cell>
          <cell r="E401" t="str">
            <v>P</v>
          </cell>
          <cell r="G401" t="str">
            <v>0004128</v>
          </cell>
          <cell r="I401" t="str">
            <v>CON2004</v>
          </cell>
          <cell r="J401" t="str">
            <v>USD</v>
          </cell>
          <cell r="L401">
            <v>2004</v>
          </cell>
          <cell r="M401">
            <v>12</v>
          </cell>
        </row>
        <row r="402">
          <cell r="A402" t="str">
            <v>POWER</v>
          </cell>
          <cell r="B402" t="str">
            <v>BUDGETS</v>
          </cell>
          <cell r="D402">
            <v>600000</v>
          </cell>
          <cell r="E402" t="str">
            <v>P</v>
          </cell>
          <cell r="G402" t="str">
            <v>0004128</v>
          </cell>
          <cell r="I402" t="str">
            <v>CON2004</v>
          </cell>
          <cell r="J402" t="str">
            <v>USD</v>
          </cell>
          <cell r="L402">
            <v>2005</v>
          </cell>
          <cell r="M402">
            <v>12</v>
          </cell>
        </row>
        <row r="403">
          <cell r="A403" t="str">
            <v>POWER</v>
          </cell>
          <cell r="B403" t="str">
            <v>BUDGETS</v>
          </cell>
          <cell r="D403">
            <v>600000</v>
          </cell>
          <cell r="E403" t="str">
            <v>P</v>
          </cell>
          <cell r="G403" t="str">
            <v>0004128</v>
          </cell>
          <cell r="I403" t="str">
            <v>CON2004</v>
          </cell>
          <cell r="J403" t="str">
            <v>USD</v>
          </cell>
          <cell r="L403">
            <v>2006</v>
          </cell>
          <cell r="M403">
            <v>12</v>
          </cell>
        </row>
        <row r="404">
          <cell r="A404" t="str">
            <v>POWER</v>
          </cell>
          <cell r="B404" t="str">
            <v>BUDGETS</v>
          </cell>
          <cell r="D404">
            <v>600000</v>
          </cell>
          <cell r="E404" t="str">
            <v>P</v>
          </cell>
          <cell r="G404" t="str">
            <v>0004128</v>
          </cell>
          <cell r="I404" t="str">
            <v>CON2004</v>
          </cell>
          <cell r="J404" t="str">
            <v>USD</v>
          </cell>
          <cell r="L404">
            <v>2007</v>
          </cell>
          <cell r="M404">
            <v>12</v>
          </cell>
        </row>
        <row r="405">
          <cell r="A405" t="str">
            <v>POWER</v>
          </cell>
          <cell r="B405" t="str">
            <v>BUDGETS</v>
          </cell>
          <cell r="D405">
            <v>600000</v>
          </cell>
          <cell r="E405" t="str">
            <v>P</v>
          </cell>
          <cell r="G405" t="str">
            <v>0004128</v>
          </cell>
          <cell r="I405" t="str">
            <v>CON2004</v>
          </cell>
          <cell r="J405" t="str">
            <v>USD</v>
          </cell>
          <cell r="L405">
            <v>2008</v>
          </cell>
          <cell r="M405">
            <v>12</v>
          </cell>
        </row>
        <row r="406">
          <cell r="A406" t="str">
            <v>POWER</v>
          </cell>
          <cell r="B406" t="str">
            <v>BUDGETS</v>
          </cell>
          <cell r="D406">
            <v>600000</v>
          </cell>
          <cell r="E406" t="str">
            <v>P</v>
          </cell>
          <cell r="G406" t="str">
            <v>0001083</v>
          </cell>
          <cell r="I406" t="str">
            <v>CON2004</v>
          </cell>
          <cell r="J406" t="str">
            <v>USD</v>
          </cell>
          <cell r="L406">
            <v>2003</v>
          </cell>
          <cell r="M406">
            <v>12</v>
          </cell>
        </row>
        <row r="407">
          <cell r="A407" t="str">
            <v>POWER</v>
          </cell>
          <cell r="B407" t="str">
            <v>BUDGETS</v>
          </cell>
          <cell r="D407">
            <v>600000</v>
          </cell>
          <cell r="E407" t="str">
            <v>P</v>
          </cell>
          <cell r="G407" t="str">
            <v>0001083</v>
          </cell>
          <cell r="I407" t="str">
            <v>CON2004</v>
          </cell>
          <cell r="J407" t="str">
            <v>USD</v>
          </cell>
          <cell r="L407">
            <v>2004</v>
          </cell>
          <cell r="M407">
            <v>12</v>
          </cell>
        </row>
        <row r="408">
          <cell r="A408" t="str">
            <v>POWER</v>
          </cell>
          <cell r="B408" t="str">
            <v>BUDGETS</v>
          </cell>
          <cell r="D408">
            <v>600000</v>
          </cell>
          <cell r="E408" t="str">
            <v>P</v>
          </cell>
          <cell r="G408" t="str">
            <v>0001083</v>
          </cell>
          <cell r="I408" t="str">
            <v>CON2004</v>
          </cell>
          <cell r="J408" t="str">
            <v>USD</v>
          </cell>
          <cell r="L408">
            <v>2005</v>
          </cell>
          <cell r="M408">
            <v>12</v>
          </cell>
        </row>
        <row r="409">
          <cell r="A409" t="str">
            <v>POWER</v>
          </cell>
          <cell r="B409" t="str">
            <v>BUDGETS</v>
          </cell>
          <cell r="D409">
            <v>600000</v>
          </cell>
          <cell r="E409" t="str">
            <v>P</v>
          </cell>
          <cell r="G409" t="str">
            <v>0001083</v>
          </cell>
          <cell r="I409" t="str">
            <v>CON2004</v>
          </cell>
          <cell r="J409" t="str">
            <v>USD</v>
          </cell>
          <cell r="L409">
            <v>2006</v>
          </cell>
          <cell r="M409">
            <v>12</v>
          </cell>
        </row>
        <row r="410">
          <cell r="A410" t="str">
            <v>POWER</v>
          </cell>
          <cell r="B410" t="str">
            <v>BUDGETS</v>
          </cell>
          <cell r="D410">
            <v>600000</v>
          </cell>
          <cell r="E410" t="str">
            <v>P</v>
          </cell>
          <cell r="G410" t="str">
            <v>0001083</v>
          </cell>
          <cell r="I410" t="str">
            <v>CON2004</v>
          </cell>
          <cell r="J410" t="str">
            <v>USD</v>
          </cell>
          <cell r="L410">
            <v>2007</v>
          </cell>
          <cell r="M410">
            <v>12</v>
          </cell>
        </row>
        <row r="411">
          <cell r="A411" t="str">
            <v>POWER</v>
          </cell>
          <cell r="B411" t="str">
            <v>BUDGETS</v>
          </cell>
          <cell r="D411">
            <v>600000</v>
          </cell>
          <cell r="E411" t="str">
            <v>P</v>
          </cell>
          <cell r="G411" t="str">
            <v>0001083</v>
          </cell>
          <cell r="I411" t="str">
            <v>CON2004</v>
          </cell>
          <cell r="J411" t="str">
            <v>USD</v>
          </cell>
          <cell r="L411">
            <v>2008</v>
          </cell>
          <cell r="M411">
            <v>12</v>
          </cell>
        </row>
        <row r="412">
          <cell r="A412" t="str">
            <v>POWER</v>
          </cell>
          <cell r="B412" t="str">
            <v>BUDGETS</v>
          </cell>
          <cell r="D412">
            <v>600000</v>
          </cell>
          <cell r="E412" t="str">
            <v>P</v>
          </cell>
          <cell r="G412" t="str">
            <v>0001085</v>
          </cell>
          <cell r="I412" t="str">
            <v>CON2004</v>
          </cell>
          <cell r="J412" t="str">
            <v>USD</v>
          </cell>
          <cell r="L412">
            <v>2003</v>
          </cell>
          <cell r="M412">
            <v>12</v>
          </cell>
        </row>
        <row r="413">
          <cell r="A413" t="str">
            <v>POWER</v>
          </cell>
          <cell r="B413" t="str">
            <v>BUDGETS</v>
          </cell>
          <cell r="D413">
            <v>600000</v>
          </cell>
          <cell r="E413" t="str">
            <v>P</v>
          </cell>
          <cell r="G413" t="str">
            <v>0001085</v>
          </cell>
          <cell r="I413" t="str">
            <v>CON2004</v>
          </cell>
          <cell r="J413" t="str">
            <v>USD</v>
          </cell>
          <cell r="L413">
            <v>2004</v>
          </cell>
          <cell r="M413">
            <v>12</v>
          </cell>
        </row>
        <row r="414">
          <cell r="A414" t="str">
            <v>POWER</v>
          </cell>
          <cell r="B414" t="str">
            <v>BUDGETS</v>
          </cell>
          <cell r="D414">
            <v>600000</v>
          </cell>
          <cell r="E414" t="str">
            <v>P</v>
          </cell>
          <cell r="G414" t="str">
            <v>0001085</v>
          </cell>
          <cell r="I414" t="str">
            <v>CON2004</v>
          </cell>
          <cell r="J414" t="str">
            <v>USD</v>
          </cell>
          <cell r="L414">
            <v>2005</v>
          </cell>
          <cell r="M414">
            <v>12</v>
          </cell>
        </row>
        <row r="415">
          <cell r="A415" t="str">
            <v>POWER</v>
          </cell>
          <cell r="B415" t="str">
            <v>BUDGETS</v>
          </cell>
          <cell r="D415">
            <v>600000</v>
          </cell>
          <cell r="E415" t="str">
            <v>P</v>
          </cell>
          <cell r="G415" t="str">
            <v>0001085</v>
          </cell>
          <cell r="I415" t="str">
            <v>CON2004</v>
          </cell>
          <cell r="J415" t="str">
            <v>USD</v>
          </cell>
          <cell r="L415">
            <v>2006</v>
          </cell>
          <cell r="M415">
            <v>12</v>
          </cell>
        </row>
        <row r="416">
          <cell r="A416" t="str">
            <v>POWER</v>
          </cell>
          <cell r="B416" t="str">
            <v>BUDGETS</v>
          </cell>
          <cell r="D416">
            <v>600000</v>
          </cell>
          <cell r="E416" t="str">
            <v>P</v>
          </cell>
          <cell r="G416" t="str">
            <v>0001085</v>
          </cell>
          <cell r="I416" t="str">
            <v>CON2004</v>
          </cell>
          <cell r="J416" t="str">
            <v>USD</v>
          </cell>
          <cell r="L416">
            <v>2007</v>
          </cell>
          <cell r="M416">
            <v>12</v>
          </cell>
        </row>
        <row r="417">
          <cell r="A417" t="str">
            <v>POWER</v>
          </cell>
          <cell r="B417" t="str">
            <v>BUDGETS</v>
          </cell>
          <cell r="D417">
            <v>600000</v>
          </cell>
          <cell r="E417" t="str">
            <v>P</v>
          </cell>
          <cell r="G417" t="str">
            <v>0001085</v>
          </cell>
          <cell r="I417" t="str">
            <v>CON2004</v>
          </cell>
          <cell r="J417" t="str">
            <v>USD</v>
          </cell>
          <cell r="L417">
            <v>2008</v>
          </cell>
          <cell r="M417">
            <v>12</v>
          </cell>
        </row>
        <row r="418">
          <cell r="A418" t="str">
            <v>POWER</v>
          </cell>
          <cell r="B418" t="str">
            <v>BUDGETS</v>
          </cell>
          <cell r="D418">
            <v>730001</v>
          </cell>
          <cell r="E418" t="str">
            <v>P</v>
          </cell>
          <cell r="I418" t="str">
            <v>CON2004</v>
          </cell>
          <cell r="J418" t="str">
            <v>USD</v>
          </cell>
          <cell r="L418">
            <v>2003</v>
          </cell>
          <cell r="M418">
            <v>12</v>
          </cell>
        </row>
        <row r="419">
          <cell r="A419" t="str">
            <v>POWER</v>
          </cell>
          <cell r="B419" t="str">
            <v>BUDGETS</v>
          </cell>
          <cell r="D419">
            <v>730001</v>
          </cell>
          <cell r="E419" t="str">
            <v>P</v>
          </cell>
          <cell r="I419" t="str">
            <v>CON2004</v>
          </cell>
          <cell r="J419" t="str">
            <v>USD</v>
          </cell>
          <cell r="L419">
            <v>2004</v>
          </cell>
          <cell r="M419">
            <v>12</v>
          </cell>
        </row>
        <row r="420">
          <cell r="A420" t="str">
            <v>POWER</v>
          </cell>
          <cell r="B420" t="str">
            <v>BUDGETS</v>
          </cell>
          <cell r="D420">
            <v>730001</v>
          </cell>
          <cell r="E420" t="str">
            <v>P</v>
          </cell>
          <cell r="I420" t="str">
            <v>CON2004</v>
          </cell>
          <cell r="J420" t="str">
            <v>USD</v>
          </cell>
          <cell r="L420">
            <v>2005</v>
          </cell>
          <cell r="M420">
            <v>12</v>
          </cell>
        </row>
        <row r="421">
          <cell r="A421" t="str">
            <v>POWER</v>
          </cell>
          <cell r="B421" t="str">
            <v>BUDGETS</v>
          </cell>
          <cell r="D421">
            <v>730001</v>
          </cell>
          <cell r="E421" t="str">
            <v>P</v>
          </cell>
          <cell r="I421" t="str">
            <v>CON2004</v>
          </cell>
          <cell r="J421" t="str">
            <v>USD</v>
          </cell>
          <cell r="L421">
            <v>2006</v>
          </cell>
          <cell r="M421">
            <v>12</v>
          </cell>
        </row>
        <row r="422">
          <cell r="A422" t="str">
            <v>POWER</v>
          </cell>
          <cell r="B422" t="str">
            <v>BUDGETS</v>
          </cell>
          <cell r="D422">
            <v>730001</v>
          </cell>
          <cell r="E422" t="str">
            <v>P</v>
          </cell>
          <cell r="I422" t="str">
            <v>CON2004</v>
          </cell>
          <cell r="J422" t="str">
            <v>USD</v>
          </cell>
          <cell r="L422">
            <v>2007</v>
          </cell>
          <cell r="M422">
            <v>12</v>
          </cell>
        </row>
        <row r="423">
          <cell r="A423" t="str">
            <v>POWER</v>
          </cell>
          <cell r="B423" t="str">
            <v>BUDGETS</v>
          </cell>
          <cell r="D423">
            <v>730001</v>
          </cell>
          <cell r="E423" t="str">
            <v>P</v>
          </cell>
          <cell r="I423" t="str">
            <v>CON2004</v>
          </cell>
          <cell r="J423" t="str">
            <v>USD</v>
          </cell>
          <cell r="L423">
            <v>2008</v>
          </cell>
          <cell r="M423">
            <v>12</v>
          </cell>
        </row>
        <row r="424">
          <cell r="A424" t="str">
            <v>POWER</v>
          </cell>
          <cell r="B424" t="str">
            <v>BUDGETS</v>
          </cell>
          <cell r="D424">
            <v>730010</v>
          </cell>
          <cell r="E424" t="str">
            <v>P</v>
          </cell>
          <cell r="I424" t="str">
            <v>CON2004</v>
          </cell>
          <cell r="J424" t="str">
            <v>USD</v>
          </cell>
          <cell r="L424">
            <v>2003</v>
          </cell>
          <cell r="M424">
            <v>12</v>
          </cell>
        </row>
        <row r="425">
          <cell r="A425" t="str">
            <v>POWER</v>
          </cell>
          <cell r="B425" t="str">
            <v>BUDGETS</v>
          </cell>
          <cell r="D425">
            <v>730010</v>
          </cell>
          <cell r="E425" t="str">
            <v>P</v>
          </cell>
          <cell r="I425" t="str">
            <v>CON2004</v>
          </cell>
          <cell r="J425" t="str">
            <v>USD</v>
          </cell>
          <cell r="L425">
            <v>2004</v>
          </cell>
          <cell r="M425">
            <v>12</v>
          </cell>
        </row>
        <row r="426">
          <cell r="A426" t="str">
            <v>POWER</v>
          </cell>
          <cell r="B426" t="str">
            <v>BUDGETS</v>
          </cell>
          <cell r="D426">
            <v>730010</v>
          </cell>
          <cell r="E426" t="str">
            <v>P</v>
          </cell>
          <cell r="I426" t="str">
            <v>CON2004</v>
          </cell>
          <cell r="J426" t="str">
            <v>USD</v>
          </cell>
          <cell r="L426">
            <v>2005</v>
          </cell>
          <cell r="M426">
            <v>12</v>
          </cell>
        </row>
        <row r="427">
          <cell r="A427" t="str">
            <v>POWER</v>
          </cell>
          <cell r="B427" t="str">
            <v>BUDGETS</v>
          </cell>
          <cell r="D427">
            <v>730010</v>
          </cell>
          <cell r="E427" t="str">
            <v>P</v>
          </cell>
          <cell r="I427" t="str">
            <v>CON2004</v>
          </cell>
          <cell r="J427" t="str">
            <v>USD</v>
          </cell>
          <cell r="L427">
            <v>2006</v>
          </cell>
          <cell r="M427">
            <v>12</v>
          </cell>
        </row>
        <row r="428">
          <cell r="A428" t="str">
            <v>POWER</v>
          </cell>
          <cell r="B428" t="str">
            <v>BUDGETS</v>
          </cell>
          <cell r="D428">
            <v>730010</v>
          </cell>
          <cell r="E428" t="str">
            <v>P</v>
          </cell>
          <cell r="I428" t="str">
            <v>CON2004</v>
          </cell>
          <cell r="J428" t="str">
            <v>USD</v>
          </cell>
          <cell r="L428">
            <v>2007</v>
          </cell>
          <cell r="M428">
            <v>12</v>
          </cell>
        </row>
        <row r="429">
          <cell r="A429" t="str">
            <v>POWER</v>
          </cell>
          <cell r="B429" t="str">
            <v>BUDGETS</v>
          </cell>
          <cell r="D429">
            <v>730010</v>
          </cell>
          <cell r="E429" t="str">
            <v>P</v>
          </cell>
          <cell r="I429" t="str">
            <v>CON2004</v>
          </cell>
          <cell r="J429" t="str">
            <v>USD</v>
          </cell>
          <cell r="L429">
            <v>2008</v>
          </cell>
          <cell r="M429">
            <v>12</v>
          </cell>
        </row>
        <row r="430">
          <cell r="A430" t="str">
            <v>POWER</v>
          </cell>
          <cell r="B430" t="str">
            <v>BUDGETS</v>
          </cell>
          <cell r="D430">
            <v>730011</v>
          </cell>
          <cell r="E430" t="str">
            <v>P</v>
          </cell>
          <cell r="I430" t="str">
            <v>CON2004</v>
          </cell>
          <cell r="J430" t="str">
            <v>USD</v>
          </cell>
          <cell r="L430">
            <v>2003</v>
          </cell>
          <cell r="M430">
            <v>12</v>
          </cell>
        </row>
        <row r="431">
          <cell r="A431" t="str">
            <v>POWER</v>
          </cell>
          <cell r="B431" t="str">
            <v>BUDGETS</v>
          </cell>
          <cell r="D431">
            <v>730011</v>
          </cell>
          <cell r="E431" t="str">
            <v>P</v>
          </cell>
          <cell r="I431" t="str">
            <v>CON2004</v>
          </cell>
          <cell r="J431" t="str">
            <v>USD</v>
          </cell>
          <cell r="L431">
            <v>2004</v>
          </cell>
          <cell r="M431">
            <v>12</v>
          </cell>
        </row>
        <row r="432">
          <cell r="A432" t="str">
            <v>POWER</v>
          </cell>
          <cell r="B432" t="str">
            <v>BUDGETS</v>
          </cell>
          <cell r="D432">
            <v>730011</v>
          </cell>
          <cell r="E432" t="str">
            <v>P</v>
          </cell>
          <cell r="I432" t="str">
            <v>CON2004</v>
          </cell>
          <cell r="J432" t="str">
            <v>USD</v>
          </cell>
          <cell r="L432">
            <v>2005</v>
          </cell>
          <cell r="M432">
            <v>12</v>
          </cell>
        </row>
        <row r="433">
          <cell r="A433" t="str">
            <v>POWER</v>
          </cell>
          <cell r="B433" t="str">
            <v>BUDGETS</v>
          </cell>
          <cell r="D433">
            <v>730011</v>
          </cell>
          <cell r="E433" t="str">
            <v>P</v>
          </cell>
          <cell r="I433" t="str">
            <v>CON2004</v>
          </cell>
          <cell r="J433" t="str">
            <v>USD</v>
          </cell>
          <cell r="L433">
            <v>2006</v>
          </cell>
          <cell r="M433">
            <v>12</v>
          </cell>
        </row>
        <row r="434">
          <cell r="A434" t="str">
            <v>POWER</v>
          </cell>
          <cell r="B434" t="str">
            <v>BUDGETS</v>
          </cell>
          <cell r="D434">
            <v>730011</v>
          </cell>
          <cell r="E434" t="str">
            <v>P</v>
          </cell>
          <cell r="I434" t="str">
            <v>CON2004</v>
          </cell>
          <cell r="J434" t="str">
            <v>USD</v>
          </cell>
          <cell r="L434">
            <v>2007</v>
          </cell>
          <cell r="M434">
            <v>12</v>
          </cell>
        </row>
        <row r="435">
          <cell r="A435" t="str">
            <v>POWER</v>
          </cell>
          <cell r="B435" t="str">
            <v>BUDGETS</v>
          </cell>
          <cell r="D435">
            <v>730011</v>
          </cell>
          <cell r="E435" t="str">
            <v>P</v>
          </cell>
          <cell r="I435" t="str">
            <v>CON2004</v>
          </cell>
          <cell r="J435" t="str">
            <v>USD</v>
          </cell>
          <cell r="L435">
            <v>2008</v>
          </cell>
          <cell r="M435">
            <v>12</v>
          </cell>
        </row>
        <row r="436">
          <cell r="A436" t="str">
            <v>POWER</v>
          </cell>
          <cell r="B436" t="str">
            <v>BUDGETS</v>
          </cell>
          <cell r="D436">
            <v>730012</v>
          </cell>
          <cell r="E436" t="str">
            <v>P</v>
          </cell>
          <cell r="I436" t="str">
            <v>CON2004</v>
          </cell>
          <cell r="J436" t="str">
            <v>USD</v>
          </cell>
          <cell r="L436">
            <v>2003</v>
          </cell>
          <cell r="M436">
            <v>12</v>
          </cell>
        </row>
        <row r="437">
          <cell r="A437" t="str">
            <v>POWER</v>
          </cell>
          <cell r="B437" t="str">
            <v>BUDGETS</v>
          </cell>
          <cell r="D437">
            <v>730012</v>
          </cell>
          <cell r="E437" t="str">
            <v>P</v>
          </cell>
          <cell r="I437" t="str">
            <v>CON2004</v>
          </cell>
          <cell r="J437" t="str">
            <v>USD</v>
          </cell>
          <cell r="L437">
            <v>2004</v>
          </cell>
          <cell r="M437">
            <v>12</v>
          </cell>
        </row>
        <row r="438">
          <cell r="A438" t="str">
            <v>POWER</v>
          </cell>
          <cell r="B438" t="str">
            <v>BUDGETS</v>
          </cell>
          <cell r="D438">
            <v>730012</v>
          </cell>
          <cell r="E438" t="str">
            <v>P</v>
          </cell>
          <cell r="I438" t="str">
            <v>CON2004</v>
          </cell>
          <cell r="J438" t="str">
            <v>USD</v>
          </cell>
          <cell r="L438">
            <v>2005</v>
          </cell>
          <cell r="M438">
            <v>12</v>
          </cell>
        </row>
        <row r="439">
          <cell r="A439" t="str">
            <v>POWER</v>
          </cell>
          <cell r="B439" t="str">
            <v>BUDGETS</v>
          </cell>
          <cell r="D439">
            <v>730012</v>
          </cell>
          <cell r="E439" t="str">
            <v>P</v>
          </cell>
          <cell r="I439" t="str">
            <v>CON2004</v>
          </cell>
          <cell r="J439" t="str">
            <v>USD</v>
          </cell>
          <cell r="L439">
            <v>2006</v>
          </cell>
          <cell r="M439">
            <v>12</v>
          </cell>
        </row>
        <row r="440">
          <cell r="A440" t="str">
            <v>POWER</v>
          </cell>
          <cell r="B440" t="str">
            <v>BUDGETS</v>
          </cell>
          <cell r="D440">
            <v>730012</v>
          </cell>
          <cell r="E440" t="str">
            <v>P</v>
          </cell>
          <cell r="I440" t="str">
            <v>CON2004</v>
          </cell>
          <cell r="J440" t="str">
            <v>USD</v>
          </cell>
          <cell r="L440">
            <v>2007</v>
          </cell>
          <cell r="M440">
            <v>12</v>
          </cell>
        </row>
        <row r="441">
          <cell r="A441" t="str">
            <v>POWER</v>
          </cell>
          <cell r="B441" t="str">
            <v>BUDGETS</v>
          </cell>
          <cell r="D441">
            <v>730012</v>
          </cell>
          <cell r="E441" t="str">
            <v>P</v>
          </cell>
          <cell r="I441" t="str">
            <v>CON2004</v>
          </cell>
          <cell r="J441" t="str">
            <v>USD</v>
          </cell>
          <cell r="L441">
            <v>2008</v>
          </cell>
          <cell r="M441">
            <v>12</v>
          </cell>
        </row>
        <row r="442">
          <cell r="A442" t="str">
            <v>POWER</v>
          </cell>
          <cell r="B442" t="str">
            <v>BUDGETS</v>
          </cell>
          <cell r="D442">
            <v>730013</v>
          </cell>
          <cell r="E442" t="str">
            <v>P</v>
          </cell>
          <cell r="I442" t="str">
            <v>CON2004</v>
          </cell>
          <cell r="J442" t="str">
            <v>USD</v>
          </cell>
          <cell r="L442">
            <v>2003</v>
          </cell>
          <cell r="M442">
            <v>12</v>
          </cell>
        </row>
        <row r="443">
          <cell r="A443" t="str">
            <v>POWER</v>
          </cell>
          <cell r="B443" t="str">
            <v>BUDGETS</v>
          </cell>
          <cell r="D443">
            <v>730013</v>
          </cell>
          <cell r="E443" t="str">
            <v>P</v>
          </cell>
          <cell r="I443" t="str">
            <v>CON2004</v>
          </cell>
          <cell r="J443" t="str">
            <v>USD</v>
          </cell>
          <cell r="L443">
            <v>2004</v>
          </cell>
          <cell r="M443">
            <v>12</v>
          </cell>
        </row>
        <row r="444">
          <cell r="A444" t="str">
            <v>POWER</v>
          </cell>
          <cell r="B444" t="str">
            <v>BUDGETS</v>
          </cell>
          <cell r="D444">
            <v>730013</v>
          </cell>
          <cell r="E444" t="str">
            <v>P</v>
          </cell>
          <cell r="I444" t="str">
            <v>CON2004</v>
          </cell>
          <cell r="J444" t="str">
            <v>USD</v>
          </cell>
          <cell r="L444">
            <v>2005</v>
          </cell>
          <cell r="M444">
            <v>12</v>
          </cell>
        </row>
        <row r="445">
          <cell r="A445" t="str">
            <v>POWER</v>
          </cell>
          <cell r="B445" t="str">
            <v>BUDGETS</v>
          </cell>
          <cell r="D445">
            <v>730013</v>
          </cell>
          <cell r="E445" t="str">
            <v>P</v>
          </cell>
          <cell r="I445" t="str">
            <v>CON2004</v>
          </cell>
          <cell r="J445" t="str">
            <v>USD</v>
          </cell>
          <cell r="L445">
            <v>2006</v>
          </cell>
          <cell r="M445">
            <v>12</v>
          </cell>
        </row>
        <row r="446">
          <cell r="A446" t="str">
            <v>POWER</v>
          </cell>
          <cell r="B446" t="str">
            <v>BUDGETS</v>
          </cell>
          <cell r="D446">
            <v>730013</v>
          </cell>
          <cell r="E446" t="str">
            <v>P</v>
          </cell>
          <cell r="I446" t="str">
            <v>CON2004</v>
          </cell>
          <cell r="J446" t="str">
            <v>USD</v>
          </cell>
          <cell r="L446">
            <v>2007</v>
          </cell>
          <cell r="M446">
            <v>12</v>
          </cell>
        </row>
        <row r="447">
          <cell r="A447" t="str">
            <v>POWER</v>
          </cell>
          <cell r="B447" t="str">
            <v>BUDGETS</v>
          </cell>
          <cell r="D447">
            <v>730013</v>
          </cell>
          <cell r="E447" t="str">
            <v>P</v>
          </cell>
          <cell r="I447" t="str">
            <v>CON2004</v>
          </cell>
          <cell r="J447" t="str">
            <v>USD</v>
          </cell>
          <cell r="L447">
            <v>2008</v>
          </cell>
          <cell r="M447">
            <v>12</v>
          </cell>
        </row>
        <row r="448">
          <cell r="A448" t="str">
            <v>POWER</v>
          </cell>
          <cell r="B448" t="str">
            <v>BUDGETS</v>
          </cell>
          <cell r="D448">
            <v>730014</v>
          </cell>
          <cell r="E448" t="str">
            <v>P</v>
          </cell>
          <cell r="I448" t="str">
            <v>CON2004</v>
          </cell>
          <cell r="J448" t="str">
            <v>USD</v>
          </cell>
          <cell r="L448">
            <v>2003</v>
          </cell>
          <cell r="M448">
            <v>12</v>
          </cell>
        </row>
        <row r="449">
          <cell r="A449" t="str">
            <v>POWER</v>
          </cell>
          <cell r="B449" t="str">
            <v>BUDGETS</v>
          </cell>
          <cell r="D449">
            <v>730014</v>
          </cell>
          <cell r="E449" t="str">
            <v>P</v>
          </cell>
          <cell r="I449" t="str">
            <v>CON2004</v>
          </cell>
          <cell r="J449" t="str">
            <v>USD</v>
          </cell>
          <cell r="L449">
            <v>2004</v>
          </cell>
          <cell r="M449">
            <v>12</v>
          </cell>
        </row>
        <row r="450">
          <cell r="A450" t="str">
            <v>POWER</v>
          </cell>
          <cell r="B450" t="str">
            <v>BUDGETS</v>
          </cell>
          <cell r="D450">
            <v>730014</v>
          </cell>
          <cell r="E450" t="str">
            <v>P</v>
          </cell>
          <cell r="I450" t="str">
            <v>CON2004</v>
          </cell>
          <cell r="J450" t="str">
            <v>USD</v>
          </cell>
          <cell r="L450">
            <v>2005</v>
          </cell>
          <cell r="M450">
            <v>12</v>
          </cell>
        </row>
        <row r="451">
          <cell r="A451" t="str">
            <v>POWER</v>
          </cell>
          <cell r="B451" t="str">
            <v>BUDGETS</v>
          </cell>
          <cell r="D451">
            <v>730014</v>
          </cell>
          <cell r="E451" t="str">
            <v>P</v>
          </cell>
          <cell r="I451" t="str">
            <v>CON2004</v>
          </cell>
          <cell r="J451" t="str">
            <v>USD</v>
          </cell>
          <cell r="L451">
            <v>2006</v>
          </cell>
          <cell r="M451">
            <v>12</v>
          </cell>
        </row>
        <row r="452">
          <cell r="A452" t="str">
            <v>POWER</v>
          </cell>
          <cell r="B452" t="str">
            <v>BUDGETS</v>
          </cell>
          <cell r="D452">
            <v>730014</v>
          </cell>
          <cell r="E452" t="str">
            <v>P</v>
          </cell>
          <cell r="I452" t="str">
            <v>CON2004</v>
          </cell>
          <cell r="J452" t="str">
            <v>USD</v>
          </cell>
          <cell r="L452">
            <v>2007</v>
          </cell>
          <cell r="M452">
            <v>12</v>
          </cell>
        </row>
        <row r="453">
          <cell r="A453" t="str">
            <v>POWER</v>
          </cell>
          <cell r="B453" t="str">
            <v>BUDGETS</v>
          </cell>
          <cell r="D453">
            <v>730014</v>
          </cell>
          <cell r="E453" t="str">
            <v>P</v>
          </cell>
          <cell r="I453" t="str">
            <v>CON2004</v>
          </cell>
          <cell r="J453" t="str">
            <v>USD</v>
          </cell>
          <cell r="L453">
            <v>2008</v>
          </cell>
          <cell r="M453">
            <v>12</v>
          </cell>
        </row>
        <row r="454">
          <cell r="A454" t="str">
            <v>POWER</v>
          </cell>
          <cell r="B454" t="str">
            <v>BUDGETS</v>
          </cell>
          <cell r="D454">
            <v>730015</v>
          </cell>
          <cell r="E454" t="str">
            <v>P</v>
          </cell>
          <cell r="I454" t="str">
            <v>CON2004</v>
          </cell>
          <cell r="J454" t="str">
            <v>USD</v>
          </cell>
          <cell r="L454">
            <v>2003</v>
          </cell>
          <cell r="M454">
            <v>12</v>
          </cell>
        </row>
        <row r="455">
          <cell r="A455" t="str">
            <v>POWER</v>
          </cell>
          <cell r="B455" t="str">
            <v>BUDGETS</v>
          </cell>
          <cell r="D455">
            <v>730015</v>
          </cell>
          <cell r="E455" t="str">
            <v>P</v>
          </cell>
          <cell r="I455" t="str">
            <v>CON2004</v>
          </cell>
          <cell r="J455" t="str">
            <v>USD</v>
          </cell>
          <cell r="L455">
            <v>2004</v>
          </cell>
          <cell r="M455">
            <v>12</v>
          </cell>
        </row>
        <row r="456">
          <cell r="A456" t="str">
            <v>POWER</v>
          </cell>
          <cell r="B456" t="str">
            <v>BUDGETS</v>
          </cell>
          <cell r="D456">
            <v>730015</v>
          </cell>
          <cell r="E456" t="str">
            <v>P</v>
          </cell>
          <cell r="I456" t="str">
            <v>CON2004</v>
          </cell>
          <cell r="J456" t="str">
            <v>USD</v>
          </cell>
          <cell r="L456">
            <v>2005</v>
          </cell>
          <cell r="M456">
            <v>12</v>
          </cell>
        </row>
        <row r="457">
          <cell r="A457" t="str">
            <v>POWER</v>
          </cell>
          <cell r="B457" t="str">
            <v>BUDGETS</v>
          </cell>
          <cell r="D457">
            <v>730015</v>
          </cell>
          <cell r="E457" t="str">
            <v>P</v>
          </cell>
          <cell r="I457" t="str">
            <v>CON2004</v>
          </cell>
          <cell r="J457" t="str">
            <v>USD</v>
          </cell>
          <cell r="L457">
            <v>2006</v>
          </cell>
          <cell r="M457">
            <v>12</v>
          </cell>
        </row>
        <row r="458">
          <cell r="A458" t="str">
            <v>POWER</v>
          </cell>
          <cell r="B458" t="str">
            <v>BUDGETS</v>
          </cell>
          <cell r="D458">
            <v>730015</v>
          </cell>
          <cell r="E458" t="str">
            <v>P</v>
          </cell>
          <cell r="I458" t="str">
            <v>CON2004</v>
          </cell>
          <cell r="J458" t="str">
            <v>USD</v>
          </cell>
          <cell r="L458">
            <v>2007</v>
          </cell>
          <cell r="M458">
            <v>12</v>
          </cell>
        </row>
        <row r="459">
          <cell r="A459" t="str">
            <v>POWER</v>
          </cell>
          <cell r="B459" t="str">
            <v>BUDGETS</v>
          </cell>
          <cell r="D459">
            <v>730015</v>
          </cell>
          <cell r="E459" t="str">
            <v>P</v>
          </cell>
          <cell r="I459" t="str">
            <v>CON2004</v>
          </cell>
          <cell r="J459" t="str">
            <v>USD</v>
          </cell>
          <cell r="L459">
            <v>2008</v>
          </cell>
          <cell r="M459">
            <v>12</v>
          </cell>
        </row>
        <row r="460">
          <cell r="A460" t="str">
            <v>POWER</v>
          </cell>
          <cell r="B460" t="str">
            <v>BUDGETS</v>
          </cell>
          <cell r="D460">
            <v>730017</v>
          </cell>
          <cell r="E460" t="str">
            <v>P</v>
          </cell>
          <cell r="I460" t="str">
            <v>CON2004</v>
          </cell>
          <cell r="J460" t="str">
            <v>USD</v>
          </cell>
          <cell r="L460">
            <v>2003</v>
          </cell>
          <cell r="M460">
            <v>12</v>
          </cell>
        </row>
        <row r="461">
          <cell r="A461" t="str">
            <v>POWER</v>
          </cell>
          <cell r="B461" t="str">
            <v>BUDGETS</v>
          </cell>
          <cell r="D461">
            <v>730017</v>
          </cell>
          <cell r="E461" t="str">
            <v>P</v>
          </cell>
          <cell r="I461" t="str">
            <v>CON2004</v>
          </cell>
          <cell r="J461" t="str">
            <v>USD</v>
          </cell>
          <cell r="L461">
            <v>2004</v>
          </cell>
          <cell r="M461">
            <v>12</v>
          </cell>
        </row>
        <row r="462">
          <cell r="A462" t="str">
            <v>POWER</v>
          </cell>
          <cell r="B462" t="str">
            <v>BUDGETS</v>
          </cell>
          <cell r="D462">
            <v>730017</v>
          </cell>
          <cell r="E462" t="str">
            <v>P</v>
          </cell>
          <cell r="I462" t="str">
            <v>CON2004</v>
          </cell>
          <cell r="J462" t="str">
            <v>USD</v>
          </cell>
          <cell r="L462">
            <v>2005</v>
          </cell>
          <cell r="M462">
            <v>12</v>
          </cell>
        </row>
        <row r="463">
          <cell r="A463" t="str">
            <v>POWER</v>
          </cell>
          <cell r="B463" t="str">
            <v>BUDGETS</v>
          </cell>
          <cell r="D463">
            <v>730017</v>
          </cell>
          <cell r="E463" t="str">
            <v>P</v>
          </cell>
          <cell r="I463" t="str">
            <v>CON2004</v>
          </cell>
          <cell r="J463" t="str">
            <v>USD</v>
          </cell>
          <cell r="L463">
            <v>2006</v>
          </cell>
          <cell r="M463">
            <v>12</v>
          </cell>
        </row>
        <row r="464">
          <cell r="A464" t="str">
            <v>POWER</v>
          </cell>
          <cell r="B464" t="str">
            <v>BUDGETS</v>
          </cell>
          <cell r="D464">
            <v>730017</v>
          </cell>
          <cell r="E464" t="str">
            <v>P</v>
          </cell>
          <cell r="I464" t="str">
            <v>CON2004</v>
          </cell>
          <cell r="J464" t="str">
            <v>USD</v>
          </cell>
          <cell r="L464">
            <v>2007</v>
          </cell>
          <cell r="M464">
            <v>12</v>
          </cell>
        </row>
        <row r="465">
          <cell r="A465" t="str">
            <v>POWER</v>
          </cell>
          <cell r="B465" t="str">
            <v>BUDGETS</v>
          </cell>
          <cell r="D465">
            <v>730017</v>
          </cell>
          <cell r="E465" t="str">
            <v>P</v>
          </cell>
          <cell r="I465" t="str">
            <v>CON2004</v>
          </cell>
          <cell r="J465" t="str">
            <v>USD</v>
          </cell>
          <cell r="L465">
            <v>2008</v>
          </cell>
          <cell r="M465">
            <v>12</v>
          </cell>
        </row>
        <row r="466">
          <cell r="A466" t="str">
            <v>POWER</v>
          </cell>
          <cell r="B466" t="str">
            <v>BUDGETS</v>
          </cell>
          <cell r="D466">
            <v>730018</v>
          </cell>
          <cell r="E466" t="str">
            <v>P</v>
          </cell>
          <cell r="I466" t="str">
            <v>CON2004</v>
          </cell>
          <cell r="J466" t="str">
            <v>USD</v>
          </cell>
          <cell r="L466">
            <v>2003</v>
          </cell>
          <cell r="M466">
            <v>12</v>
          </cell>
        </row>
        <row r="467">
          <cell r="A467" t="str">
            <v>POWER</v>
          </cell>
          <cell r="B467" t="str">
            <v>BUDGETS</v>
          </cell>
          <cell r="D467">
            <v>730018</v>
          </cell>
          <cell r="E467" t="str">
            <v>P</v>
          </cell>
          <cell r="I467" t="str">
            <v>CON2004</v>
          </cell>
          <cell r="J467" t="str">
            <v>USD</v>
          </cell>
          <cell r="L467">
            <v>2004</v>
          </cell>
          <cell r="M467">
            <v>12</v>
          </cell>
        </row>
        <row r="468">
          <cell r="A468" t="str">
            <v>POWER</v>
          </cell>
          <cell r="B468" t="str">
            <v>BUDGETS</v>
          </cell>
          <cell r="D468">
            <v>730018</v>
          </cell>
          <cell r="E468" t="str">
            <v>P</v>
          </cell>
          <cell r="I468" t="str">
            <v>CON2004</v>
          </cell>
          <cell r="J468" t="str">
            <v>USD</v>
          </cell>
          <cell r="L468">
            <v>2005</v>
          </cell>
          <cell r="M468">
            <v>12</v>
          </cell>
        </row>
        <row r="469">
          <cell r="A469" t="str">
            <v>POWER</v>
          </cell>
          <cell r="B469" t="str">
            <v>BUDGETS</v>
          </cell>
          <cell r="D469">
            <v>730018</v>
          </cell>
          <cell r="E469" t="str">
            <v>P</v>
          </cell>
          <cell r="I469" t="str">
            <v>CON2004</v>
          </cell>
          <cell r="J469" t="str">
            <v>USD</v>
          </cell>
          <cell r="L469">
            <v>2006</v>
          </cell>
          <cell r="M469">
            <v>12</v>
          </cell>
        </row>
        <row r="470">
          <cell r="A470" t="str">
            <v>POWER</v>
          </cell>
          <cell r="B470" t="str">
            <v>BUDGETS</v>
          </cell>
          <cell r="D470">
            <v>730018</v>
          </cell>
          <cell r="E470" t="str">
            <v>P</v>
          </cell>
          <cell r="I470" t="str">
            <v>CON2004</v>
          </cell>
          <cell r="J470" t="str">
            <v>USD</v>
          </cell>
          <cell r="L470">
            <v>2007</v>
          </cell>
          <cell r="M470">
            <v>12</v>
          </cell>
        </row>
        <row r="471">
          <cell r="A471" t="str">
            <v>POWER</v>
          </cell>
          <cell r="B471" t="str">
            <v>BUDGETS</v>
          </cell>
          <cell r="D471">
            <v>730018</v>
          </cell>
          <cell r="E471" t="str">
            <v>P</v>
          </cell>
          <cell r="I471" t="str">
            <v>CON2004</v>
          </cell>
          <cell r="J471" t="str">
            <v>USD</v>
          </cell>
          <cell r="L471">
            <v>2008</v>
          </cell>
          <cell r="M471">
            <v>12</v>
          </cell>
        </row>
        <row r="472">
          <cell r="A472" t="str">
            <v>POWER</v>
          </cell>
          <cell r="B472" t="str">
            <v>BUDGETS</v>
          </cell>
          <cell r="D472">
            <v>730016</v>
          </cell>
          <cell r="E472" t="str">
            <v>P</v>
          </cell>
          <cell r="I472" t="str">
            <v>CON2004</v>
          </cell>
          <cell r="J472" t="str">
            <v>USD</v>
          </cell>
          <cell r="L472">
            <v>2003</v>
          </cell>
          <cell r="M472">
            <v>12</v>
          </cell>
        </row>
        <row r="473">
          <cell r="A473" t="str">
            <v>POWER</v>
          </cell>
          <cell r="B473" t="str">
            <v>BUDGETS</v>
          </cell>
          <cell r="D473">
            <v>730016</v>
          </cell>
          <cell r="E473" t="str">
            <v>P</v>
          </cell>
          <cell r="I473" t="str">
            <v>CON2004</v>
          </cell>
          <cell r="J473" t="str">
            <v>USD</v>
          </cell>
          <cell r="L473">
            <v>2004</v>
          </cell>
          <cell r="M473">
            <v>12</v>
          </cell>
        </row>
        <row r="474">
          <cell r="A474" t="str">
            <v>POWER</v>
          </cell>
          <cell r="B474" t="str">
            <v>BUDGETS</v>
          </cell>
          <cell r="D474">
            <v>730016</v>
          </cell>
          <cell r="E474" t="str">
            <v>P</v>
          </cell>
          <cell r="I474" t="str">
            <v>CON2004</v>
          </cell>
          <cell r="J474" t="str">
            <v>USD</v>
          </cell>
          <cell r="L474">
            <v>2005</v>
          </cell>
          <cell r="M474">
            <v>12</v>
          </cell>
        </row>
        <row r="475">
          <cell r="A475" t="str">
            <v>POWER</v>
          </cell>
          <cell r="B475" t="str">
            <v>BUDGETS</v>
          </cell>
          <cell r="D475">
            <v>730016</v>
          </cell>
          <cell r="E475" t="str">
            <v>P</v>
          </cell>
          <cell r="I475" t="str">
            <v>CON2004</v>
          </cell>
          <cell r="J475" t="str">
            <v>USD</v>
          </cell>
          <cell r="L475">
            <v>2006</v>
          </cell>
          <cell r="M475">
            <v>12</v>
          </cell>
        </row>
        <row r="476">
          <cell r="A476" t="str">
            <v>POWER</v>
          </cell>
          <cell r="B476" t="str">
            <v>BUDGETS</v>
          </cell>
          <cell r="D476">
            <v>730016</v>
          </cell>
          <cell r="E476" t="str">
            <v>P</v>
          </cell>
          <cell r="I476" t="str">
            <v>CON2004</v>
          </cell>
          <cell r="J476" t="str">
            <v>USD</v>
          </cell>
          <cell r="L476">
            <v>2007</v>
          </cell>
          <cell r="M476">
            <v>12</v>
          </cell>
        </row>
        <row r="477">
          <cell r="A477" t="str">
            <v>POWER</v>
          </cell>
          <cell r="B477" t="str">
            <v>BUDGETS</v>
          </cell>
          <cell r="D477">
            <v>730016</v>
          </cell>
          <cell r="E477" t="str">
            <v>P</v>
          </cell>
          <cell r="I477" t="str">
            <v>CON2004</v>
          </cell>
          <cell r="J477" t="str">
            <v>USD</v>
          </cell>
          <cell r="L477">
            <v>2008</v>
          </cell>
          <cell r="M477">
            <v>12</v>
          </cell>
        </row>
        <row r="478">
          <cell r="A478" t="str">
            <v>POWER</v>
          </cell>
          <cell r="B478" t="str">
            <v>BUDGETS</v>
          </cell>
          <cell r="D478">
            <v>730019</v>
          </cell>
          <cell r="E478" t="str">
            <v>P</v>
          </cell>
          <cell r="I478" t="str">
            <v>CON2004</v>
          </cell>
          <cell r="J478" t="str">
            <v>USD</v>
          </cell>
          <cell r="L478">
            <v>2003</v>
          </cell>
          <cell r="M478">
            <v>12</v>
          </cell>
        </row>
        <row r="479">
          <cell r="A479" t="str">
            <v>POWER</v>
          </cell>
          <cell r="B479" t="str">
            <v>BUDGETS</v>
          </cell>
          <cell r="D479">
            <v>730019</v>
          </cell>
          <cell r="E479" t="str">
            <v>P</v>
          </cell>
          <cell r="I479" t="str">
            <v>CON2004</v>
          </cell>
          <cell r="J479" t="str">
            <v>USD</v>
          </cell>
          <cell r="L479">
            <v>2004</v>
          </cell>
          <cell r="M479">
            <v>12</v>
          </cell>
        </row>
        <row r="480">
          <cell r="A480" t="str">
            <v>POWER</v>
          </cell>
          <cell r="B480" t="str">
            <v>BUDGETS</v>
          </cell>
          <cell r="D480">
            <v>730019</v>
          </cell>
          <cell r="E480" t="str">
            <v>P</v>
          </cell>
          <cell r="I480" t="str">
            <v>CON2004</v>
          </cell>
          <cell r="J480" t="str">
            <v>USD</v>
          </cell>
          <cell r="L480">
            <v>2005</v>
          </cell>
          <cell r="M480">
            <v>12</v>
          </cell>
        </row>
        <row r="481">
          <cell r="A481" t="str">
            <v>POWER</v>
          </cell>
          <cell r="B481" t="str">
            <v>BUDGETS</v>
          </cell>
          <cell r="D481">
            <v>730019</v>
          </cell>
          <cell r="E481" t="str">
            <v>P</v>
          </cell>
          <cell r="I481" t="str">
            <v>CON2004</v>
          </cell>
          <cell r="J481" t="str">
            <v>USD</v>
          </cell>
          <cell r="L481">
            <v>2006</v>
          </cell>
          <cell r="M481">
            <v>12</v>
          </cell>
        </row>
        <row r="482">
          <cell r="A482" t="str">
            <v>POWER</v>
          </cell>
          <cell r="B482" t="str">
            <v>BUDGETS</v>
          </cell>
          <cell r="D482">
            <v>730019</v>
          </cell>
          <cell r="E482" t="str">
            <v>P</v>
          </cell>
          <cell r="I482" t="str">
            <v>CON2004</v>
          </cell>
          <cell r="J482" t="str">
            <v>USD</v>
          </cell>
          <cell r="L482">
            <v>2007</v>
          </cell>
          <cell r="M482">
            <v>12</v>
          </cell>
        </row>
        <row r="483">
          <cell r="A483" t="str">
            <v>POWER</v>
          </cell>
          <cell r="B483" t="str">
            <v>BUDGETS</v>
          </cell>
          <cell r="D483">
            <v>730019</v>
          </cell>
          <cell r="E483" t="str">
            <v>P</v>
          </cell>
          <cell r="I483" t="str">
            <v>CON2004</v>
          </cell>
          <cell r="J483" t="str">
            <v>USD</v>
          </cell>
          <cell r="L483">
            <v>2008</v>
          </cell>
          <cell r="M483">
            <v>12</v>
          </cell>
        </row>
        <row r="484">
          <cell r="A484" t="str">
            <v>POWER</v>
          </cell>
          <cell r="B484" t="str">
            <v>BUDGETS</v>
          </cell>
          <cell r="D484">
            <v>730020</v>
          </cell>
          <cell r="E484" t="str">
            <v>P</v>
          </cell>
          <cell r="I484" t="str">
            <v>CON2004</v>
          </cell>
          <cell r="J484" t="str">
            <v>USD</v>
          </cell>
          <cell r="L484">
            <v>2003</v>
          </cell>
          <cell r="M484">
            <v>12</v>
          </cell>
        </row>
        <row r="485">
          <cell r="A485" t="str">
            <v>POWER</v>
          </cell>
          <cell r="B485" t="str">
            <v>BUDGETS</v>
          </cell>
          <cell r="D485">
            <v>730020</v>
          </cell>
          <cell r="E485" t="str">
            <v>P</v>
          </cell>
          <cell r="I485" t="str">
            <v>CON2004</v>
          </cell>
          <cell r="J485" t="str">
            <v>USD</v>
          </cell>
          <cell r="L485">
            <v>2004</v>
          </cell>
          <cell r="M485">
            <v>12</v>
          </cell>
        </row>
        <row r="486">
          <cell r="A486" t="str">
            <v>POWER</v>
          </cell>
          <cell r="B486" t="str">
            <v>BUDGETS</v>
          </cell>
          <cell r="D486">
            <v>730020</v>
          </cell>
          <cell r="E486" t="str">
            <v>P</v>
          </cell>
          <cell r="I486" t="str">
            <v>CON2004</v>
          </cell>
          <cell r="J486" t="str">
            <v>USD</v>
          </cell>
          <cell r="L486">
            <v>2005</v>
          </cell>
          <cell r="M486">
            <v>12</v>
          </cell>
        </row>
        <row r="487">
          <cell r="A487" t="str">
            <v>POWER</v>
          </cell>
          <cell r="B487" t="str">
            <v>BUDGETS</v>
          </cell>
          <cell r="D487">
            <v>730020</v>
          </cell>
          <cell r="E487" t="str">
            <v>P</v>
          </cell>
          <cell r="I487" t="str">
            <v>CON2004</v>
          </cell>
          <cell r="J487" t="str">
            <v>USD</v>
          </cell>
          <cell r="L487">
            <v>2006</v>
          </cell>
          <cell r="M487">
            <v>12</v>
          </cell>
        </row>
        <row r="488">
          <cell r="A488" t="str">
            <v>POWER</v>
          </cell>
          <cell r="B488" t="str">
            <v>BUDGETS</v>
          </cell>
          <cell r="D488">
            <v>730020</v>
          </cell>
          <cell r="E488" t="str">
            <v>P</v>
          </cell>
          <cell r="I488" t="str">
            <v>CON2004</v>
          </cell>
          <cell r="J488" t="str">
            <v>USD</v>
          </cell>
          <cell r="L488">
            <v>2007</v>
          </cell>
          <cell r="M488">
            <v>12</v>
          </cell>
        </row>
        <row r="489">
          <cell r="A489" t="str">
            <v>POWER</v>
          </cell>
          <cell r="B489" t="str">
            <v>BUDGETS</v>
          </cell>
          <cell r="D489">
            <v>730020</v>
          </cell>
          <cell r="E489" t="str">
            <v>P</v>
          </cell>
          <cell r="I489" t="str">
            <v>CON2004</v>
          </cell>
          <cell r="J489" t="str">
            <v>USD</v>
          </cell>
          <cell r="L489">
            <v>2008</v>
          </cell>
          <cell r="M489">
            <v>12</v>
          </cell>
        </row>
        <row r="490">
          <cell r="A490" t="str">
            <v>POWER</v>
          </cell>
          <cell r="B490" t="str">
            <v>BUDGETS</v>
          </cell>
          <cell r="D490">
            <v>750300</v>
          </cell>
          <cell r="E490" t="str">
            <v>P</v>
          </cell>
          <cell r="I490" t="str">
            <v>CON2004</v>
          </cell>
          <cell r="J490" t="str">
            <v>USD</v>
          </cell>
          <cell r="L490">
            <v>2003</v>
          </cell>
          <cell r="M490">
            <v>12</v>
          </cell>
        </row>
        <row r="491">
          <cell r="A491" t="str">
            <v>POWER</v>
          </cell>
          <cell r="B491" t="str">
            <v>BUDGETS</v>
          </cell>
          <cell r="D491">
            <v>750300</v>
          </cell>
          <cell r="E491" t="str">
            <v>P</v>
          </cell>
          <cell r="I491" t="str">
            <v>CON2004</v>
          </cell>
          <cell r="J491" t="str">
            <v>USD</v>
          </cell>
          <cell r="L491">
            <v>2004</v>
          </cell>
          <cell r="M491">
            <v>12</v>
          </cell>
        </row>
        <row r="492">
          <cell r="A492" t="str">
            <v>POWER</v>
          </cell>
          <cell r="B492" t="str">
            <v>BUDGETS</v>
          </cell>
          <cell r="D492">
            <v>750300</v>
          </cell>
          <cell r="E492" t="str">
            <v>P</v>
          </cell>
          <cell r="I492" t="str">
            <v>CON2004</v>
          </cell>
          <cell r="J492" t="str">
            <v>USD</v>
          </cell>
          <cell r="L492">
            <v>2005</v>
          </cell>
          <cell r="M492">
            <v>12</v>
          </cell>
        </row>
        <row r="493">
          <cell r="A493" t="str">
            <v>POWER</v>
          </cell>
          <cell r="B493" t="str">
            <v>BUDGETS</v>
          </cell>
          <cell r="D493">
            <v>750300</v>
          </cell>
          <cell r="E493" t="str">
            <v>P</v>
          </cell>
          <cell r="I493" t="str">
            <v>CON2004</v>
          </cell>
          <cell r="J493" t="str">
            <v>USD</v>
          </cell>
          <cell r="L493">
            <v>2006</v>
          </cell>
          <cell r="M493">
            <v>12</v>
          </cell>
        </row>
        <row r="494">
          <cell r="A494" t="str">
            <v>POWER</v>
          </cell>
          <cell r="B494" t="str">
            <v>BUDGETS</v>
          </cell>
          <cell r="D494">
            <v>750300</v>
          </cell>
          <cell r="E494" t="str">
            <v>P</v>
          </cell>
          <cell r="I494" t="str">
            <v>CON2004</v>
          </cell>
          <cell r="J494" t="str">
            <v>USD</v>
          </cell>
          <cell r="L494">
            <v>2007</v>
          </cell>
          <cell r="M494">
            <v>12</v>
          </cell>
        </row>
        <row r="495">
          <cell r="A495" t="str">
            <v>POWER</v>
          </cell>
          <cell r="B495" t="str">
            <v>BUDGETS</v>
          </cell>
          <cell r="D495">
            <v>750300</v>
          </cell>
          <cell r="E495" t="str">
            <v>P</v>
          </cell>
          <cell r="I495" t="str">
            <v>CON2004</v>
          </cell>
          <cell r="J495" t="str">
            <v>USD</v>
          </cell>
          <cell r="L495">
            <v>2008</v>
          </cell>
          <cell r="M495">
            <v>12</v>
          </cell>
        </row>
        <row r="496">
          <cell r="A496" t="str">
            <v>POWER</v>
          </cell>
          <cell r="B496" t="str">
            <v>BUDGETS</v>
          </cell>
          <cell r="D496">
            <v>600000</v>
          </cell>
          <cell r="E496" t="str">
            <v>P</v>
          </cell>
          <cell r="G496" t="str">
            <v>0001187</v>
          </cell>
          <cell r="I496" t="str">
            <v>CON2004</v>
          </cell>
          <cell r="J496" t="str">
            <v>USD</v>
          </cell>
          <cell r="L496">
            <v>2003</v>
          </cell>
          <cell r="M496">
            <v>12</v>
          </cell>
        </row>
        <row r="497">
          <cell r="A497" t="str">
            <v>POWER</v>
          </cell>
          <cell r="B497" t="str">
            <v>BUDGETS</v>
          </cell>
          <cell r="D497">
            <v>600000</v>
          </cell>
          <cell r="E497" t="str">
            <v>P</v>
          </cell>
          <cell r="G497" t="str">
            <v>0001187</v>
          </cell>
          <cell r="I497" t="str">
            <v>CON2004</v>
          </cell>
          <cell r="J497" t="str">
            <v>USD</v>
          </cell>
          <cell r="L497">
            <v>2004</v>
          </cell>
          <cell r="M497">
            <v>12</v>
          </cell>
        </row>
        <row r="498">
          <cell r="A498" t="str">
            <v>POWER</v>
          </cell>
          <cell r="B498" t="str">
            <v>BUDGETS</v>
          </cell>
          <cell r="D498">
            <v>600000</v>
          </cell>
          <cell r="E498" t="str">
            <v>P</v>
          </cell>
          <cell r="G498" t="str">
            <v>0001187</v>
          </cell>
          <cell r="I498" t="str">
            <v>CON2004</v>
          </cell>
          <cell r="J498" t="str">
            <v>USD</v>
          </cell>
          <cell r="L498">
            <v>2005</v>
          </cell>
          <cell r="M498">
            <v>12</v>
          </cell>
        </row>
        <row r="499">
          <cell r="A499" t="str">
            <v>POWER</v>
          </cell>
          <cell r="B499" t="str">
            <v>BUDGETS</v>
          </cell>
          <cell r="D499">
            <v>600000</v>
          </cell>
          <cell r="E499" t="str">
            <v>P</v>
          </cell>
          <cell r="G499" t="str">
            <v>0001187</v>
          </cell>
          <cell r="I499" t="str">
            <v>CON2004</v>
          </cell>
          <cell r="J499" t="str">
            <v>USD</v>
          </cell>
          <cell r="L499">
            <v>2006</v>
          </cell>
          <cell r="M499">
            <v>12</v>
          </cell>
        </row>
        <row r="500">
          <cell r="A500" t="str">
            <v>POWER</v>
          </cell>
          <cell r="B500" t="str">
            <v>BUDGETS</v>
          </cell>
          <cell r="D500">
            <v>600000</v>
          </cell>
          <cell r="E500" t="str">
            <v>P</v>
          </cell>
          <cell r="G500" t="str">
            <v>0001187</v>
          </cell>
          <cell r="I500" t="str">
            <v>CON2004</v>
          </cell>
          <cell r="J500" t="str">
            <v>USD</v>
          </cell>
          <cell r="L500">
            <v>2007</v>
          </cell>
          <cell r="M500">
            <v>12</v>
          </cell>
        </row>
        <row r="501">
          <cell r="A501" t="str">
            <v>POWER</v>
          </cell>
          <cell r="B501" t="str">
            <v>BUDGETS</v>
          </cell>
          <cell r="D501">
            <v>600000</v>
          </cell>
          <cell r="E501" t="str">
            <v>P</v>
          </cell>
          <cell r="G501" t="str">
            <v>0001187</v>
          </cell>
          <cell r="I501" t="str">
            <v>CON2004</v>
          </cell>
          <cell r="J501" t="str">
            <v>USD</v>
          </cell>
          <cell r="L501">
            <v>2008</v>
          </cell>
          <cell r="M501">
            <v>12</v>
          </cell>
        </row>
        <row r="502">
          <cell r="A502" t="str">
            <v>POWER</v>
          </cell>
          <cell r="B502" t="str">
            <v>BUDGETS</v>
          </cell>
          <cell r="D502">
            <v>600000</v>
          </cell>
          <cell r="E502" t="str">
            <v>P</v>
          </cell>
          <cell r="G502" t="str">
            <v>0001189</v>
          </cell>
          <cell r="I502" t="str">
            <v>CON2004</v>
          </cell>
          <cell r="J502" t="str">
            <v>USD</v>
          </cell>
          <cell r="L502">
            <v>2003</v>
          </cell>
          <cell r="M502">
            <v>12</v>
          </cell>
        </row>
        <row r="503">
          <cell r="A503" t="str">
            <v>POWER</v>
          </cell>
          <cell r="B503" t="str">
            <v>BUDGETS</v>
          </cell>
          <cell r="D503">
            <v>600000</v>
          </cell>
          <cell r="E503" t="str">
            <v>P</v>
          </cell>
          <cell r="G503" t="str">
            <v>0001189</v>
          </cell>
          <cell r="I503" t="str">
            <v>CON2004</v>
          </cell>
          <cell r="J503" t="str">
            <v>USD</v>
          </cell>
          <cell r="L503">
            <v>2004</v>
          </cell>
          <cell r="M503">
            <v>12</v>
          </cell>
        </row>
        <row r="504">
          <cell r="A504" t="str">
            <v>POWER</v>
          </cell>
          <cell r="B504" t="str">
            <v>BUDGETS</v>
          </cell>
          <cell r="D504">
            <v>600000</v>
          </cell>
          <cell r="E504" t="str">
            <v>P</v>
          </cell>
          <cell r="G504" t="str">
            <v>0001189</v>
          </cell>
          <cell r="I504" t="str">
            <v>CON2004</v>
          </cell>
          <cell r="J504" t="str">
            <v>USD</v>
          </cell>
          <cell r="L504">
            <v>2005</v>
          </cell>
          <cell r="M504">
            <v>12</v>
          </cell>
        </row>
        <row r="505">
          <cell r="A505" t="str">
            <v>POWER</v>
          </cell>
          <cell r="B505" t="str">
            <v>BUDGETS</v>
          </cell>
          <cell r="D505">
            <v>600000</v>
          </cell>
          <cell r="E505" t="str">
            <v>P</v>
          </cell>
          <cell r="G505" t="str">
            <v>0001189</v>
          </cell>
          <cell r="I505" t="str">
            <v>CON2004</v>
          </cell>
          <cell r="J505" t="str">
            <v>USD</v>
          </cell>
          <cell r="L505">
            <v>2006</v>
          </cell>
          <cell r="M505">
            <v>12</v>
          </cell>
        </row>
        <row r="506">
          <cell r="A506" t="str">
            <v>POWER</v>
          </cell>
          <cell r="B506" t="str">
            <v>BUDGETS</v>
          </cell>
          <cell r="D506">
            <v>600000</v>
          </cell>
          <cell r="E506" t="str">
            <v>P</v>
          </cell>
          <cell r="G506" t="str">
            <v>0001189</v>
          </cell>
          <cell r="I506" t="str">
            <v>CON2004</v>
          </cell>
          <cell r="J506" t="str">
            <v>USD</v>
          </cell>
          <cell r="L506">
            <v>2007</v>
          </cell>
          <cell r="M506">
            <v>12</v>
          </cell>
        </row>
        <row r="507">
          <cell r="A507" t="str">
            <v>POWER</v>
          </cell>
          <cell r="B507" t="str">
            <v>BUDGETS</v>
          </cell>
          <cell r="D507">
            <v>600000</v>
          </cell>
          <cell r="E507" t="str">
            <v>P</v>
          </cell>
          <cell r="G507" t="str">
            <v>0001189</v>
          </cell>
          <cell r="I507" t="str">
            <v>CON2004</v>
          </cell>
          <cell r="J507" t="str">
            <v>USD</v>
          </cell>
          <cell r="L507">
            <v>2008</v>
          </cell>
          <cell r="M507">
            <v>12</v>
          </cell>
        </row>
        <row r="508">
          <cell r="A508" t="str">
            <v>POWER</v>
          </cell>
          <cell r="B508" t="str">
            <v>BUDGETS</v>
          </cell>
          <cell r="D508">
            <v>600000</v>
          </cell>
          <cell r="E508" t="str">
            <v>P</v>
          </cell>
          <cell r="G508" t="str">
            <v>0001210</v>
          </cell>
          <cell r="I508" t="str">
            <v>CON2004</v>
          </cell>
          <cell r="J508" t="str">
            <v>USD</v>
          </cell>
          <cell r="L508">
            <v>2003</v>
          </cell>
          <cell r="M508">
            <v>12</v>
          </cell>
        </row>
        <row r="509">
          <cell r="A509" t="str">
            <v>POWER</v>
          </cell>
          <cell r="B509" t="str">
            <v>BUDGETS</v>
          </cell>
          <cell r="D509">
            <v>600000</v>
          </cell>
          <cell r="E509" t="str">
            <v>P</v>
          </cell>
          <cell r="G509" t="str">
            <v>0001210</v>
          </cell>
          <cell r="I509" t="str">
            <v>CON2004</v>
          </cell>
          <cell r="J509" t="str">
            <v>USD</v>
          </cell>
          <cell r="L509">
            <v>2004</v>
          </cell>
          <cell r="M509">
            <v>12</v>
          </cell>
        </row>
        <row r="510">
          <cell r="A510" t="str">
            <v>POWER</v>
          </cell>
          <cell r="B510" t="str">
            <v>BUDGETS</v>
          </cell>
          <cell r="D510">
            <v>600000</v>
          </cell>
          <cell r="E510" t="str">
            <v>P</v>
          </cell>
          <cell r="G510" t="str">
            <v>0001210</v>
          </cell>
          <cell r="I510" t="str">
            <v>CON2004</v>
          </cell>
          <cell r="J510" t="str">
            <v>USD</v>
          </cell>
          <cell r="L510">
            <v>2005</v>
          </cell>
          <cell r="M510">
            <v>12</v>
          </cell>
        </row>
        <row r="511">
          <cell r="A511" t="str">
            <v>POWER</v>
          </cell>
          <cell r="B511" t="str">
            <v>BUDGETS</v>
          </cell>
          <cell r="D511">
            <v>600000</v>
          </cell>
          <cell r="E511" t="str">
            <v>P</v>
          </cell>
          <cell r="G511" t="str">
            <v>0001210</v>
          </cell>
          <cell r="I511" t="str">
            <v>CON2004</v>
          </cell>
          <cell r="J511" t="str">
            <v>USD</v>
          </cell>
          <cell r="L511">
            <v>2006</v>
          </cell>
          <cell r="M511">
            <v>12</v>
          </cell>
        </row>
        <row r="512">
          <cell r="A512" t="str">
            <v>POWER</v>
          </cell>
          <cell r="B512" t="str">
            <v>BUDGETS</v>
          </cell>
          <cell r="D512">
            <v>600000</v>
          </cell>
          <cell r="E512" t="str">
            <v>P</v>
          </cell>
          <cell r="G512" t="str">
            <v>0001210</v>
          </cell>
          <cell r="I512" t="str">
            <v>CON2004</v>
          </cell>
          <cell r="J512" t="str">
            <v>USD</v>
          </cell>
          <cell r="L512">
            <v>2007</v>
          </cell>
          <cell r="M512">
            <v>12</v>
          </cell>
        </row>
        <row r="513">
          <cell r="A513" t="str">
            <v>POWER</v>
          </cell>
          <cell r="B513" t="str">
            <v>BUDGETS</v>
          </cell>
          <cell r="D513">
            <v>600000</v>
          </cell>
          <cell r="E513" t="str">
            <v>P</v>
          </cell>
          <cell r="G513" t="str">
            <v>0001210</v>
          </cell>
          <cell r="I513" t="str">
            <v>CON2004</v>
          </cell>
          <cell r="J513" t="str">
            <v>USD</v>
          </cell>
          <cell r="L513">
            <v>2008</v>
          </cell>
          <cell r="M513">
            <v>12</v>
          </cell>
        </row>
        <row r="514">
          <cell r="A514" t="str">
            <v>POWER</v>
          </cell>
          <cell r="B514" t="str">
            <v>BUDGETS</v>
          </cell>
          <cell r="D514">
            <v>107320</v>
          </cell>
          <cell r="E514" t="str">
            <v>P</v>
          </cell>
          <cell r="G514" t="str">
            <v>0001065</v>
          </cell>
          <cell r="I514" t="str">
            <v>CON2004</v>
          </cell>
          <cell r="J514" t="str">
            <v>USD</v>
          </cell>
          <cell r="L514">
            <v>2003</v>
          </cell>
          <cell r="M514">
            <v>12</v>
          </cell>
        </row>
        <row r="515">
          <cell r="A515" t="str">
            <v>POWER</v>
          </cell>
          <cell r="B515" t="str">
            <v>BUDGETS</v>
          </cell>
          <cell r="D515">
            <v>107320</v>
          </cell>
          <cell r="E515" t="str">
            <v>P</v>
          </cell>
          <cell r="G515" t="str">
            <v>0001065</v>
          </cell>
          <cell r="I515" t="str">
            <v>CON2004</v>
          </cell>
          <cell r="J515" t="str">
            <v>USD</v>
          </cell>
          <cell r="L515">
            <v>2004</v>
          </cell>
          <cell r="M515">
            <v>12</v>
          </cell>
        </row>
        <row r="516">
          <cell r="A516" t="str">
            <v>POWER</v>
          </cell>
          <cell r="B516" t="str">
            <v>BUDGETS</v>
          </cell>
          <cell r="D516">
            <v>107320</v>
          </cell>
          <cell r="E516" t="str">
            <v>P</v>
          </cell>
          <cell r="G516" t="str">
            <v>0001065</v>
          </cell>
          <cell r="I516" t="str">
            <v>CON2004</v>
          </cell>
          <cell r="J516" t="str">
            <v>USD</v>
          </cell>
          <cell r="L516">
            <v>2005</v>
          </cell>
          <cell r="M516">
            <v>12</v>
          </cell>
        </row>
        <row r="517">
          <cell r="A517" t="str">
            <v>POWER</v>
          </cell>
          <cell r="B517" t="str">
            <v>BUDGETS</v>
          </cell>
          <cell r="D517">
            <v>107320</v>
          </cell>
          <cell r="E517" t="str">
            <v>P</v>
          </cell>
          <cell r="G517" t="str">
            <v>0001065</v>
          </cell>
          <cell r="I517" t="str">
            <v>CON2004</v>
          </cell>
          <cell r="J517" t="str">
            <v>USD</v>
          </cell>
          <cell r="L517">
            <v>2006</v>
          </cell>
          <cell r="M517">
            <v>12</v>
          </cell>
        </row>
        <row r="518">
          <cell r="A518" t="str">
            <v>POWER</v>
          </cell>
          <cell r="B518" t="str">
            <v>BUDGETS</v>
          </cell>
          <cell r="D518">
            <v>107320</v>
          </cell>
          <cell r="E518" t="str">
            <v>P</v>
          </cell>
          <cell r="G518" t="str">
            <v>0001065</v>
          </cell>
          <cell r="I518" t="str">
            <v>CON2004</v>
          </cell>
          <cell r="J518" t="str">
            <v>USD</v>
          </cell>
          <cell r="L518">
            <v>2007</v>
          </cell>
          <cell r="M518">
            <v>12</v>
          </cell>
        </row>
        <row r="519">
          <cell r="A519" t="str">
            <v>POWER</v>
          </cell>
          <cell r="B519" t="str">
            <v>BUDGETS</v>
          </cell>
          <cell r="D519">
            <v>107320</v>
          </cell>
          <cell r="E519" t="str">
            <v>P</v>
          </cell>
          <cell r="G519" t="str">
            <v>0001065</v>
          </cell>
          <cell r="I519" t="str">
            <v>CON2004</v>
          </cell>
          <cell r="J519" t="str">
            <v>USD</v>
          </cell>
          <cell r="L519">
            <v>2008</v>
          </cell>
          <cell r="M519">
            <v>12</v>
          </cell>
        </row>
        <row r="520">
          <cell r="A520" t="str">
            <v>POWER</v>
          </cell>
          <cell r="B520" t="str">
            <v>BUDGETS</v>
          </cell>
          <cell r="D520">
            <v>107320</v>
          </cell>
          <cell r="E520" t="str">
            <v>P</v>
          </cell>
          <cell r="G520" t="str">
            <v>0001673</v>
          </cell>
          <cell r="I520" t="str">
            <v>CON2004</v>
          </cell>
          <cell r="J520" t="str">
            <v>USD</v>
          </cell>
          <cell r="L520">
            <v>2003</v>
          </cell>
          <cell r="M520">
            <v>12</v>
          </cell>
        </row>
        <row r="521">
          <cell r="A521" t="str">
            <v>POWER</v>
          </cell>
          <cell r="B521" t="str">
            <v>BUDGETS</v>
          </cell>
          <cell r="D521">
            <v>107320</v>
          </cell>
          <cell r="E521" t="str">
            <v>P</v>
          </cell>
          <cell r="G521" t="str">
            <v>0001673</v>
          </cell>
          <cell r="I521" t="str">
            <v>CON2004</v>
          </cell>
          <cell r="J521" t="str">
            <v>USD</v>
          </cell>
          <cell r="L521">
            <v>2004</v>
          </cell>
          <cell r="M521">
            <v>12</v>
          </cell>
        </row>
        <row r="522">
          <cell r="A522" t="str">
            <v>POWER</v>
          </cell>
          <cell r="B522" t="str">
            <v>BUDGETS</v>
          </cell>
          <cell r="D522">
            <v>107320</v>
          </cell>
          <cell r="E522" t="str">
            <v>P</v>
          </cell>
          <cell r="G522" t="str">
            <v>0001673</v>
          </cell>
          <cell r="I522" t="str">
            <v>CON2004</v>
          </cell>
          <cell r="J522" t="str">
            <v>USD</v>
          </cell>
          <cell r="L522">
            <v>2005</v>
          </cell>
          <cell r="M522">
            <v>12</v>
          </cell>
        </row>
        <row r="523">
          <cell r="A523" t="str">
            <v>POWER</v>
          </cell>
          <cell r="B523" t="str">
            <v>BUDGETS</v>
          </cell>
          <cell r="D523">
            <v>107320</v>
          </cell>
          <cell r="E523" t="str">
            <v>P</v>
          </cell>
          <cell r="G523" t="str">
            <v>0001673</v>
          </cell>
          <cell r="I523" t="str">
            <v>CON2004</v>
          </cell>
          <cell r="J523" t="str">
            <v>USD</v>
          </cell>
          <cell r="L523">
            <v>2006</v>
          </cell>
          <cell r="M523">
            <v>12</v>
          </cell>
        </row>
        <row r="524">
          <cell r="A524" t="str">
            <v>POWER</v>
          </cell>
          <cell r="B524" t="str">
            <v>BUDGETS</v>
          </cell>
          <cell r="D524">
            <v>107320</v>
          </cell>
          <cell r="E524" t="str">
            <v>P</v>
          </cell>
          <cell r="G524" t="str">
            <v>0001673</v>
          </cell>
          <cell r="I524" t="str">
            <v>CON2004</v>
          </cell>
          <cell r="J524" t="str">
            <v>USD</v>
          </cell>
          <cell r="L524">
            <v>2007</v>
          </cell>
          <cell r="M524">
            <v>12</v>
          </cell>
        </row>
        <row r="525">
          <cell r="A525" t="str">
            <v>POWER</v>
          </cell>
          <cell r="B525" t="str">
            <v>BUDGETS</v>
          </cell>
          <cell r="D525">
            <v>107320</v>
          </cell>
          <cell r="E525" t="str">
            <v>P</v>
          </cell>
          <cell r="G525" t="str">
            <v>0001673</v>
          </cell>
          <cell r="I525" t="str">
            <v>CON2004</v>
          </cell>
          <cell r="J525" t="str">
            <v>USD</v>
          </cell>
          <cell r="L525">
            <v>2008</v>
          </cell>
          <cell r="M525">
            <v>12</v>
          </cell>
        </row>
        <row r="526">
          <cell r="A526" t="str">
            <v>POWER</v>
          </cell>
          <cell r="B526" t="str">
            <v>BUDGETS</v>
          </cell>
          <cell r="D526">
            <v>107320</v>
          </cell>
          <cell r="E526" t="str">
            <v>P</v>
          </cell>
          <cell r="G526" t="str">
            <v>0001085</v>
          </cell>
          <cell r="I526" t="str">
            <v>CON2004</v>
          </cell>
          <cell r="J526" t="str">
            <v>USD</v>
          </cell>
          <cell r="L526">
            <v>2003</v>
          </cell>
          <cell r="M526">
            <v>12</v>
          </cell>
        </row>
        <row r="527">
          <cell r="A527" t="str">
            <v>POWER</v>
          </cell>
          <cell r="B527" t="str">
            <v>BUDGETS</v>
          </cell>
          <cell r="D527">
            <v>107320</v>
          </cell>
          <cell r="E527" t="str">
            <v>P</v>
          </cell>
          <cell r="G527" t="str">
            <v>0001085</v>
          </cell>
          <cell r="I527" t="str">
            <v>CON2004</v>
          </cell>
          <cell r="J527" t="str">
            <v>USD</v>
          </cell>
          <cell r="L527">
            <v>2004</v>
          </cell>
          <cell r="M527">
            <v>12</v>
          </cell>
        </row>
        <row r="528">
          <cell r="A528" t="str">
            <v>POWER</v>
          </cell>
          <cell r="B528" t="str">
            <v>BUDGETS</v>
          </cell>
          <cell r="D528">
            <v>107320</v>
          </cell>
          <cell r="E528" t="str">
            <v>P</v>
          </cell>
          <cell r="G528" t="str">
            <v>0001085</v>
          </cell>
          <cell r="I528" t="str">
            <v>CON2004</v>
          </cell>
          <cell r="J528" t="str">
            <v>USD</v>
          </cell>
          <cell r="L528">
            <v>2005</v>
          </cell>
          <cell r="M528">
            <v>12</v>
          </cell>
        </row>
        <row r="529">
          <cell r="A529" t="str">
            <v>POWER</v>
          </cell>
          <cell r="B529" t="str">
            <v>BUDGETS</v>
          </cell>
          <cell r="D529">
            <v>107320</v>
          </cell>
          <cell r="E529" t="str">
            <v>P</v>
          </cell>
          <cell r="G529" t="str">
            <v>0001085</v>
          </cell>
          <cell r="I529" t="str">
            <v>CON2004</v>
          </cell>
          <cell r="J529" t="str">
            <v>USD</v>
          </cell>
          <cell r="L529">
            <v>2006</v>
          </cell>
          <cell r="M529">
            <v>12</v>
          </cell>
        </row>
        <row r="530">
          <cell r="A530" t="str">
            <v>POWER</v>
          </cell>
          <cell r="B530" t="str">
            <v>BUDGETS</v>
          </cell>
          <cell r="D530">
            <v>107320</v>
          </cell>
          <cell r="E530" t="str">
            <v>P</v>
          </cell>
          <cell r="G530" t="str">
            <v>0001085</v>
          </cell>
          <cell r="I530" t="str">
            <v>CON2004</v>
          </cell>
          <cell r="J530" t="str">
            <v>USD</v>
          </cell>
          <cell r="L530">
            <v>2007</v>
          </cell>
          <cell r="M530">
            <v>12</v>
          </cell>
        </row>
        <row r="531">
          <cell r="A531" t="str">
            <v>POWER</v>
          </cell>
          <cell r="B531" t="str">
            <v>BUDGETS</v>
          </cell>
          <cell r="D531">
            <v>107320</v>
          </cell>
          <cell r="E531" t="str">
            <v>P</v>
          </cell>
          <cell r="G531" t="str">
            <v>0001085</v>
          </cell>
          <cell r="I531" t="str">
            <v>CON2004</v>
          </cell>
          <cell r="J531" t="str">
            <v>USD</v>
          </cell>
          <cell r="L531">
            <v>2008</v>
          </cell>
          <cell r="M531">
            <v>12</v>
          </cell>
        </row>
        <row r="532">
          <cell r="A532" t="str">
            <v>POWER</v>
          </cell>
          <cell r="B532" t="str">
            <v>BUDGETS</v>
          </cell>
          <cell r="D532">
            <v>107320</v>
          </cell>
          <cell r="E532" t="str">
            <v>P</v>
          </cell>
          <cell r="G532" t="str">
            <v>0001098</v>
          </cell>
          <cell r="I532" t="str">
            <v>CON2004</v>
          </cell>
          <cell r="J532" t="str">
            <v>USD</v>
          </cell>
          <cell r="L532">
            <v>2003</v>
          </cell>
          <cell r="M532">
            <v>12</v>
          </cell>
        </row>
        <row r="533">
          <cell r="A533" t="str">
            <v>POWER</v>
          </cell>
          <cell r="B533" t="str">
            <v>BUDGETS</v>
          </cell>
          <cell r="D533">
            <v>107320</v>
          </cell>
          <cell r="E533" t="str">
            <v>P</v>
          </cell>
          <cell r="G533" t="str">
            <v>0001098</v>
          </cell>
          <cell r="I533" t="str">
            <v>CON2004</v>
          </cell>
          <cell r="J533" t="str">
            <v>USD</v>
          </cell>
          <cell r="L533">
            <v>2004</v>
          </cell>
          <cell r="M533">
            <v>12</v>
          </cell>
        </row>
        <row r="534">
          <cell r="A534" t="str">
            <v>POWER</v>
          </cell>
          <cell r="B534" t="str">
            <v>BUDGETS</v>
          </cell>
          <cell r="D534">
            <v>107320</v>
          </cell>
          <cell r="E534" t="str">
            <v>P</v>
          </cell>
          <cell r="G534" t="str">
            <v>0001098</v>
          </cell>
          <cell r="I534" t="str">
            <v>CON2004</v>
          </cell>
          <cell r="J534" t="str">
            <v>USD</v>
          </cell>
          <cell r="L534">
            <v>2005</v>
          </cell>
          <cell r="M534">
            <v>12</v>
          </cell>
        </row>
        <row r="535">
          <cell r="A535" t="str">
            <v>POWER</v>
          </cell>
          <cell r="B535" t="str">
            <v>BUDGETS</v>
          </cell>
          <cell r="D535">
            <v>107320</v>
          </cell>
          <cell r="E535" t="str">
            <v>P</v>
          </cell>
          <cell r="G535" t="str">
            <v>0001098</v>
          </cell>
          <cell r="I535" t="str">
            <v>CON2004</v>
          </cell>
          <cell r="J535" t="str">
            <v>USD</v>
          </cell>
          <cell r="L535">
            <v>2006</v>
          </cell>
          <cell r="M535">
            <v>12</v>
          </cell>
        </row>
        <row r="536">
          <cell r="A536" t="str">
            <v>POWER</v>
          </cell>
          <cell r="B536" t="str">
            <v>BUDGETS</v>
          </cell>
          <cell r="D536">
            <v>107320</v>
          </cell>
          <cell r="E536" t="str">
            <v>P</v>
          </cell>
          <cell r="G536" t="str">
            <v>0001098</v>
          </cell>
          <cell r="I536" t="str">
            <v>CON2004</v>
          </cell>
          <cell r="J536" t="str">
            <v>USD</v>
          </cell>
          <cell r="L536">
            <v>2007</v>
          </cell>
          <cell r="M536">
            <v>12</v>
          </cell>
        </row>
        <row r="537">
          <cell r="A537" t="str">
            <v>POWER</v>
          </cell>
          <cell r="B537" t="str">
            <v>BUDGETS</v>
          </cell>
          <cell r="D537">
            <v>107320</v>
          </cell>
          <cell r="E537" t="str">
            <v>P</v>
          </cell>
          <cell r="G537" t="str">
            <v>0001098</v>
          </cell>
          <cell r="I537" t="str">
            <v>CON2004</v>
          </cell>
          <cell r="J537" t="str">
            <v>USD</v>
          </cell>
          <cell r="L537">
            <v>2008</v>
          </cell>
          <cell r="M537">
            <v>12</v>
          </cell>
        </row>
        <row r="538">
          <cell r="A538" t="str">
            <v>POWER</v>
          </cell>
          <cell r="B538" t="str">
            <v>BUDGETS</v>
          </cell>
          <cell r="D538">
            <v>107320</v>
          </cell>
          <cell r="E538" t="str">
            <v>P</v>
          </cell>
          <cell r="G538" t="str">
            <v>0001099</v>
          </cell>
          <cell r="I538" t="str">
            <v>CON2004</v>
          </cell>
          <cell r="J538" t="str">
            <v>USD</v>
          </cell>
          <cell r="L538">
            <v>2003</v>
          </cell>
          <cell r="M538">
            <v>12</v>
          </cell>
        </row>
        <row r="539">
          <cell r="A539" t="str">
            <v>POWER</v>
          </cell>
          <cell r="B539" t="str">
            <v>BUDGETS</v>
          </cell>
          <cell r="D539">
            <v>107320</v>
          </cell>
          <cell r="E539" t="str">
            <v>P</v>
          </cell>
          <cell r="G539" t="str">
            <v>0001099</v>
          </cell>
          <cell r="I539" t="str">
            <v>CON2004</v>
          </cell>
          <cell r="J539" t="str">
            <v>USD</v>
          </cell>
          <cell r="L539">
            <v>2004</v>
          </cell>
          <cell r="M539">
            <v>12</v>
          </cell>
        </row>
        <row r="540">
          <cell r="A540" t="str">
            <v>POWER</v>
          </cell>
          <cell r="B540" t="str">
            <v>BUDGETS</v>
          </cell>
          <cell r="D540">
            <v>107320</v>
          </cell>
          <cell r="E540" t="str">
            <v>P</v>
          </cell>
          <cell r="G540" t="str">
            <v>0001099</v>
          </cell>
          <cell r="I540" t="str">
            <v>CON2004</v>
          </cell>
          <cell r="J540" t="str">
            <v>USD</v>
          </cell>
          <cell r="L540">
            <v>2005</v>
          </cell>
          <cell r="M540">
            <v>12</v>
          </cell>
        </row>
        <row r="541">
          <cell r="A541" t="str">
            <v>POWER</v>
          </cell>
          <cell r="B541" t="str">
            <v>BUDGETS</v>
          </cell>
          <cell r="D541">
            <v>107320</v>
          </cell>
          <cell r="E541" t="str">
            <v>P</v>
          </cell>
          <cell r="G541" t="str">
            <v>0001099</v>
          </cell>
          <cell r="I541" t="str">
            <v>CON2004</v>
          </cell>
          <cell r="J541" t="str">
            <v>USD</v>
          </cell>
          <cell r="L541">
            <v>2006</v>
          </cell>
          <cell r="M541">
            <v>12</v>
          </cell>
        </row>
        <row r="542">
          <cell r="A542" t="str">
            <v>POWER</v>
          </cell>
          <cell r="B542" t="str">
            <v>BUDGETS</v>
          </cell>
          <cell r="D542">
            <v>107320</v>
          </cell>
          <cell r="E542" t="str">
            <v>P</v>
          </cell>
          <cell r="G542" t="str">
            <v>0001099</v>
          </cell>
          <cell r="I542" t="str">
            <v>CON2004</v>
          </cell>
          <cell r="J542" t="str">
            <v>USD</v>
          </cell>
          <cell r="L542">
            <v>2007</v>
          </cell>
          <cell r="M542">
            <v>12</v>
          </cell>
        </row>
        <row r="543">
          <cell r="A543" t="str">
            <v>POWER</v>
          </cell>
          <cell r="B543" t="str">
            <v>BUDGETS</v>
          </cell>
          <cell r="D543">
            <v>107320</v>
          </cell>
          <cell r="E543" t="str">
            <v>P</v>
          </cell>
          <cell r="G543" t="str">
            <v>0001099</v>
          </cell>
          <cell r="I543" t="str">
            <v>CON2004</v>
          </cell>
          <cell r="J543" t="str">
            <v>USD</v>
          </cell>
          <cell r="L543">
            <v>2008</v>
          </cell>
          <cell r="M543">
            <v>12</v>
          </cell>
        </row>
        <row r="544">
          <cell r="A544" t="str">
            <v>POWER</v>
          </cell>
          <cell r="B544" t="str">
            <v>BUDGETS</v>
          </cell>
          <cell r="D544">
            <v>107320</v>
          </cell>
          <cell r="E544" t="str">
            <v>P</v>
          </cell>
          <cell r="G544" t="str">
            <v>0001671</v>
          </cell>
          <cell r="I544" t="str">
            <v>CON2004</v>
          </cell>
          <cell r="J544" t="str">
            <v>USD</v>
          </cell>
          <cell r="L544">
            <v>2003</v>
          </cell>
          <cell r="M544">
            <v>12</v>
          </cell>
        </row>
        <row r="545">
          <cell r="A545" t="str">
            <v>POWER</v>
          </cell>
          <cell r="B545" t="str">
            <v>BUDGETS</v>
          </cell>
          <cell r="D545">
            <v>107320</v>
          </cell>
          <cell r="E545" t="str">
            <v>P</v>
          </cell>
          <cell r="G545" t="str">
            <v>0001671</v>
          </cell>
          <cell r="I545" t="str">
            <v>CON2004</v>
          </cell>
          <cell r="J545" t="str">
            <v>USD</v>
          </cell>
          <cell r="L545">
            <v>2004</v>
          </cell>
          <cell r="M545">
            <v>12</v>
          </cell>
        </row>
        <row r="546">
          <cell r="A546" t="str">
            <v>POWER</v>
          </cell>
          <cell r="B546" t="str">
            <v>BUDGETS</v>
          </cell>
          <cell r="D546">
            <v>107320</v>
          </cell>
          <cell r="E546" t="str">
            <v>P</v>
          </cell>
          <cell r="G546" t="str">
            <v>0001671</v>
          </cell>
          <cell r="I546" t="str">
            <v>CON2004</v>
          </cell>
          <cell r="J546" t="str">
            <v>USD</v>
          </cell>
          <cell r="L546">
            <v>2005</v>
          </cell>
          <cell r="M546">
            <v>12</v>
          </cell>
        </row>
        <row r="547">
          <cell r="A547" t="str">
            <v>POWER</v>
          </cell>
          <cell r="B547" t="str">
            <v>BUDGETS</v>
          </cell>
          <cell r="D547">
            <v>107320</v>
          </cell>
          <cell r="E547" t="str">
            <v>P</v>
          </cell>
          <cell r="G547" t="str">
            <v>0001671</v>
          </cell>
          <cell r="I547" t="str">
            <v>CON2004</v>
          </cell>
          <cell r="J547" t="str">
            <v>USD</v>
          </cell>
          <cell r="L547">
            <v>2006</v>
          </cell>
          <cell r="M547">
            <v>12</v>
          </cell>
        </row>
        <row r="548">
          <cell r="A548" t="str">
            <v>POWER</v>
          </cell>
          <cell r="B548" t="str">
            <v>BUDGETS</v>
          </cell>
          <cell r="D548">
            <v>107320</v>
          </cell>
          <cell r="E548" t="str">
            <v>P</v>
          </cell>
          <cell r="G548" t="str">
            <v>0001671</v>
          </cell>
          <cell r="I548" t="str">
            <v>CON2004</v>
          </cell>
          <cell r="J548" t="str">
            <v>USD</v>
          </cell>
          <cell r="L548">
            <v>2007</v>
          </cell>
          <cell r="M548">
            <v>12</v>
          </cell>
        </row>
        <row r="549">
          <cell r="A549" t="str">
            <v>POWER</v>
          </cell>
          <cell r="B549" t="str">
            <v>BUDGETS</v>
          </cell>
          <cell r="D549">
            <v>107320</v>
          </cell>
          <cell r="E549" t="str">
            <v>P</v>
          </cell>
          <cell r="G549" t="str">
            <v>0001671</v>
          </cell>
          <cell r="I549" t="str">
            <v>CON2004</v>
          </cell>
          <cell r="J549" t="str">
            <v>USD</v>
          </cell>
          <cell r="L549">
            <v>2008</v>
          </cell>
          <cell r="M549">
            <v>12</v>
          </cell>
        </row>
        <row r="550">
          <cell r="A550" t="str">
            <v>POWER</v>
          </cell>
          <cell r="B550" t="str">
            <v>BUDGETS</v>
          </cell>
          <cell r="D550">
            <v>107320</v>
          </cell>
          <cell r="E550" t="str">
            <v>P</v>
          </cell>
          <cell r="G550" t="str">
            <v>0001166</v>
          </cell>
          <cell r="I550" t="str">
            <v>CON2004</v>
          </cell>
          <cell r="J550" t="str">
            <v>USD</v>
          </cell>
          <cell r="L550">
            <v>2003</v>
          </cell>
          <cell r="M550">
            <v>12</v>
          </cell>
        </row>
        <row r="551">
          <cell r="A551" t="str">
            <v>POWER</v>
          </cell>
          <cell r="B551" t="str">
            <v>BUDGETS</v>
          </cell>
          <cell r="D551">
            <v>107320</v>
          </cell>
          <cell r="E551" t="str">
            <v>P</v>
          </cell>
          <cell r="G551" t="str">
            <v>0001166</v>
          </cell>
          <cell r="I551" t="str">
            <v>CON2004</v>
          </cell>
          <cell r="J551" t="str">
            <v>USD</v>
          </cell>
          <cell r="L551">
            <v>2004</v>
          </cell>
          <cell r="M551">
            <v>12</v>
          </cell>
        </row>
        <row r="552">
          <cell r="A552" t="str">
            <v>POWER</v>
          </cell>
          <cell r="B552" t="str">
            <v>BUDGETS</v>
          </cell>
          <cell r="D552">
            <v>107320</v>
          </cell>
          <cell r="E552" t="str">
            <v>P</v>
          </cell>
          <cell r="G552" t="str">
            <v>0001166</v>
          </cell>
          <cell r="I552" t="str">
            <v>CON2004</v>
          </cell>
          <cell r="J552" t="str">
            <v>USD</v>
          </cell>
          <cell r="L552">
            <v>2005</v>
          </cell>
          <cell r="M552">
            <v>12</v>
          </cell>
        </row>
        <row r="553">
          <cell r="A553" t="str">
            <v>POWER</v>
          </cell>
          <cell r="B553" t="str">
            <v>BUDGETS</v>
          </cell>
          <cell r="D553">
            <v>107320</v>
          </cell>
          <cell r="E553" t="str">
            <v>P</v>
          </cell>
          <cell r="G553" t="str">
            <v>0001166</v>
          </cell>
          <cell r="I553" t="str">
            <v>CON2004</v>
          </cell>
          <cell r="J553" t="str">
            <v>USD</v>
          </cell>
          <cell r="L553">
            <v>2006</v>
          </cell>
          <cell r="M553">
            <v>12</v>
          </cell>
        </row>
        <row r="554">
          <cell r="A554" t="str">
            <v>POWER</v>
          </cell>
          <cell r="B554" t="str">
            <v>BUDGETS</v>
          </cell>
          <cell r="D554">
            <v>107320</v>
          </cell>
          <cell r="E554" t="str">
            <v>P</v>
          </cell>
          <cell r="G554" t="str">
            <v>0001166</v>
          </cell>
          <cell r="I554" t="str">
            <v>CON2004</v>
          </cell>
          <cell r="J554" t="str">
            <v>USD</v>
          </cell>
          <cell r="L554">
            <v>2007</v>
          </cell>
          <cell r="M554">
            <v>12</v>
          </cell>
        </row>
        <row r="555">
          <cell r="A555" t="str">
            <v>POWER</v>
          </cell>
          <cell r="B555" t="str">
            <v>BUDGETS</v>
          </cell>
          <cell r="D555">
            <v>107320</v>
          </cell>
          <cell r="E555" t="str">
            <v>P</v>
          </cell>
          <cell r="G555" t="str">
            <v>0001166</v>
          </cell>
          <cell r="I555" t="str">
            <v>CON2004</v>
          </cell>
          <cell r="J555" t="str">
            <v>USD</v>
          </cell>
          <cell r="L555">
            <v>2008</v>
          </cell>
          <cell r="M555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G9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.8515625" style="285" customWidth="1"/>
    <col min="2" max="2" width="3.00390625" style="285" customWidth="1"/>
    <col min="3" max="3" width="3.28125" style="285" customWidth="1"/>
    <col min="4" max="4" width="54.00390625" style="285" customWidth="1"/>
    <col min="5" max="5" width="11.7109375" style="285" bestFit="1" customWidth="1"/>
    <col min="6" max="6" width="11.140625" style="285" customWidth="1"/>
    <col min="7" max="16384" width="9.140625" style="285" customWidth="1"/>
  </cols>
  <sheetData>
    <row r="1" spans="1:6" ht="12.75">
      <c r="A1" s="406" t="s">
        <v>262</v>
      </c>
      <c r="B1" s="406"/>
      <c r="C1" s="406"/>
      <c r="D1" s="406"/>
      <c r="E1" s="406"/>
      <c r="F1" s="406"/>
    </row>
    <row r="2" spans="1:6" ht="12.75">
      <c r="A2" s="406" t="s">
        <v>263</v>
      </c>
      <c r="B2" s="406"/>
      <c r="C2" s="406"/>
      <c r="D2" s="406"/>
      <c r="E2" s="406"/>
      <c r="F2" s="406"/>
    </row>
    <row r="3" spans="1:6" ht="12.75">
      <c r="A3" s="406" t="s">
        <v>283</v>
      </c>
      <c r="B3" s="406"/>
      <c r="C3" s="406"/>
      <c r="D3" s="406"/>
      <c r="E3" s="406"/>
      <c r="F3" s="406"/>
    </row>
    <row r="4" spans="1:6" ht="12.75">
      <c r="A4" s="286"/>
      <c r="B4" s="286"/>
      <c r="C4" s="286"/>
      <c r="D4" s="286"/>
      <c r="E4" s="286"/>
      <c r="F4" s="286"/>
    </row>
    <row r="5" spans="1:6" ht="12.75">
      <c r="A5" s="286"/>
      <c r="B5" s="286"/>
      <c r="C5" s="286"/>
      <c r="D5" s="286"/>
      <c r="E5" s="287" t="s">
        <v>172</v>
      </c>
      <c r="F5" s="287" t="s">
        <v>173</v>
      </c>
    </row>
    <row r="6" spans="4:6" ht="12.75">
      <c r="D6" s="288"/>
      <c r="E6" s="284">
        <v>2018</v>
      </c>
      <c r="F6" s="284">
        <v>2019</v>
      </c>
    </row>
    <row r="7" spans="1:2" ht="12.75">
      <c r="A7" s="285">
        <v>1</v>
      </c>
      <c r="B7" s="285" t="s">
        <v>186</v>
      </c>
    </row>
    <row r="8" spans="1:6" ht="12.75">
      <c r="A8" s="285">
        <v>2</v>
      </c>
      <c r="C8" s="285" t="s">
        <v>187</v>
      </c>
      <c r="E8" s="195"/>
      <c r="F8" s="195"/>
    </row>
    <row r="9" spans="1:6" ht="12.75">
      <c r="A9" s="285">
        <v>3</v>
      </c>
      <c r="D9" s="285" t="s">
        <v>188</v>
      </c>
      <c r="E9" s="195">
        <f>('IPR Data'!C4+'IPR Data'!C5+'IPR Data'!C6+'IPR Data'!C13)/1000</f>
        <v>703407.027</v>
      </c>
      <c r="F9" s="195">
        <f>('IPR Data'!D4+'IPR Data'!D5+'IPR Data'!D6+'IPR Data'!D13)/1000</f>
        <v>759721.338</v>
      </c>
    </row>
    <row r="10" spans="1:6" ht="12.75">
      <c r="A10" s="285">
        <v>4</v>
      </c>
      <c r="D10" s="285" t="s">
        <v>189</v>
      </c>
      <c r="E10" s="195">
        <f>+'IPR Data'!C14/1000</f>
        <v>22612.478</v>
      </c>
      <c r="F10" s="195">
        <f>+'IPR Data'!D14/1000</f>
        <v>22996.89</v>
      </c>
    </row>
    <row r="11" spans="1:6" ht="12.75">
      <c r="A11" s="285">
        <v>5</v>
      </c>
      <c r="D11" s="285" t="s">
        <v>190</v>
      </c>
      <c r="E11" s="195">
        <f>+'IPR Data'!C17/1000</f>
        <v>1500</v>
      </c>
      <c r="F11" s="195">
        <f>+'IPR Data'!D17/1000</f>
        <v>1534</v>
      </c>
    </row>
    <row r="12" spans="1:6" ht="12.75">
      <c r="A12" s="285">
        <v>6</v>
      </c>
      <c r="D12" s="285" t="s">
        <v>191</v>
      </c>
      <c r="E12" s="195">
        <f>+'cost table'!D16+'Modeling results'!B12+'Modeling results'!B13+'Modeling results'!B14</f>
        <v>100634.31286402777</v>
      </c>
      <c r="F12" s="195">
        <f>+'cost table'!E16+'Modeling results'!C12+'Modeling results'!C13+'Modeling results'!C14</f>
        <v>99620.52050860555</v>
      </c>
    </row>
    <row r="13" spans="1:6" ht="12.75">
      <c r="A13" s="285">
        <v>7</v>
      </c>
      <c r="D13" s="285" t="s">
        <v>143</v>
      </c>
      <c r="E13" s="195">
        <f>+'Modeling results'!B11</f>
        <v>0</v>
      </c>
      <c r="F13" s="195">
        <f>+'Modeling results'!C11</f>
        <v>12222</v>
      </c>
    </row>
    <row r="14" spans="1:6" ht="12.75">
      <c r="A14" s="285">
        <v>8</v>
      </c>
      <c r="D14" s="285" t="s">
        <v>192</v>
      </c>
      <c r="E14" s="195">
        <f>+'Modeling results'!B8</f>
        <v>317902</v>
      </c>
      <c r="F14" s="195">
        <f>+'Modeling results'!C8</f>
        <v>317916</v>
      </c>
    </row>
    <row r="15" spans="1:6" ht="12.75">
      <c r="A15" s="285">
        <v>9</v>
      </c>
      <c r="D15" s="285" t="s">
        <v>193</v>
      </c>
      <c r="E15" s="195">
        <f>+'IPR Data'!C24/1000</f>
        <v>38331.832</v>
      </c>
      <c r="F15" s="195">
        <f>+'IPR Data'!D24/1000</f>
        <v>39059.891</v>
      </c>
    </row>
    <row r="16" spans="1:6" ht="12.75">
      <c r="A16" s="285">
        <v>10</v>
      </c>
      <c r="D16" s="285" t="s">
        <v>194</v>
      </c>
      <c r="E16" s="195">
        <f>+'IPR Data'!C34/1000</f>
        <v>126267.003</v>
      </c>
      <c r="F16" s="195">
        <f>+'IPR Data'!D34/1000</f>
        <v>126187.079</v>
      </c>
    </row>
    <row r="17" spans="1:6" ht="12.75">
      <c r="A17" s="285">
        <v>11</v>
      </c>
      <c r="C17" s="285" t="s">
        <v>195</v>
      </c>
      <c r="E17" s="195">
        <f>+'IPR Data'!C53/1000</f>
        <v>90411.461</v>
      </c>
      <c r="F17" s="195">
        <f>+'IPR Data'!D53/1000</f>
        <v>94319.069</v>
      </c>
    </row>
    <row r="18" spans="1:6" ht="12.75">
      <c r="A18" s="285">
        <v>12</v>
      </c>
      <c r="C18" s="285" t="s">
        <v>196</v>
      </c>
      <c r="E18" s="195">
        <f>+('IPR Data'!C38+'IPR Data'!C35)/1000+'Modeling results'!B19+'Modeling results'!B28</f>
        <v>215044.4701217253</v>
      </c>
      <c r="F18" s="195">
        <f>+('IPR Data'!D38+'IPR Data'!D35)/1000+'Modeling results'!C19+'Modeling results'!C28</f>
        <v>211640.23393102537</v>
      </c>
    </row>
    <row r="19" spans="1:6" ht="12.75">
      <c r="A19" s="285">
        <v>13</v>
      </c>
      <c r="C19" s="285" t="s">
        <v>374</v>
      </c>
      <c r="E19" s="195">
        <f>+'IPR Data'!C57/1000</f>
        <v>321820.531</v>
      </c>
      <c r="F19" s="195">
        <f>+'IPR Data'!D57/1000</f>
        <v>322100.917</v>
      </c>
    </row>
    <row r="20" spans="1:6" ht="12.75">
      <c r="A20" s="285">
        <v>14</v>
      </c>
      <c r="C20" s="285" t="s">
        <v>197</v>
      </c>
      <c r="E20" s="195">
        <f>+'IPR Data'!C61/1000+'IPR Data'!C58/1000</f>
        <v>79353.238</v>
      </c>
      <c r="F20" s="195">
        <f>+'IPR Data'!D61/1000+'IPR Data'!D58/1000</f>
        <v>81416.592</v>
      </c>
    </row>
    <row r="21" spans="1:7" ht="12.75">
      <c r="A21" s="285">
        <v>15</v>
      </c>
      <c r="C21" s="285" t="s">
        <v>198</v>
      </c>
      <c r="E21" s="195">
        <f>+'cost table'!D69+'cost table'!D70+'cost table'!D71+'cost table'!D72</f>
        <v>-128728.35724599985</v>
      </c>
      <c r="F21" s="195">
        <f>+'cost table'!E69+'cost table'!E70+'cost table'!E71+'cost table'!E72</f>
        <v>-74167.95900000015</v>
      </c>
      <c r="G21" s="195"/>
    </row>
    <row r="22" spans="1:6" ht="12.75">
      <c r="A22" s="285">
        <v>16</v>
      </c>
      <c r="C22" s="285" t="s">
        <v>213</v>
      </c>
      <c r="E22" s="195">
        <f>+'Non-Federal DS'!F15</f>
        <v>490561.8091259999</v>
      </c>
      <c r="F22" s="195">
        <f>+'Non-Federal DS'!G15</f>
        <v>420704.15750000003</v>
      </c>
    </row>
    <row r="23" spans="1:6" ht="12.75">
      <c r="A23" s="285">
        <v>17</v>
      </c>
      <c r="C23" s="289" t="s">
        <v>214</v>
      </c>
      <c r="E23" s="195">
        <v>144091.87550166668</v>
      </c>
      <c r="F23" s="195">
        <v>144065.45318666665</v>
      </c>
    </row>
    <row r="24" spans="1:6" ht="12.75">
      <c r="A24" s="285">
        <v>18</v>
      </c>
      <c r="C24" s="289" t="s">
        <v>215</v>
      </c>
      <c r="E24" s="195">
        <v>86795.86666666667</v>
      </c>
      <c r="F24" s="195">
        <v>87458.29946666668</v>
      </c>
    </row>
    <row r="25" spans="1:6" ht="12.75">
      <c r="A25" s="285">
        <v>19</v>
      </c>
      <c r="B25" s="285" t="s">
        <v>216</v>
      </c>
      <c r="E25" s="195">
        <f>SUM(E9:E24)</f>
        <v>2610005.547034086</v>
      </c>
      <c r="F25" s="195">
        <f>SUM(F9:F24)</f>
        <v>2666794.4815929644</v>
      </c>
    </row>
    <row r="26" spans="1:6" ht="12.75">
      <c r="A26" s="285">
        <v>20</v>
      </c>
      <c r="E26" s="195"/>
      <c r="F26" s="195"/>
    </row>
    <row r="27" spans="1:6" ht="12.75">
      <c r="A27" s="285">
        <v>21</v>
      </c>
      <c r="B27" s="290" t="s">
        <v>201</v>
      </c>
      <c r="C27" s="290"/>
      <c r="D27" s="290"/>
      <c r="E27" s="195"/>
      <c r="F27" s="195"/>
    </row>
    <row r="28" spans="1:4" ht="12.75">
      <c r="A28" s="285">
        <v>22</v>
      </c>
      <c r="B28" s="290"/>
      <c r="C28" s="290" t="s">
        <v>202</v>
      </c>
      <c r="D28" s="290"/>
    </row>
    <row r="29" spans="1:6" ht="12.75">
      <c r="A29" s="285">
        <v>23</v>
      </c>
      <c r="B29" s="290"/>
      <c r="C29" s="290"/>
      <c r="D29" s="290" t="s">
        <v>203</v>
      </c>
      <c r="E29" s="195">
        <f>+'Federal Capital Costs'!C5</f>
        <v>83294</v>
      </c>
      <c r="F29" s="195">
        <f>+'Federal Capital Costs'!D5</f>
        <v>82687</v>
      </c>
    </row>
    <row r="30" spans="1:6" ht="12.75">
      <c r="A30" s="285">
        <v>24</v>
      </c>
      <c r="B30" s="290"/>
      <c r="D30" s="290" t="s">
        <v>204</v>
      </c>
      <c r="E30" s="195">
        <f>+'cost table'!D86</f>
        <v>-45937</v>
      </c>
      <c r="F30" s="195">
        <f>+'cost table'!E86</f>
        <v>-45937</v>
      </c>
    </row>
    <row r="31" spans="1:6" ht="12.75">
      <c r="A31" s="285">
        <v>25</v>
      </c>
      <c r="B31" s="290"/>
      <c r="C31" s="290"/>
      <c r="D31" s="290" t="s">
        <v>205</v>
      </c>
      <c r="E31" s="195">
        <f>+'Federal Capital Costs'!C4</f>
        <v>56449</v>
      </c>
      <c r="F31" s="195">
        <f>+'Federal Capital Costs'!D4</f>
        <v>63302</v>
      </c>
    </row>
    <row r="32" spans="1:6" ht="12.75">
      <c r="A32" s="285">
        <v>26</v>
      </c>
      <c r="B32" s="289"/>
      <c r="D32" s="289" t="s">
        <v>206</v>
      </c>
      <c r="E32" s="195">
        <f>+'Federal Capital Costs'!C34</f>
        <v>0</v>
      </c>
      <c r="F32" s="195">
        <f>+'Federal Capital Costs'!D34</f>
        <v>0</v>
      </c>
    </row>
    <row r="33" spans="1:6" ht="12.75">
      <c r="A33" s="285">
        <v>27</v>
      </c>
      <c r="B33" s="289"/>
      <c r="D33" s="290" t="s">
        <v>284</v>
      </c>
      <c r="E33" s="195">
        <f>+'cost table'!D88</f>
        <v>11627.714081461887</v>
      </c>
      <c r="F33" s="195">
        <f>+'cost table'!E88</f>
        <v>10747.46794684212</v>
      </c>
    </row>
    <row r="34" spans="1:6" ht="12.75">
      <c r="A34" s="285">
        <v>28</v>
      </c>
      <c r="B34" s="289"/>
      <c r="C34" s="290" t="s">
        <v>207</v>
      </c>
      <c r="D34" s="290"/>
      <c r="E34" s="195">
        <f>+'cost table'!D90</f>
        <v>-8379.415325</v>
      </c>
      <c r="F34" s="195">
        <f>+'cost table'!E90</f>
        <v>-8307.435</v>
      </c>
    </row>
    <row r="35" spans="1:6" ht="12.75">
      <c r="A35" s="285">
        <v>29</v>
      </c>
      <c r="B35" s="290"/>
      <c r="C35" s="290" t="s">
        <v>208</v>
      </c>
      <c r="D35" s="290"/>
      <c r="E35" s="388">
        <f>+'interest credit calculations'!C13</f>
        <v>-1392.169</v>
      </c>
      <c r="F35" s="388">
        <f>+'interest credit calculations'!D13</f>
        <v>-2205.1315</v>
      </c>
    </row>
    <row r="36" spans="1:6" ht="12.75">
      <c r="A36" s="285">
        <v>30</v>
      </c>
      <c r="B36" s="290" t="s">
        <v>209</v>
      </c>
      <c r="C36" s="290"/>
      <c r="D36" s="290"/>
      <c r="E36" s="195">
        <f>SUM(E29:E35)</f>
        <v>95662.1297564619</v>
      </c>
      <c r="F36" s="195">
        <f>SUM(F29:F35)</f>
        <v>100286.90144684212</v>
      </c>
    </row>
    <row r="37" spans="1:6" ht="12.75">
      <c r="A37" s="285">
        <v>31</v>
      </c>
      <c r="B37" s="195"/>
      <c r="C37" s="195"/>
      <c r="D37" s="195"/>
      <c r="E37" s="195"/>
      <c r="F37" s="195"/>
    </row>
    <row r="38" spans="1:6" ht="12.75">
      <c r="A38" s="285">
        <v>32</v>
      </c>
      <c r="B38" s="195" t="s">
        <v>210</v>
      </c>
      <c r="C38" s="195"/>
      <c r="D38" s="195"/>
      <c r="E38" s="195">
        <f>E36+E25</f>
        <v>2705667.676790548</v>
      </c>
      <c r="F38" s="195">
        <f>F36+F25</f>
        <v>2767081.3830398065</v>
      </c>
    </row>
    <row r="39" spans="1:6" ht="12.75">
      <c r="A39" s="285">
        <v>33</v>
      </c>
      <c r="B39" s="195"/>
      <c r="C39" s="195"/>
      <c r="D39" s="195"/>
      <c r="E39" s="195"/>
      <c r="F39" s="195"/>
    </row>
    <row r="40" spans="1:6" ht="12.75">
      <c r="A40" s="285">
        <v>34</v>
      </c>
      <c r="B40" s="195" t="s">
        <v>211</v>
      </c>
      <c r="C40" s="195"/>
      <c r="D40" s="195"/>
      <c r="E40" s="195">
        <f>E57</f>
        <v>220251.54375020473</v>
      </c>
      <c r="F40" s="195">
        <f>F57</f>
        <v>67983.77939982456</v>
      </c>
    </row>
    <row r="41" spans="1:6" ht="12.75">
      <c r="A41" s="285">
        <v>35</v>
      </c>
      <c r="B41" s="195" t="s">
        <v>212</v>
      </c>
      <c r="C41" s="195"/>
      <c r="D41" s="195"/>
      <c r="E41" s="195">
        <f>+'Modeling results'!B31</f>
        <v>20000</v>
      </c>
      <c r="F41" s="195">
        <f>+'Modeling results'!C31</f>
        <v>20000</v>
      </c>
    </row>
    <row r="42" spans="1:6" ht="12.75">
      <c r="A42" s="285">
        <v>36</v>
      </c>
      <c r="B42" s="195" t="s">
        <v>735</v>
      </c>
      <c r="C42" s="195"/>
      <c r="D42" s="195"/>
      <c r="E42" s="195">
        <f>E40+E41</f>
        <v>240251.54375020473</v>
      </c>
      <c r="F42" s="195">
        <f>F40+F41</f>
        <v>87983.77939982456</v>
      </c>
    </row>
    <row r="43" spans="1:6" ht="12.75">
      <c r="A43" s="285">
        <v>37</v>
      </c>
      <c r="B43" s="195"/>
      <c r="C43" s="195"/>
      <c r="D43" s="195"/>
      <c r="E43" s="195"/>
      <c r="F43" s="195"/>
    </row>
    <row r="44" spans="1:6" ht="12.75">
      <c r="A44" s="285">
        <v>38</v>
      </c>
      <c r="B44" s="198" t="s">
        <v>264</v>
      </c>
      <c r="C44" s="195"/>
      <c r="D44" s="195"/>
      <c r="E44" s="198">
        <f>E42+E38</f>
        <v>2945919.2205407526</v>
      </c>
      <c r="F44" s="198">
        <f>F42+F38</f>
        <v>2855065.1624396313</v>
      </c>
    </row>
    <row r="45" spans="5:6" ht="12.75">
      <c r="E45" s="195"/>
      <c r="F45" s="195"/>
    </row>
    <row r="46" spans="5:6" ht="12.75">
      <c r="E46" s="195"/>
      <c r="F46" s="195"/>
    </row>
    <row r="47" spans="1:6" ht="12.75">
      <c r="A47" s="291" t="s">
        <v>265</v>
      </c>
      <c r="B47" s="285" t="s">
        <v>718</v>
      </c>
      <c r="E47" s="195"/>
      <c r="F47" s="195"/>
    </row>
    <row r="48" ht="12.75">
      <c r="A48" s="291"/>
    </row>
    <row r="50" spans="1:6" ht="12.75">
      <c r="A50" s="406" t="s">
        <v>262</v>
      </c>
      <c r="B50" s="406"/>
      <c r="C50" s="406"/>
      <c r="D50" s="406"/>
      <c r="E50" s="406"/>
      <c r="F50" s="406"/>
    </row>
    <row r="51" spans="1:6" ht="12.75">
      <c r="A51" s="406" t="s">
        <v>266</v>
      </c>
      <c r="B51" s="406"/>
      <c r="C51" s="406"/>
      <c r="D51" s="406"/>
      <c r="E51" s="406"/>
      <c r="F51" s="406"/>
    </row>
    <row r="52" spans="1:6" ht="12.75">
      <c r="A52" s="406" t="s">
        <v>283</v>
      </c>
      <c r="B52" s="406"/>
      <c r="C52" s="406"/>
      <c r="D52" s="406"/>
      <c r="E52" s="406"/>
      <c r="F52" s="406"/>
    </row>
    <row r="53" spans="1:6" ht="12.75">
      <c r="A53" s="195"/>
      <c r="B53" s="195"/>
      <c r="C53" s="195"/>
      <c r="D53" s="195"/>
      <c r="E53" s="195"/>
      <c r="F53" s="195"/>
    </row>
    <row r="54" spans="1:6" ht="12.75">
      <c r="A54" s="195"/>
      <c r="B54" s="195"/>
      <c r="C54" s="195"/>
      <c r="D54" s="195"/>
      <c r="E54" s="287" t="s">
        <v>172</v>
      </c>
      <c r="F54" s="287" t="s">
        <v>173</v>
      </c>
    </row>
    <row r="55" spans="1:6" ht="12.75">
      <c r="A55" s="195"/>
      <c r="B55" s="195"/>
      <c r="C55" s="195"/>
      <c r="D55" s="288"/>
      <c r="E55" s="284">
        <f>+E6</f>
        <v>2018</v>
      </c>
      <c r="F55" s="284">
        <f>+F6</f>
        <v>2019</v>
      </c>
    </row>
    <row r="56" spans="1:6" ht="12.75">
      <c r="A56" s="195">
        <v>1</v>
      </c>
      <c r="B56" s="195" t="s">
        <v>267</v>
      </c>
      <c r="C56" s="195"/>
      <c r="D56" s="195"/>
      <c r="E56" s="195"/>
      <c r="F56" s="195"/>
    </row>
    <row r="57" spans="1:6" ht="12.75">
      <c r="A57" s="195">
        <v>2</v>
      </c>
      <c r="B57" s="195"/>
      <c r="C57" s="195" t="s">
        <v>211</v>
      </c>
      <c r="D57" s="195"/>
      <c r="E57" s="195">
        <f>IF(SUM(E59:E64)+E72+E82&gt;0,0,-(SUM(E59:E64)+E72+E82))</f>
        <v>220251.54375020473</v>
      </c>
      <c r="F57" s="195">
        <f aca="true" t="shared" si="0" ref="F57">IF(SUM(F59:F64)+F72+F82&gt;0,0,-(SUM(F59:F64)+F72+F82))</f>
        <v>67983.77939982456</v>
      </c>
    </row>
    <row r="58" spans="1:6" ht="12.75">
      <c r="A58" s="195">
        <v>3</v>
      </c>
      <c r="B58" s="195"/>
      <c r="C58" s="195" t="s">
        <v>268</v>
      </c>
      <c r="D58" s="195"/>
      <c r="E58" s="195"/>
      <c r="F58" s="195"/>
    </row>
    <row r="59" spans="1:6" ht="12.75">
      <c r="A59" s="195">
        <v>4</v>
      </c>
      <c r="B59" s="195"/>
      <c r="C59" s="195"/>
      <c r="D59" s="195" t="s">
        <v>284</v>
      </c>
      <c r="E59" s="195">
        <f>+E33</f>
        <v>11627.714081461887</v>
      </c>
      <c r="F59" s="195">
        <f>+F33</f>
        <v>10747.46794684212</v>
      </c>
    </row>
    <row r="60" spans="1:6" ht="12.75">
      <c r="A60" s="195">
        <v>5</v>
      </c>
      <c r="B60" s="195"/>
      <c r="C60" s="195"/>
      <c r="D60" s="195" t="s">
        <v>269</v>
      </c>
      <c r="E60" s="195">
        <f>E24+E23</f>
        <v>230887.74216833335</v>
      </c>
      <c r="F60" s="195">
        <f>F24+F23</f>
        <v>231523.75265333333</v>
      </c>
    </row>
    <row r="61" spans="1:6" s="289" customFormat="1" ht="12.75">
      <c r="A61" s="195">
        <v>6</v>
      </c>
      <c r="B61" s="290"/>
      <c r="C61" s="290"/>
      <c r="D61" s="290" t="s">
        <v>660</v>
      </c>
      <c r="E61" s="290">
        <v>0</v>
      </c>
      <c r="F61" s="290">
        <v>0</v>
      </c>
    </row>
    <row r="62" spans="1:6" s="289" customFormat="1" ht="12.75">
      <c r="A62" s="195">
        <v>7</v>
      </c>
      <c r="B62" s="290"/>
      <c r="C62" s="290"/>
      <c r="D62" s="290" t="s">
        <v>206</v>
      </c>
      <c r="E62" s="290">
        <v>0</v>
      </c>
      <c r="F62" s="290">
        <v>0</v>
      </c>
    </row>
    <row r="63" spans="1:6" s="289" customFormat="1" ht="12.75">
      <c r="A63" s="195">
        <v>8</v>
      </c>
      <c r="B63" s="290"/>
      <c r="C63" s="290"/>
      <c r="D63" s="290" t="s">
        <v>204</v>
      </c>
      <c r="E63" s="290">
        <f aca="true" t="shared" si="1" ref="E63:F63">E30</f>
        <v>-45937</v>
      </c>
      <c r="F63" s="290">
        <f t="shared" si="1"/>
        <v>-45937</v>
      </c>
    </row>
    <row r="64" spans="1:6" s="289" customFormat="1" ht="12.75">
      <c r="A64" s="195">
        <v>9</v>
      </c>
      <c r="B64" s="290"/>
      <c r="D64" s="290" t="s">
        <v>379</v>
      </c>
      <c r="E64" s="290">
        <f>-'cost table'!D109-'Federal Capital Costs'!C15-'Billing Credits'!C7</f>
        <v>-34124</v>
      </c>
      <c r="F64" s="290">
        <f>-'cost table'!E109-'Federal Capital Costs'!D15-'Billing Credits'!D7</f>
        <v>-34124</v>
      </c>
    </row>
    <row r="65" spans="1:6" s="289" customFormat="1" ht="12.75">
      <c r="A65" s="195">
        <v>10</v>
      </c>
      <c r="B65" s="290" t="s">
        <v>270</v>
      </c>
      <c r="C65" s="290"/>
      <c r="D65" s="290"/>
      <c r="E65" s="375">
        <f>SUM(E57:E64)</f>
        <v>382706</v>
      </c>
      <c r="F65" s="375">
        <f aca="true" t="shared" si="2" ref="F65">SUM(F57:F64)</f>
        <v>230194</v>
      </c>
    </row>
    <row r="66" spans="1:6" s="289" customFormat="1" ht="12.75">
      <c r="A66" s="195">
        <v>11</v>
      </c>
      <c r="B66" s="290"/>
      <c r="C66" s="290"/>
      <c r="D66" s="290"/>
      <c r="E66" s="290"/>
      <c r="F66" s="290"/>
    </row>
    <row r="67" spans="1:6" s="289" customFormat="1" ht="12.75">
      <c r="A67" s="195">
        <v>12</v>
      </c>
      <c r="B67" s="290" t="s">
        <v>457</v>
      </c>
      <c r="C67" s="290"/>
      <c r="D67" s="290"/>
      <c r="E67" s="290"/>
      <c r="F67" s="290"/>
    </row>
    <row r="68" spans="1:6" s="289" customFormat="1" ht="12.75">
      <c r="A68" s="195">
        <v>13</v>
      </c>
      <c r="B68" s="290"/>
      <c r="C68" s="290" t="s">
        <v>271</v>
      </c>
      <c r="D68" s="290"/>
      <c r="E68" s="290"/>
      <c r="F68" s="290"/>
    </row>
    <row r="69" spans="1:6" s="289" customFormat="1" ht="12.75">
      <c r="A69" s="195">
        <v>14</v>
      </c>
      <c r="B69" s="290"/>
      <c r="C69" s="290"/>
      <c r="D69" s="290" t="s">
        <v>272</v>
      </c>
      <c r="E69" s="290">
        <f>-'Fed Projections'!C11-'Fed Projections'!C13-'Fed Projections'!C12</f>
        <v>-401786</v>
      </c>
      <c r="F69" s="290">
        <f>-'Fed Projections'!D11-'Fed Projections'!D13-'Fed Projections'!D12</f>
        <v>-339696</v>
      </c>
    </row>
    <row r="70" spans="1:6" s="289" customFormat="1" ht="12.75">
      <c r="A70" s="195">
        <v>15</v>
      </c>
      <c r="B70" s="290"/>
      <c r="C70" s="290"/>
      <c r="D70" s="290" t="s">
        <v>273</v>
      </c>
      <c r="E70" s="290">
        <v>0</v>
      </c>
      <c r="F70" s="290">
        <v>0</v>
      </c>
    </row>
    <row r="71" spans="1:6" s="289" customFormat="1" ht="12.75">
      <c r="A71" s="195">
        <v>16</v>
      </c>
      <c r="B71" s="290"/>
      <c r="C71" s="290"/>
      <c r="D71" s="290" t="s">
        <v>259</v>
      </c>
      <c r="E71" s="290">
        <f>-'Fed Projections'!C14</f>
        <v>-51000</v>
      </c>
      <c r="F71" s="290">
        <f>-'Fed Projections'!D14</f>
        <v>-44000</v>
      </c>
    </row>
    <row r="72" spans="1:6" s="289" customFormat="1" ht="12.75">
      <c r="A72" s="195">
        <v>17</v>
      </c>
      <c r="B72" s="290" t="s">
        <v>381</v>
      </c>
      <c r="C72" s="290"/>
      <c r="D72" s="290"/>
      <c r="E72" s="290">
        <f>SUM(E69:E71)</f>
        <v>-452786</v>
      </c>
      <c r="F72" s="290">
        <f>SUM(F69:F71)</f>
        <v>-383696</v>
      </c>
    </row>
    <row r="73" spans="1:6" s="289" customFormat="1" ht="12.75">
      <c r="A73" s="195">
        <v>18</v>
      </c>
      <c r="B73" s="290"/>
      <c r="C73" s="290"/>
      <c r="D73" s="290"/>
      <c r="E73" s="290"/>
      <c r="F73" s="290"/>
    </row>
    <row r="74" spans="1:6" s="289" customFormat="1" ht="12.75">
      <c r="A74" s="195">
        <v>19</v>
      </c>
      <c r="B74" s="290" t="s">
        <v>274</v>
      </c>
      <c r="C74" s="290"/>
      <c r="D74" s="290"/>
      <c r="E74" s="290"/>
      <c r="F74" s="290"/>
    </row>
    <row r="75" spans="1:6" s="289" customFormat="1" ht="12.75">
      <c r="A75" s="195">
        <v>20</v>
      </c>
      <c r="C75" s="290" t="s">
        <v>275</v>
      </c>
      <c r="D75" s="290"/>
      <c r="E75" s="290">
        <f>E72*-1-E77-E80</f>
        <v>305600</v>
      </c>
      <c r="F75" s="290">
        <f>F72*-1-F77-F80</f>
        <v>319950</v>
      </c>
    </row>
    <row r="76" spans="1:6" s="289" customFormat="1" ht="12.75">
      <c r="A76" s="195">
        <v>21</v>
      </c>
      <c r="C76" s="290" t="s">
        <v>276</v>
      </c>
      <c r="D76" s="290"/>
      <c r="E76" s="290">
        <f>-'Federal Capital Costs'!C12</f>
        <v>-44150</v>
      </c>
      <c r="F76" s="290">
        <f>-'Federal Capital Costs'!D12</f>
        <v>-156250</v>
      </c>
    </row>
    <row r="77" spans="1:6" s="289" customFormat="1" ht="12.75">
      <c r="A77" s="195">
        <v>22</v>
      </c>
      <c r="C77" s="290" t="s">
        <v>277</v>
      </c>
      <c r="D77" s="290"/>
      <c r="E77" s="290">
        <f>+'Fed Projections'!C12</f>
        <v>147186</v>
      </c>
      <c r="F77" s="290">
        <f>+'Fed Projections'!D12</f>
        <v>63746</v>
      </c>
    </row>
    <row r="78" spans="1:6" s="289" customFormat="1" ht="12.75">
      <c r="A78" s="195">
        <v>23</v>
      </c>
      <c r="C78" s="290" t="s">
        <v>278</v>
      </c>
      <c r="D78" s="290"/>
      <c r="E78" s="290">
        <f>-'cost table'!D108</f>
        <v>-91070</v>
      </c>
      <c r="F78" s="290">
        <f>-'cost table'!E108</f>
        <v>-17371</v>
      </c>
    </row>
    <row r="79" spans="1:6" s="289" customFormat="1" ht="12.75">
      <c r="A79" s="195">
        <v>24</v>
      </c>
      <c r="C79" s="290" t="s">
        <v>661</v>
      </c>
      <c r="D79" s="290"/>
      <c r="E79" s="290">
        <f>-'Non-Federal DS'!F18</f>
        <v>-220252</v>
      </c>
      <c r="F79" s="290">
        <v>0</v>
      </c>
    </row>
    <row r="80" spans="1:6" s="289" customFormat="1" ht="12.75">
      <c r="A80" s="195">
        <v>25</v>
      </c>
      <c r="C80" s="290" t="s">
        <v>385</v>
      </c>
      <c r="D80" s="290"/>
      <c r="E80" s="290">
        <v>0</v>
      </c>
      <c r="F80" s="290">
        <v>0</v>
      </c>
    </row>
    <row r="81" spans="1:6" ht="12.75">
      <c r="A81" s="195">
        <v>26</v>
      </c>
      <c r="C81" s="195" t="s">
        <v>279</v>
      </c>
      <c r="D81" s="195"/>
      <c r="E81" s="195">
        <f>-'cost table'!D102</f>
        <v>-27234</v>
      </c>
      <c r="F81" s="195">
        <f>-'cost table'!E102</f>
        <v>-56573</v>
      </c>
    </row>
    <row r="82" spans="1:6" ht="12.75">
      <c r="A82" s="195">
        <v>27</v>
      </c>
      <c r="B82" s="195" t="s">
        <v>280</v>
      </c>
      <c r="C82" s="195"/>
      <c r="D82" s="195"/>
      <c r="E82" s="195">
        <f>SUM(E75:E81)</f>
        <v>70080</v>
      </c>
      <c r="F82" s="195">
        <f>SUM(F75:F81)</f>
        <v>153502</v>
      </c>
    </row>
    <row r="83" spans="1:6" ht="12.75">
      <c r="A83" s="195">
        <v>28</v>
      </c>
      <c r="B83" s="195"/>
      <c r="C83" s="195"/>
      <c r="D83" s="195"/>
      <c r="E83" s="195"/>
      <c r="F83" s="195"/>
    </row>
    <row r="84" spans="1:6" ht="12.75">
      <c r="A84" s="195">
        <v>29</v>
      </c>
      <c r="B84" s="195" t="s">
        <v>281</v>
      </c>
      <c r="C84" s="195"/>
      <c r="D84" s="195"/>
      <c r="E84" s="195">
        <f>E65+E72+E82</f>
        <v>0</v>
      </c>
      <c r="F84" s="195">
        <f>F65+F72+F82</f>
        <v>0</v>
      </c>
    </row>
    <row r="85" spans="1:6" ht="12.75">
      <c r="A85" s="195">
        <v>30</v>
      </c>
      <c r="B85" s="195"/>
      <c r="C85" s="195"/>
      <c r="D85" s="195"/>
      <c r="E85" s="195"/>
      <c r="F85" s="195"/>
    </row>
    <row r="86" spans="1:6" ht="12.75">
      <c r="A86" s="195">
        <v>31</v>
      </c>
      <c r="B86" s="195" t="s">
        <v>212</v>
      </c>
      <c r="C86" s="195"/>
      <c r="D86" s="195"/>
      <c r="E86" s="195">
        <f>E41</f>
        <v>20000</v>
      </c>
      <c r="F86" s="195">
        <f>F41</f>
        <v>20000</v>
      </c>
    </row>
    <row r="87" spans="1:6" ht="12.75">
      <c r="A87" s="195">
        <v>32</v>
      </c>
      <c r="B87" s="195"/>
      <c r="C87" s="195"/>
      <c r="D87" s="195"/>
      <c r="E87" s="195"/>
      <c r="F87" s="195"/>
    </row>
    <row r="88" spans="1:6" ht="12.75">
      <c r="A88" s="195">
        <v>33</v>
      </c>
      <c r="B88" s="195" t="s">
        <v>282</v>
      </c>
      <c r="C88" s="195"/>
      <c r="D88" s="195"/>
      <c r="E88" s="195">
        <f>E84+E86</f>
        <v>20000</v>
      </c>
      <c r="F88" s="195">
        <f>F84+F86</f>
        <v>20000</v>
      </c>
    </row>
    <row r="89" spans="3:6" ht="12.75">
      <c r="C89" s="195"/>
      <c r="D89" s="195"/>
      <c r="E89" s="195"/>
      <c r="F89" s="195"/>
    </row>
    <row r="90" spans="1:6" ht="12.75">
      <c r="A90" s="291" t="s">
        <v>265</v>
      </c>
      <c r="B90" s="285" t="s">
        <v>648</v>
      </c>
      <c r="C90" s="195"/>
      <c r="D90" s="195"/>
      <c r="E90" s="195"/>
      <c r="F90" s="195"/>
    </row>
    <row r="91" spans="1:6" ht="12.75">
      <c r="A91" s="195"/>
      <c r="B91" s="195" t="s">
        <v>649</v>
      </c>
      <c r="C91" s="195"/>
      <c r="D91" s="195"/>
      <c r="E91" s="195"/>
      <c r="F91" s="195"/>
    </row>
    <row r="92" spans="1:6" ht="12.75">
      <c r="A92" s="195"/>
      <c r="B92" s="195"/>
      <c r="C92" s="195"/>
      <c r="D92" s="195"/>
      <c r="E92" s="195"/>
      <c r="F92" s="195"/>
    </row>
    <row r="96" spans="5:6" ht="12.75">
      <c r="E96" s="195">
        <f>+E40+E36+E24+E23+E22+E21-10000</f>
        <v>898634.867555</v>
      </c>
      <c r="F96" s="195">
        <f>+F40+F36+F24+F23+F22+F21-10000</f>
        <v>736330.6319999999</v>
      </c>
    </row>
  </sheetData>
  <mergeCells count="6">
    <mergeCell ref="A52:F52"/>
    <mergeCell ref="A1:F1"/>
    <mergeCell ref="A2:F2"/>
    <mergeCell ref="A3:F3"/>
    <mergeCell ref="A50:F50"/>
    <mergeCell ref="A51:F51"/>
  </mergeCells>
  <printOptions/>
  <pageMargins left="0.7" right="0.7" top="0.75" bottom="0.75" header="0.3" footer="0.3"/>
  <pageSetup horizontalDpi="600" verticalDpi="600" orientation="portrait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M981"/>
  <sheetViews>
    <sheetView zoomScale="130" zoomScaleNormal="130" workbookViewId="0" topLeftCell="A1">
      <pane xSplit="3" ySplit="4" topLeftCell="D5" activePane="bottomRight" state="frozen"/>
      <selection pane="topLeft" activeCell="E9" sqref="E9:E10"/>
      <selection pane="topRight" activeCell="E9" sqref="E9:E10"/>
      <selection pane="bottomLeft" activeCell="E9" sqref="E9:E10"/>
      <selection pane="bottomRight" activeCell="D15" sqref="D15"/>
    </sheetView>
  </sheetViews>
  <sheetFormatPr defaultColWidth="9.140625" defaultRowHeight="12.75"/>
  <cols>
    <col min="1" max="1" width="19.8515625" style="7" customWidth="1"/>
    <col min="2" max="2" width="34.7109375" style="100" customWidth="1"/>
    <col min="3" max="3" width="45.00390625" style="100" customWidth="1"/>
    <col min="4" max="4" width="12.57421875" style="122" customWidth="1"/>
    <col min="5" max="5" width="11.8515625" style="122" customWidth="1"/>
    <col min="6" max="9" width="11.8515625" style="101" bestFit="1" customWidth="1"/>
    <col min="10" max="10" width="11.140625" style="9" customWidth="1"/>
    <col min="11" max="11" width="10.00390625" style="9" customWidth="1"/>
    <col min="12" max="19" width="9.140625" style="9" customWidth="1"/>
    <col min="20" max="20" width="10.8515625" style="9" bestFit="1" customWidth="1"/>
    <col min="21" max="25" width="9.140625" style="9" customWidth="1"/>
    <col min="26" max="26" width="10.7109375" style="9" bestFit="1" customWidth="1"/>
    <col min="27" max="27" width="14.57421875" style="9" bestFit="1" customWidth="1"/>
    <col min="28" max="16384" width="9.140625" style="9" customWidth="1"/>
  </cols>
  <sheetData>
    <row r="1" spans="1:8" s="82" customFormat="1" ht="18.75">
      <c r="A1" s="81" t="s">
        <v>76</v>
      </c>
      <c r="C1" s="83"/>
      <c r="D1" s="180"/>
      <c r="E1" s="180"/>
      <c r="F1" s="83"/>
      <c r="G1" s="83"/>
      <c r="H1" s="412"/>
    </row>
    <row r="2" spans="1:8" s="82" customFormat="1" ht="18.75">
      <c r="A2" s="81" t="s">
        <v>75</v>
      </c>
      <c r="C2" s="84"/>
      <c r="D2" s="181"/>
      <c r="E2" s="181"/>
      <c r="F2" s="84"/>
      <c r="G2" s="85"/>
      <c r="H2" s="412"/>
    </row>
    <row r="3" spans="1:5" s="82" customFormat="1" ht="12.75">
      <c r="A3" s="86" t="s">
        <v>77</v>
      </c>
      <c r="B3" s="86" t="s">
        <v>78</v>
      </c>
      <c r="C3" s="86" t="s">
        <v>79</v>
      </c>
      <c r="D3" s="182"/>
      <c r="E3" s="182"/>
    </row>
    <row r="4" spans="1:39" ht="31.5" customHeight="1" thickBot="1">
      <c r="A4" s="87" t="s">
        <v>80</v>
      </c>
      <c r="B4" s="9" t="s">
        <v>80</v>
      </c>
      <c r="C4" s="9" t="s">
        <v>80</v>
      </c>
      <c r="D4" s="88">
        <v>2018</v>
      </c>
      <c r="E4" s="88">
        <v>2019</v>
      </c>
      <c r="F4" s="88">
        <v>2020</v>
      </c>
      <c r="G4" s="88">
        <v>2021</v>
      </c>
      <c r="H4" s="88">
        <v>2022</v>
      </c>
      <c r="I4" s="88">
        <v>2023</v>
      </c>
      <c r="J4" s="88">
        <v>2024</v>
      </c>
      <c r="K4" s="88">
        <v>2025</v>
      </c>
      <c r="L4" s="88">
        <v>2026</v>
      </c>
      <c r="M4" s="88">
        <v>2027</v>
      </c>
      <c r="N4" s="88">
        <v>2028</v>
      </c>
      <c r="O4" s="88">
        <v>2029</v>
      </c>
      <c r="P4" s="88">
        <v>2030</v>
      </c>
      <c r="Q4" s="88">
        <v>2031</v>
      </c>
      <c r="R4" s="88">
        <v>2032</v>
      </c>
      <c r="S4" s="88">
        <v>2033</v>
      </c>
      <c r="T4" s="88">
        <v>2034</v>
      </c>
      <c r="U4" s="88">
        <v>2035</v>
      </c>
      <c r="V4" s="88">
        <v>2036</v>
      </c>
      <c r="W4" s="88">
        <v>2037</v>
      </c>
      <c r="X4" s="88">
        <v>2038</v>
      </c>
      <c r="Y4" s="88">
        <v>2039</v>
      </c>
      <c r="Z4" s="88">
        <v>2040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</row>
    <row r="5" spans="1:26" ht="12.75">
      <c r="A5" s="89" t="s">
        <v>0</v>
      </c>
      <c r="B5" s="90" t="s">
        <v>1</v>
      </c>
      <c r="C5" s="91" t="s">
        <v>2</v>
      </c>
      <c r="D5" s="93">
        <f>+'IPR Data'!C4/1000</f>
        <v>270146</v>
      </c>
      <c r="E5" s="93">
        <f>+'IPR Data'!D4/1000</f>
        <v>327354</v>
      </c>
      <c r="F5" s="93">
        <f>+'IPR Data'!E4/1000</f>
        <v>296807.49</v>
      </c>
      <c r="G5" s="93">
        <f>+'IPR Data'!F4/1000</f>
        <v>355926.376</v>
      </c>
      <c r="H5" s="93">
        <f>+'IPR Data'!G4/1000</f>
        <v>330554.581</v>
      </c>
      <c r="I5" s="93">
        <f>+'IPR Data'!H4/1000</f>
        <v>366591.552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87" t="s">
        <v>0</v>
      </c>
      <c r="B6" s="92" t="s">
        <v>1</v>
      </c>
      <c r="C6" s="1" t="s">
        <v>3</v>
      </c>
      <c r="D6" s="93">
        <f>+'IPR Data'!C5/1000</f>
        <v>164609</v>
      </c>
      <c r="E6" s="93">
        <f>+'IPR Data'!D5/1000</f>
        <v>162623</v>
      </c>
      <c r="F6" s="93">
        <f>+'IPR Data'!E5/1000</f>
        <v>171085.832</v>
      </c>
      <c r="G6" s="93">
        <f>+'IPR Data'!F5/1000</f>
        <v>176218.407</v>
      </c>
      <c r="H6" s="93">
        <f>+'IPR Data'!G5/1000</f>
        <v>181504.96</v>
      </c>
      <c r="I6" s="93">
        <f>+'IPR Data'!H5/1000</f>
        <v>186950.108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87" t="s">
        <v>0</v>
      </c>
      <c r="B7" s="92" t="s">
        <v>1</v>
      </c>
      <c r="C7" s="1" t="s">
        <v>4</v>
      </c>
      <c r="D7" s="93">
        <f>+'IPR Data'!C6/1000</f>
        <v>256057</v>
      </c>
      <c r="E7" s="93">
        <f>+'IPR Data'!D6/1000</f>
        <v>256057</v>
      </c>
      <c r="F7" s="93">
        <f>+'IPR Data'!E6/1000</f>
        <v>264665.71</v>
      </c>
      <c r="G7" s="93">
        <f>+'IPR Data'!F6/1000</f>
        <v>272605.681</v>
      </c>
      <c r="H7" s="93">
        <f>+'IPR Data'!G6/1000</f>
        <v>280783.852</v>
      </c>
      <c r="I7" s="93">
        <f>+'IPR Data'!H6/1000</f>
        <v>289207.367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87" t="s">
        <v>0</v>
      </c>
      <c r="B8" s="92" t="s">
        <v>1</v>
      </c>
      <c r="C8" s="1" t="s">
        <v>5</v>
      </c>
      <c r="D8" s="93">
        <f>+'IPR Data'!C9/1000</f>
        <v>5300</v>
      </c>
      <c r="E8" s="93">
        <f>+'IPR Data'!D9/1000</f>
        <v>5300</v>
      </c>
      <c r="F8" s="93">
        <f>+'IPR Data'!E9/1000</f>
        <v>5300</v>
      </c>
      <c r="G8" s="93">
        <f>+'IPR Data'!F9/1000</f>
        <v>5300</v>
      </c>
      <c r="H8" s="93">
        <f>+'IPR Data'!G9/1000</f>
        <v>5300</v>
      </c>
      <c r="I8" s="93">
        <f>+'IPR Data'!H9/1000</f>
        <v>5300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87" t="s">
        <v>0</v>
      </c>
      <c r="B9" s="92" t="s">
        <v>1</v>
      </c>
      <c r="C9" s="1" t="s">
        <v>6</v>
      </c>
      <c r="D9" s="93">
        <f>+'IPR Data'!C8/1000</f>
        <v>4947.594</v>
      </c>
      <c r="E9" s="93">
        <f>+'IPR Data'!D8/1000</f>
        <v>5989.905</v>
      </c>
      <c r="F9" s="93">
        <f>+'IPR Data'!E8/1000</f>
        <v>6107.906</v>
      </c>
      <c r="G9" s="93">
        <f>+'IPR Data'!F8/1000</f>
        <v>6232.507</v>
      </c>
      <c r="H9" s="93">
        <f>+'IPR Data'!G8/1000</f>
        <v>6364.013</v>
      </c>
      <c r="I9" s="93">
        <f>+'IPR Data'!H8/1000</f>
        <v>6498.93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87" t="s">
        <v>0</v>
      </c>
      <c r="B10" s="92" t="s">
        <v>1</v>
      </c>
      <c r="C10" s="1" t="s">
        <v>7</v>
      </c>
      <c r="D10" s="93">
        <f>+'IPR Data'!C7/1000</f>
        <v>0</v>
      </c>
      <c r="E10" s="93">
        <f>+'IPR Data'!D7/1000</f>
        <v>0</v>
      </c>
      <c r="F10" s="93">
        <f>+'IPR Data'!E7/1000</f>
        <v>3547.8</v>
      </c>
      <c r="G10" s="93">
        <f>+'IPR Data'!F7/1000</f>
        <v>3547.8</v>
      </c>
      <c r="H10" s="93">
        <f>+'IPR Data'!G7/1000</f>
        <v>3547.8</v>
      </c>
      <c r="I10" s="93">
        <f>+'IPR Data'!H7/1000</f>
        <v>3547.8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87" t="s">
        <v>0</v>
      </c>
      <c r="B11" s="92" t="s">
        <v>1</v>
      </c>
      <c r="C11" s="1" t="s">
        <v>8</v>
      </c>
      <c r="D11" s="93">
        <f>+'IPR Data'!C12/1000</f>
        <v>1300</v>
      </c>
      <c r="E11" s="93">
        <f>+'IPR Data'!D12/1000</f>
        <v>1350</v>
      </c>
      <c r="F11" s="93">
        <f>+'IPR Data'!E12/1000</f>
        <v>1376.595</v>
      </c>
      <c r="G11" s="93">
        <f>+'IPR Data'!F12/1000</f>
        <v>1404.678</v>
      </c>
      <c r="H11" s="93">
        <f>+'IPR Data'!G12/1000</f>
        <v>1434.316</v>
      </c>
      <c r="I11" s="93">
        <f>+'IPR Data'!H12/1000</f>
        <v>1464.724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87" t="s">
        <v>0</v>
      </c>
      <c r="B12" s="92" t="s">
        <v>1</v>
      </c>
      <c r="C12" s="1" t="s">
        <v>81</v>
      </c>
      <c r="D12" s="93">
        <f>+'IPR Data'!C11/1000</f>
        <v>1047.433</v>
      </c>
      <c r="E12" s="93">
        <f>+'IPR Data'!D11/1000</f>
        <v>1047.433</v>
      </c>
      <c r="F12" s="93">
        <f>+'IPR Data'!E11/1000</f>
        <v>1047.433</v>
      </c>
      <c r="G12" s="93">
        <f>+'IPR Data'!F11/1000</f>
        <v>1047.433</v>
      </c>
      <c r="H12" s="93">
        <f>+'IPR Data'!G11/1000</f>
        <v>1047.433</v>
      </c>
      <c r="I12" s="93">
        <f>+'IPR Data'!H11/1000</f>
        <v>1047.433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87" t="s">
        <v>0</v>
      </c>
      <c r="B13" s="92" t="s">
        <v>9</v>
      </c>
      <c r="C13" s="1" t="s">
        <v>82</v>
      </c>
      <c r="D13" s="93">
        <f>+'IPR Data'!C14/1000</f>
        <v>22612.478</v>
      </c>
      <c r="E13" s="93">
        <f>+'IPR Data'!D14/1000</f>
        <v>22996.89</v>
      </c>
      <c r="F13" s="93">
        <f>+'IPR Data'!E14/1000</f>
        <v>23449.929</v>
      </c>
      <c r="G13" s="93">
        <f>+'IPR Data'!F14/1000</f>
        <v>23928.307</v>
      </c>
      <c r="H13" s="93">
        <f>+'IPR Data'!G14/1000</f>
        <v>24433.195</v>
      </c>
      <c r="I13" s="93">
        <f>+'IPR Data'!H14/1000</f>
        <v>24951.178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87" t="s">
        <v>0</v>
      </c>
      <c r="B14" s="92" t="s">
        <v>10</v>
      </c>
      <c r="C14" s="1" t="s">
        <v>11</v>
      </c>
      <c r="D14" s="93">
        <f>+'IPR Data'!C15/1000</f>
        <v>1000</v>
      </c>
      <c r="E14" s="93">
        <f>+'IPR Data'!D15/1000</f>
        <v>1000</v>
      </c>
      <c r="F14" s="93">
        <f>+'IPR Data'!E15/1000</f>
        <v>1000</v>
      </c>
      <c r="G14" s="93">
        <f>+'IPR Data'!F15/1000</f>
        <v>1000</v>
      </c>
      <c r="H14" s="93">
        <f>+'IPR Data'!G15/1000</f>
        <v>1100</v>
      </c>
      <c r="I14" s="93">
        <f>+'IPR Data'!H15/1000</f>
        <v>1200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87" t="s">
        <v>0</v>
      </c>
      <c r="B15" s="92" t="s">
        <v>10</v>
      </c>
      <c r="C15" s="1" t="s">
        <v>12</v>
      </c>
      <c r="D15" s="93">
        <f>+'IPR Data'!C16/1000</f>
        <v>500</v>
      </c>
      <c r="E15" s="93">
        <f>+'IPR Data'!D16/1000</f>
        <v>534</v>
      </c>
      <c r="F15" s="93">
        <f>+'IPR Data'!E16/1000</f>
        <v>612</v>
      </c>
      <c r="G15" s="93">
        <f>+'IPR Data'!F16/1000</f>
        <v>631</v>
      </c>
      <c r="H15" s="93">
        <f>+'IPR Data'!G16/1000</f>
        <v>484</v>
      </c>
      <c r="I15" s="93">
        <f>+'IPR Data'!H16/1000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87" t="s">
        <v>0</v>
      </c>
      <c r="B16" s="92" t="s">
        <v>13</v>
      </c>
      <c r="C16" s="1" t="s">
        <v>83</v>
      </c>
      <c r="D16" s="93">
        <f>+'IPR Data'!C20/1000</f>
        <v>3100</v>
      </c>
      <c r="E16" s="93">
        <f>+'IPR Data'!D20/1000</f>
        <v>3100</v>
      </c>
      <c r="F16" s="93">
        <f>+'IPR Data'!E20/1000</f>
        <v>3100</v>
      </c>
      <c r="G16" s="93">
        <f>+'IPR Data'!F20/1000</f>
        <v>3100</v>
      </c>
      <c r="H16" s="93">
        <f>+'IPR Data'!G20/1000</f>
        <v>3100</v>
      </c>
      <c r="I16" s="93">
        <f>+'IPR Data'!H20/1000</f>
        <v>3100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87" t="s">
        <v>0</v>
      </c>
      <c r="B17" s="92" t="s">
        <v>13</v>
      </c>
      <c r="C17" s="1" t="s">
        <v>84</v>
      </c>
      <c r="D17" s="93">
        <f>+'Modeling results'!B22</f>
        <v>10048.115</v>
      </c>
      <c r="E17" s="93">
        <f>+'Modeling results'!C22</f>
        <v>10158.135</v>
      </c>
      <c r="F17" s="2">
        <f>+E17</f>
        <v>10158.135</v>
      </c>
      <c r="G17" s="2">
        <f aca="true" t="shared" si="0" ref="G17:I17">+F17</f>
        <v>10158.135</v>
      </c>
      <c r="H17" s="2">
        <f t="shared" si="0"/>
        <v>10158.135</v>
      </c>
      <c r="I17" s="2">
        <f t="shared" si="0"/>
        <v>10158.135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87" t="s">
        <v>0</v>
      </c>
      <c r="B18" s="92" t="s">
        <v>13</v>
      </c>
      <c r="C18" s="1" t="s">
        <v>14</v>
      </c>
      <c r="D18" s="93">
        <f>+'Modeling results'!B13</f>
        <v>38382</v>
      </c>
      <c r="E18" s="93">
        <f>+'Modeling results'!C13</f>
        <v>38441</v>
      </c>
      <c r="F18" s="93">
        <v>0</v>
      </c>
      <c r="G18" s="93">
        <v>0</v>
      </c>
      <c r="H18" s="93">
        <v>0</v>
      </c>
      <c r="I18" s="93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87" t="s">
        <v>0</v>
      </c>
      <c r="B19" s="92" t="s">
        <v>13</v>
      </c>
      <c r="C19" s="1" t="s">
        <v>85</v>
      </c>
      <c r="D19" s="93">
        <f>+'Modeling results'!B12+'Modeling results'!B14</f>
        <v>59152.31286402777</v>
      </c>
      <c r="E19" s="93">
        <f>+'Modeling results'!C12+'Modeling results'!C14</f>
        <v>58079.52050860555</v>
      </c>
      <c r="F19" s="93">
        <v>0</v>
      </c>
      <c r="G19" s="93">
        <v>0</v>
      </c>
      <c r="H19" s="93">
        <v>0</v>
      </c>
      <c r="I19" s="93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87" t="s">
        <v>0</v>
      </c>
      <c r="B20" s="92" t="s">
        <v>13</v>
      </c>
      <c r="C20" s="1" t="s">
        <v>15</v>
      </c>
      <c r="D20" s="360"/>
      <c r="E20" s="93"/>
      <c r="F20" s="93"/>
      <c r="G20" s="93"/>
      <c r="H20" s="93"/>
      <c r="I20" s="9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87" t="s">
        <v>0</v>
      </c>
      <c r="B21" s="92" t="s">
        <v>16</v>
      </c>
      <c r="C21" s="1" t="s">
        <v>86</v>
      </c>
      <c r="D21" s="93">
        <f>+'Modeling results'!B8</f>
        <v>317902</v>
      </c>
      <c r="E21" s="93">
        <f>+'Modeling results'!C8</f>
        <v>317916</v>
      </c>
      <c r="F21" s="93">
        <f>+E21</f>
        <v>317916</v>
      </c>
      <c r="G21" s="93">
        <f aca="true" t="shared" si="1" ref="G21:I21">+F21</f>
        <v>317916</v>
      </c>
      <c r="H21" s="93">
        <f t="shared" si="1"/>
        <v>317916</v>
      </c>
      <c r="I21" s="93">
        <f t="shared" si="1"/>
        <v>317916</v>
      </c>
      <c r="J21" s="22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2.75">
      <c r="A22" s="87" t="s">
        <v>0</v>
      </c>
      <c r="B22" s="92" t="s">
        <v>16</v>
      </c>
      <c r="C22" s="1" t="s">
        <v>87</v>
      </c>
      <c r="D22" s="93">
        <v>0</v>
      </c>
      <c r="E22" s="93">
        <v>0</v>
      </c>
      <c r="F22" s="2">
        <v>0</v>
      </c>
      <c r="G22" s="2">
        <v>0</v>
      </c>
      <c r="H22" s="2">
        <v>0</v>
      </c>
      <c r="I22" s="2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87" t="s">
        <v>0</v>
      </c>
      <c r="B23" s="92" t="s">
        <v>16</v>
      </c>
      <c r="C23" s="1" t="s">
        <v>88</v>
      </c>
      <c r="D23" s="93">
        <v>0</v>
      </c>
      <c r="E23" s="93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87" t="s">
        <v>0</v>
      </c>
      <c r="B24" s="92" t="s">
        <v>16</v>
      </c>
      <c r="C24" s="1" t="s">
        <v>17</v>
      </c>
      <c r="D24" s="93">
        <f>+('REP staff costs'!F8+'REP staff costs'!F7)/1000</f>
        <v>1007.525</v>
      </c>
      <c r="E24" s="93">
        <f>+('REP staff costs'!G8+'REP staff costs'!G7)/1000</f>
        <v>733.313</v>
      </c>
      <c r="F24" s="93">
        <f>+('REP staff costs'!H8+'REP staff costs'!H7)/1000</f>
        <v>790.6537738268576</v>
      </c>
      <c r="G24" s="93">
        <f>+('REP staff costs'!I8+'REP staff costs'!I7)/1000</f>
        <v>847.7572183204784</v>
      </c>
      <c r="H24" s="93">
        <f>+('REP staff costs'!J8+'REP staff costs'!J7)/1000</f>
        <v>865.0514911464869</v>
      </c>
      <c r="I24" s="93">
        <f>+('REP staff costs'!K8+'REP staff costs'!K7)/1000</f>
        <v>883.3040667985338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6" customFormat="1" ht="12.75">
      <c r="A25" s="94" t="s">
        <v>0</v>
      </c>
      <c r="B25" s="95" t="s">
        <v>16</v>
      </c>
      <c r="C25" s="96" t="s">
        <v>141</v>
      </c>
      <c r="D25" s="93">
        <v>0</v>
      </c>
      <c r="E25" s="93">
        <f>+D25</f>
        <v>0</v>
      </c>
      <c r="F25" s="93">
        <f aca="true" t="shared" si="2" ref="F25:I25">+E25</f>
        <v>0</v>
      </c>
      <c r="G25" s="93">
        <f t="shared" si="2"/>
        <v>0</v>
      </c>
      <c r="H25" s="93">
        <f t="shared" si="2"/>
        <v>0</v>
      </c>
      <c r="I25" s="93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87" t="s">
        <v>0</v>
      </c>
      <c r="B26" s="92" t="s">
        <v>18</v>
      </c>
      <c r="C26" s="1" t="s">
        <v>89</v>
      </c>
      <c r="D26" s="93">
        <f>+'IPR Data'!C49/1000*'R&amp;D split'!$E$6</f>
        <v>0</v>
      </c>
      <c r="E26" s="93">
        <f>+'IPR Data'!D49/1000*'R&amp;D split'!$E$6</f>
        <v>0</v>
      </c>
      <c r="F26" s="93">
        <f>+'IPR Data'!E49/1000*'R&amp;D split'!$E$6</f>
        <v>0</v>
      </c>
      <c r="G26" s="93">
        <f>+'IPR Data'!F49/1000*'R&amp;D split'!$E$6</f>
        <v>0</v>
      </c>
      <c r="H26" s="93">
        <f>+'IPR Data'!G49/1000*'R&amp;D split'!$E$6</f>
        <v>0</v>
      </c>
      <c r="I26" s="93">
        <f>+'IPR Data'!H49/1000*'R&amp;D split'!$E$6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87" t="s">
        <v>0</v>
      </c>
      <c r="B27" s="92" t="s">
        <v>18</v>
      </c>
      <c r="C27" s="1" t="s">
        <v>90</v>
      </c>
      <c r="D27" s="93">
        <f>+'IPR Data'!C24/1000-'Modeling results'!B22</f>
        <v>28283.717000000004</v>
      </c>
      <c r="E27" s="93">
        <f>+'IPR Data'!D24/1000-'Modeling results'!C22</f>
        <v>28901.756</v>
      </c>
      <c r="F27" s="93">
        <f>+'IPR Data'!E24/1000-'cost table'!F17</f>
        <v>29001.150999999998</v>
      </c>
      <c r="G27" s="93">
        <f>+'IPR Data'!F24/1000-'cost table'!G17</f>
        <v>25208.061</v>
      </c>
      <c r="H27" s="93">
        <f>+'IPR Data'!G24/1000-'cost table'!H17</f>
        <v>24548.686999999998</v>
      </c>
      <c r="I27" s="93">
        <f>+'IPR Data'!H24/1000-'cost table'!I17</f>
        <v>16556.169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87" t="s">
        <v>0</v>
      </c>
      <c r="B28" s="92" t="s">
        <v>18</v>
      </c>
      <c r="C28" s="5" t="s">
        <v>680</v>
      </c>
      <c r="D28" s="93">
        <f>+'IPR Data'!C25/1000</f>
        <v>27148.552</v>
      </c>
      <c r="E28" s="93">
        <f>+'IPR Data'!D25/1000</f>
        <v>27282.626</v>
      </c>
      <c r="F28" s="93">
        <f>+'IPR Data'!E25/1000</f>
        <v>28319.366</v>
      </c>
      <c r="G28" s="93">
        <f>+'IPR Data'!F25/1000</f>
        <v>29395.502</v>
      </c>
      <c r="H28" s="93">
        <f>+'IPR Data'!G25/1000</f>
        <v>30512.531</v>
      </c>
      <c r="I28" s="93">
        <f>+'IPR Data'!H25/1000</f>
        <v>31672.007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87" t="s">
        <v>0</v>
      </c>
      <c r="B29" s="92" t="s">
        <v>18</v>
      </c>
      <c r="C29" s="1" t="s">
        <v>19</v>
      </c>
      <c r="D29" s="93">
        <f>+'IPR Data'!C49/1000*'R&amp;D split'!$D$7</f>
        <v>2923.1832248520714</v>
      </c>
      <c r="E29" s="93">
        <f>+'IPR Data'!D49/1000*'R&amp;D split'!$E$7</f>
        <v>2857.6893195266275</v>
      </c>
      <c r="F29" s="93">
        <f>+'IPR Data'!E49/1000*'R&amp;D split'!$E$7</f>
        <v>3547.5275147928996</v>
      </c>
      <c r="G29" s="93">
        <f>+'IPR Data'!F49/1000*'R&amp;D split'!$E$7</f>
        <v>3619.896745562131</v>
      </c>
      <c r="H29" s="93">
        <f>+'IPR Data'!G49/1000*'R&amp;D split'!$E$7</f>
        <v>3696.276479289941</v>
      </c>
      <c r="I29" s="93">
        <f>+'IPR Data'!H49/1000*'R&amp;D split'!$E$7</f>
        <v>3774.6375443786983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87" t="s">
        <v>0</v>
      </c>
      <c r="B30" s="92" t="s">
        <v>18</v>
      </c>
      <c r="C30" s="1" t="s">
        <v>452</v>
      </c>
      <c r="D30" s="93">
        <f>+'IPR Data'!C31/1000</f>
        <v>856.252</v>
      </c>
      <c r="E30" s="93">
        <f>+'IPR Data'!D31/1000</f>
        <v>854.087</v>
      </c>
      <c r="F30" s="93">
        <f>+'IPR Data'!E31/1000</f>
        <v>870.912</v>
      </c>
      <c r="G30" s="93">
        <f>+'IPR Data'!F31/1000</f>
        <v>888.679</v>
      </c>
      <c r="H30" s="93">
        <f>+'IPR Data'!G31/1000</f>
        <v>907.43</v>
      </c>
      <c r="I30" s="93">
        <f>+'IPR Data'!H31/1000</f>
        <v>926.668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87" t="s">
        <v>0</v>
      </c>
      <c r="B31" s="92" t="s">
        <v>18</v>
      </c>
      <c r="C31" s="1" t="s">
        <v>20</v>
      </c>
      <c r="D31" s="93">
        <f>+'IPR Data'!C30/1000</f>
        <v>71785</v>
      </c>
      <c r="E31" s="93">
        <f>+'IPR Data'!D30/1000</f>
        <v>71785</v>
      </c>
      <c r="F31" s="93">
        <f>+'IPR Data'!E30/1000</f>
        <v>78210.99</v>
      </c>
      <c r="G31" s="93">
        <f>+'IPR Data'!F30/1000</f>
        <v>79806.494</v>
      </c>
      <c r="H31" s="93">
        <f>+'IPR Data'!G30/1000</f>
        <v>81490.411</v>
      </c>
      <c r="I31" s="93">
        <f>+'IPR Data'!H30/1000</f>
        <v>83218.008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87" t="s">
        <v>0</v>
      </c>
      <c r="B32" s="92" t="s">
        <v>18</v>
      </c>
      <c r="C32" s="1" t="s">
        <v>91</v>
      </c>
      <c r="D32" s="93">
        <f>+'IPR Data'!C29/1000</f>
        <v>5523.391</v>
      </c>
      <c r="E32" s="93">
        <f>+'IPR Data'!D29/1000</f>
        <v>5626.679</v>
      </c>
      <c r="F32" s="93">
        <f>+'IPR Data'!E29/1000</f>
        <v>5737.525</v>
      </c>
      <c r="G32" s="93">
        <f>+'IPR Data'!F29/1000</f>
        <v>5854.57</v>
      </c>
      <c r="H32" s="93">
        <f>+'IPR Data'!G29/1000</f>
        <v>5978.102</v>
      </c>
      <c r="I32" s="93">
        <f>+'IPR Data'!H29/1000</f>
        <v>6104.837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87" t="s">
        <v>0</v>
      </c>
      <c r="B33" s="92" t="s">
        <v>18</v>
      </c>
      <c r="C33" s="1" t="s">
        <v>92</v>
      </c>
      <c r="D33" s="93">
        <f>+'IPR Data'!C28/1000</f>
        <v>8000</v>
      </c>
      <c r="E33" s="93">
        <f>+'IPR Data'!D28/1000</f>
        <v>8000</v>
      </c>
      <c r="F33" s="93">
        <f>+'IPR Data'!E28/1000</f>
        <v>8000</v>
      </c>
      <c r="G33" s="93">
        <f>+'IPR Data'!F28/1000</f>
        <v>8000</v>
      </c>
      <c r="H33" s="93">
        <f>+'IPR Data'!G28/1000</f>
        <v>8000</v>
      </c>
      <c r="I33" s="93">
        <f>+'IPR Data'!H28/1000</f>
        <v>8000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87" t="s">
        <v>0</v>
      </c>
      <c r="B34" s="92" t="s">
        <v>18</v>
      </c>
      <c r="C34" s="1" t="s">
        <v>21</v>
      </c>
      <c r="D34" s="93">
        <f>+'IPR Data'!C26/1000</f>
        <v>590</v>
      </c>
      <c r="E34" s="93">
        <f>+'IPR Data'!D26/1000</f>
        <v>590</v>
      </c>
      <c r="F34" s="93">
        <f>+'IPR Data'!E26/1000</f>
        <v>590</v>
      </c>
      <c r="G34" s="93">
        <f>+'IPR Data'!F26/1000</f>
        <v>590</v>
      </c>
      <c r="H34" s="93">
        <f>+'IPR Data'!G26/1000</f>
        <v>590</v>
      </c>
      <c r="I34" s="93">
        <f>+'IPR Data'!H26/1000</f>
        <v>590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87" t="s">
        <v>0</v>
      </c>
      <c r="B35" s="92" t="s">
        <v>18</v>
      </c>
      <c r="C35" s="1" t="s">
        <v>22</v>
      </c>
      <c r="D35" s="93">
        <f>+'IPR Data'!C27/1000</f>
        <v>12363.808</v>
      </c>
      <c r="E35" s="93">
        <f>+'IPR Data'!D27/1000</f>
        <v>12048.687</v>
      </c>
      <c r="F35" s="93">
        <f>+'IPR Data'!E27/1000</f>
        <v>12386.05</v>
      </c>
      <c r="G35" s="93">
        <f>+'IPR Data'!F27/1000</f>
        <v>12732.86</v>
      </c>
      <c r="H35" s="93">
        <f>+'IPR Data'!G27/1000</f>
        <v>13089.38</v>
      </c>
      <c r="I35" s="93">
        <f>+'IPR Data'!H27/1000</f>
        <v>13455.882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87" t="s">
        <v>0</v>
      </c>
      <c r="B36" s="92" t="s">
        <v>18</v>
      </c>
      <c r="C36" s="5" t="s">
        <v>681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87" t="s">
        <v>0</v>
      </c>
      <c r="B37" s="92" t="s">
        <v>18</v>
      </c>
      <c r="C37" s="5" t="s">
        <v>682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87" t="s">
        <v>0</v>
      </c>
      <c r="B38" s="92" t="s">
        <v>23</v>
      </c>
      <c r="C38" s="1" t="s">
        <v>93</v>
      </c>
      <c r="D38" s="387">
        <f>+'Modeling results'!B17</f>
        <v>74697.7271906253</v>
      </c>
      <c r="E38" s="387">
        <f>+'Modeling results'!C17</f>
        <v>71273.74579062538</v>
      </c>
      <c r="F38" s="93">
        <f>+'IPR Data'!E37/1000-'cost table'!F39</f>
        <v>81371.0310942712</v>
      </c>
      <c r="G38" s="93">
        <f>+'IPR Data'!F37/1000-'cost table'!G39</f>
        <v>80756.7230942712</v>
      </c>
      <c r="H38" s="93">
        <f>+'IPR Data'!G37/1000-'cost table'!H39</f>
        <v>92470.0900942712</v>
      </c>
      <c r="I38" s="93">
        <f>+'IPR Data'!H37/1000-'cost table'!I39</f>
        <v>91359.2140942712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87" t="s">
        <v>0</v>
      </c>
      <c r="B39" s="92" t="s">
        <v>23</v>
      </c>
      <c r="C39" s="1" t="s">
        <v>94</v>
      </c>
      <c r="D39" s="387">
        <f>+'Modeling results'!B18</f>
        <v>33856.9539311</v>
      </c>
      <c r="E39" s="387">
        <f>+'Modeling results'!C18</f>
        <v>32924.2841404</v>
      </c>
      <c r="F39" s="93">
        <v>37740.2589057288</v>
      </c>
      <c r="G39" s="93">
        <v>37741.2589057288</v>
      </c>
      <c r="H39" s="93">
        <v>37742.2589057288</v>
      </c>
      <c r="I39" s="93">
        <v>37743.2589057288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87" t="s">
        <v>0</v>
      </c>
      <c r="B40" s="92" t="s">
        <v>23</v>
      </c>
      <c r="C40" s="1" t="s">
        <v>24</v>
      </c>
      <c r="D40" s="93">
        <f>+'IPR Data'!C35/1000</f>
        <v>91759</v>
      </c>
      <c r="E40" s="93">
        <f>+'IPR Data'!D35/1000</f>
        <v>92516</v>
      </c>
      <c r="F40" s="93">
        <f>+'IPR Data'!E35/1000</f>
        <v>91561.226</v>
      </c>
      <c r="G40" s="93">
        <f>+'IPR Data'!F35/1000</f>
        <v>93364.982</v>
      </c>
      <c r="H40" s="93">
        <f>+'IPR Data'!G35/1000</f>
        <v>95269.628</v>
      </c>
      <c r="I40" s="93">
        <f>+'IPR Data'!H35/1000</f>
        <v>97279.817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87" t="s">
        <v>0</v>
      </c>
      <c r="B41" s="92" t="s">
        <v>23</v>
      </c>
      <c r="C41" s="1" t="s">
        <v>95</v>
      </c>
      <c r="D41" s="93">
        <f>+'IPR Data'!C38/1000</f>
        <v>2250.789</v>
      </c>
      <c r="E41" s="93">
        <f>+'IPR Data'!D38/1000</f>
        <v>2292.204</v>
      </c>
      <c r="F41" s="93">
        <f>+'IPR Data'!E38/1000</f>
        <v>2406.814</v>
      </c>
      <c r="G41" s="93">
        <f>+'IPR Data'!F38/1000</f>
        <v>2527.155</v>
      </c>
      <c r="H41" s="93">
        <f>+'IPR Data'!G38/1000</f>
        <v>2653.513</v>
      </c>
      <c r="I41" s="93">
        <f>+'IPR Data'!H38/1000</f>
        <v>2786.188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87" t="s">
        <v>0</v>
      </c>
      <c r="B42" s="92" t="s">
        <v>23</v>
      </c>
      <c r="C42" s="1" t="s">
        <v>96</v>
      </c>
      <c r="D42" s="93">
        <f>+'Modeling results'!B28</f>
        <v>12480</v>
      </c>
      <c r="E42" s="93">
        <f>+'Modeling results'!C28</f>
        <v>12634</v>
      </c>
      <c r="F42" s="93">
        <f>+'IPR Data'!E36/1000</f>
        <v>12776.626</v>
      </c>
      <c r="G42" s="93">
        <f>+'IPR Data'!F36/1000</f>
        <v>13037.269</v>
      </c>
      <c r="H42" s="93">
        <f>+'IPR Data'!G36/1000</f>
        <v>13312.355</v>
      </c>
      <c r="I42" s="93">
        <f>+'IPR Data'!H36/1000</f>
        <v>13594.577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87" t="s">
        <v>0</v>
      </c>
      <c r="B43" s="92" t="s">
        <v>23</v>
      </c>
      <c r="C43" s="1" t="s">
        <v>97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87" t="s">
        <v>25</v>
      </c>
      <c r="B44" s="92" t="s">
        <v>26</v>
      </c>
      <c r="C44" s="1" t="s">
        <v>27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87" t="s">
        <v>25</v>
      </c>
      <c r="B45" s="92" t="s">
        <v>26</v>
      </c>
      <c r="C45" s="1" t="s">
        <v>28</v>
      </c>
      <c r="D45" s="93">
        <f>+'IPR Data'!C48/1000</f>
        <v>6976.159</v>
      </c>
      <c r="E45" s="93">
        <f>+'IPR Data'!D48/1000</f>
        <v>7293.865</v>
      </c>
      <c r="F45" s="93">
        <f>+'IPR Data'!E48/1000</f>
        <v>7437.554</v>
      </c>
      <c r="G45" s="93">
        <f>+'IPR Data'!F48/1000</f>
        <v>7589.28</v>
      </c>
      <c r="H45" s="93">
        <f>+'IPR Data'!G48/1000</f>
        <v>7749.414</v>
      </c>
      <c r="I45" s="93">
        <f>+'IPR Data'!H48/1000</f>
        <v>7913.701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87" t="s">
        <v>25</v>
      </c>
      <c r="B46" s="92" t="s">
        <v>26</v>
      </c>
      <c r="C46" s="1" t="s">
        <v>98</v>
      </c>
      <c r="D46" s="93">
        <f>+'IPR Data'!C41/1000</f>
        <v>6173.94</v>
      </c>
      <c r="E46" s="93">
        <f>+'IPR Data'!D41/1000</f>
        <v>6408.905</v>
      </c>
      <c r="F46" s="93">
        <f>+'IPR Data'!E41/1000</f>
        <v>3716.929</v>
      </c>
      <c r="G46" s="93">
        <f>+'IPR Data'!F41/1000</f>
        <v>3792.754</v>
      </c>
      <c r="H46" s="93">
        <f>+'IPR Data'!G41/1000</f>
        <v>3872.781</v>
      </c>
      <c r="I46" s="93">
        <f>+'IPR Data'!H41/1000</f>
        <v>3954.884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87" t="s">
        <v>25</v>
      </c>
      <c r="B47" s="92" t="s">
        <v>26</v>
      </c>
      <c r="C47" s="1" t="s">
        <v>99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87" t="s">
        <v>25</v>
      </c>
      <c r="B48" s="92" t="s">
        <v>26</v>
      </c>
      <c r="C48" s="1" t="s">
        <v>29</v>
      </c>
      <c r="D48" s="93">
        <f>+'IPR Data'!C44/1000</f>
        <v>1024.143</v>
      </c>
      <c r="E48" s="93">
        <f>+'IPR Data'!D44/1000</f>
        <v>1061.36</v>
      </c>
      <c r="F48" s="93">
        <f>+'IPR Data'!E44/1000</f>
        <v>1082.269</v>
      </c>
      <c r="G48" s="93">
        <f>+'IPR Data'!F44/1000</f>
        <v>1104.347</v>
      </c>
      <c r="H48" s="93">
        <f>+'IPR Data'!G44/1000</f>
        <v>1127.649</v>
      </c>
      <c r="I48" s="93">
        <f>+'IPR Data'!H44/1000</f>
        <v>1151.555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87" t="s">
        <v>25</v>
      </c>
      <c r="B49" s="92" t="s">
        <v>30</v>
      </c>
      <c r="C49" s="1" t="s">
        <v>31</v>
      </c>
      <c r="D49" s="93">
        <f>+'IPR Data'!C42/1000</f>
        <v>10053.729</v>
      </c>
      <c r="E49" s="93">
        <f>+'IPR Data'!D42/1000</f>
        <v>10404.279</v>
      </c>
      <c r="F49" s="93">
        <f>+'IPR Data'!E42/1000</f>
        <v>10609.244</v>
      </c>
      <c r="G49" s="93">
        <f>+'IPR Data'!F42/1000</f>
        <v>10825.672</v>
      </c>
      <c r="H49" s="93">
        <f>+'IPR Data'!G42/1000</f>
        <v>11054.094</v>
      </c>
      <c r="I49" s="93">
        <f>+'IPR Data'!H42/1000</f>
        <v>11288.441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87" t="s">
        <v>25</v>
      </c>
      <c r="B50" s="92" t="s">
        <v>30</v>
      </c>
      <c r="C50" s="1" t="s">
        <v>32</v>
      </c>
      <c r="D50" s="93">
        <f>+'IPR Data'!C43/1000</f>
        <v>8528.098</v>
      </c>
      <c r="E50" s="93">
        <f>+'IPR Data'!D43/1000</f>
        <v>8415.711</v>
      </c>
      <c r="F50" s="93">
        <f>+'IPR Data'!E43/1000</f>
        <v>8581.501</v>
      </c>
      <c r="G50" s="93">
        <f>+'IPR Data'!F43/1000</f>
        <v>8756.563</v>
      </c>
      <c r="H50" s="93">
        <f>+'IPR Data'!G43/1000</f>
        <v>8941.327</v>
      </c>
      <c r="I50" s="93">
        <f>+'IPR Data'!H43/1000</f>
        <v>9130.883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87" t="s">
        <v>25</v>
      </c>
      <c r="B51" s="92" t="s">
        <v>33</v>
      </c>
      <c r="C51" s="1" t="s">
        <v>100</v>
      </c>
      <c r="D51" s="93">
        <f>+'IPR Data'!C45/1000</f>
        <v>22885.139</v>
      </c>
      <c r="E51" s="93">
        <f>+'IPR Data'!D45/1000</f>
        <v>23485.271</v>
      </c>
      <c r="F51" s="93">
        <f>+'IPR Data'!E45/1000</f>
        <v>23947.931</v>
      </c>
      <c r="G51" s="93">
        <f>+'IPR Data'!F45/1000</f>
        <v>24436.469</v>
      </c>
      <c r="H51" s="93">
        <f>+'IPR Data'!G45/1000</f>
        <v>24952.078</v>
      </c>
      <c r="I51" s="93">
        <f>+'IPR Data'!H45/1000</f>
        <v>25481.062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87" t="s">
        <v>25</v>
      </c>
      <c r="B52" s="92" t="s">
        <v>33</v>
      </c>
      <c r="C52" s="1" t="s">
        <v>34</v>
      </c>
      <c r="D52" s="93">
        <f>+'IPR Data'!C46/1000-'REP staff costs'!F7/1000</f>
        <v>12015.71</v>
      </c>
      <c r="E52" s="93">
        <f>+'IPR Data'!D46/1000-'REP staff costs'!G7/1000</f>
        <v>13309.816</v>
      </c>
      <c r="F52" s="93">
        <f>+'IPR Data'!E46/1000-'REP staff costs'!H7/1000</f>
        <v>14268.498090368168</v>
      </c>
      <c r="G52" s="93">
        <f>+'IPR Data'!F46/1000-'REP staff costs'!I7/1000</f>
        <v>14518.581083742836</v>
      </c>
      <c r="H52" s="93">
        <f>+'IPR Data'!G46/1000-'REP staff costs'!J7/1000</f>
        <v>14825.515212209524</v>
      </c>
      <c r="I52" s="93">
        <f>+'IPR Data'!H46/1000-'REP staff costs'!K7/1000</f>
        <v>15139.90288832553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87" t="s">
        <v>25</v>
      </c>
      <c r="B53" s="92" t="s">
        <v>33</v>
      </c>
      <c r="C53" s="1" t="s">
        <v>101</v>
      </c>
      <c r="D53" s="93">
        <f>+'IPR Data'!C47/1000-'REP staff costs'!F8/1000</f>
        <v>4118.522</v>
      </c>
      <c r="E53" s="93">
        <f>+'IPR Data'!D47/1000-'REP staff costs'!G8/1000</f>
        <v>4203.530000000001</v>
      </c>
      <c r="F53" s="93">
        <f>+'IPR Data'!E47/1000-'REP staff costs'!H8/1000</f>
        <v>4235.686135804974</v>
      </c>
      <c r="G53" s="93">
        <f>+'IPR Data'!F47/1000-'REP staff costs'!I8/1000</f>
        <v>4322.115697936685</v>
      </c>
      <c r="H53" s="93">
        <f>+'IPR Data'!G47/1000-'REP staff costs'!J8/1000</f>
        <v>4413.31329664399</v>
      </c>
      <c r="I53" s="93">
        <f>+'IPR Data'!H47/1000-'REP staff costs'!K8/1000</f>
        <v>4506.8750448759365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87" t="s">
        <v>25</v>
      </c>
      <c r="B54" s="92" t="s">
        <v>33</v>
      </c>
      <c r="C54" s="1" t="s">
        <v>35</v>
      </c>
      <c r="D54" s="93">
        <f>+'IPR Data'!C40/1000</f>
        <v>9093.563</v>
      </c>
      <c r="E54" s="93">
        <f>+'IPR Data'!D40/1000</f>
        <v>9408.5</v>
      </c>
      <c r="F54" s="93">
        <f>+'IPR Data'!E40/1000</f>
        <v>9593.848</v>
      </c>
      <c r="G54" s="93">
        <f>+'IPR Data'!F40/1000</f>
        <v>9789.562</v>
      </c>
      <c r="H54" s="93">
        <f>+'IPR Data'!G40/1000</f>
        <v>9996.122</v>
      </c>
      <c r="I54" s="93">
        <f>+'IPR Data'!H40/1000</f>
        <v>10208.04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362" t="s">
        <v>25</v>
      </c>
      <c r="B55" s="363" t="s">
        <v>698</v>
      </c>
      <c r="C55" s="364" t="s">
        <v>698</v>
      </c>
      <c r="D55" s="93">
        <f>+'IPR Data'!C49/1000-'cost table'!D29</f>
        <v>1781.7497751479286</v>
      </c>
      <c r="E55" s="93">
        <f>+'IPR Data'!D49/1000-'cost table'!E29</f>
        <v>1741.8296804733727</v>
      </c>
      <c r="F55" s="93">
        <f>+'IPR Data'!E49/1000-'cost table'!F29</f>
        <v>2162.3024852071003</v>
      </c>
      <c r="G55" s="93">
        <f>+'IPR Data'!F49/1000-'cost table'!G29</f>
        <v>2206.4132544378695</v>
      </c>
      <c r="H55" s="93">
        <f>+'IPR Data'!G49/1000-'cost table'!H29</f>
        <v>2252.968520710059</v>
      </c>
      <c r="I55" s="93">
        <f>+'IPR Data'!H49/1000-'cost table'!I29</f>
        <v>2300.7314556213014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87" t="s">
        <v>25</v>
      </c>
      <c r="B56" s="92" t="s">
        <v>33</v>
      </c>
      <c r="C56" s="1" t="s">
        <v>683</v>
      </c>
      <c r="D56" s="93">
        <f>+'IPR Data'!C50/1000</f>
        <v>500</v>
      </c>
      <c r="E56" s="93">
        <f>+'IPR Data'!D50/1000</f>
        <v>0</v>
      </c>
      <c r="F56" s="93">
        <f>+'IPR Data'!E50/1000</f>
        <v>0</v>
      </c>
      <c r="G56" s="93">
        <f>+'IPR Data'!F50/1000</f>
        <v>0</v>
      </c>
      <c r="H56" s="93">
        <f>+'IPR Data'!G50/1000</f>
        <v>0</v>
      </c>
      <c r="I56" s="93">
        <f>+'IPR Data'!H50/1000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87" t="s">
        <v>25</v>
      </c>
      <c r="B57" s="92" t="s">
        <v>33</v>
      </c>
      <c r="C57" s="1" t="s">
        <v>684</v>
      </c>
      <c r="D57" s="93">
        <f>+'IPR Data'!C51/1000</f>
        <v>0</v>
      </c>
      <c r="E57" s="93">
        <f>+'IPR Data'!D51/1000</f>
        <v>0</v>
      </c>
      <c r="F57" s="93">
        <f>+'IPR Data'!E51/1000</f>
        <v>0</v>
      </c>
      <c r="G57" s="93">
        <f>+'IPR Data'!F51/1000</f>
        <v>0</v>
      </c>
      <c r="H57" s="93">
        <f>+'IPR Data'!G51/1000</f>
        <v>0</v>
      </c>
      <c r="I57" s="93">
        <f>+'IPR Data'!H51/1000</f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87" t="s">
        <v>25</v>
      </c>
      <c r="B58" s="92" t="s">
        <v>33</v>
      </c>
      <c r="C58" s="1" t="s">
        <v>685</v>
      </c>
      <c r="D58" s="93">
        <f>+'IPR Data'!C52/1000</f>
        <v>3330</v>
      </c>
      <c r="E58" s="93">
        <f>+'IPR Data'!D52/1000</f>
        <v>4995</v>
      </c>
      <c r="F58" s="93">
        <f>+'IPR Data'!E52/1000</f>
        <v>12500</v>
      </c>
      <c r="G58" s="93">
        <f>+'IPR Data'!F52/1000</f>
        <v>11000</v>
      </c>
      <c r="H58" s="93">
        <f>+'IPR Data'!G52/1000</f>
        <v>10000</v>
      </c>
      <c r="I58" s="93">
        <f>+'IPR Data'!H52/1000</f>
        <v>9000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87" t="s">
        <v>25</v>
      </c>
      <c r="B59" s="92" t="s">
        <v>36</v>
      </c>
      <c r="C59" s="1" t="s">
        <v>102</v>
      </c>
      <c r="D59" s="93">
        <f>+'IPR Data'!C56/1000</f>
        <v>276713.282</v>
      </c>
      <c r="E59" s="93">
        <f>+'IPR Data'!D56/1000</f>
        <v>276703.668</v>
      </c>
      <c r="F59" s="93">
        <f>+'IPR Data'!E56/1000</f>
        <v>281811.896</v>
      </c>
      <c r="G59" s="93">
        <f>+'IPR Data'!F56/1000</f>
        <v>286914.986</v>
      </c>
      <c r="H59" s="93">
        <f>+'IPR Data'!G56/1000</f>
        <v>292322.151</v>
      </c>
      <c r="I59" s="93">
        <f>+'IPR Data'!H56/1000</f>
        <v>297872.515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87" t="s">
        <v>25</v>
      </c>
      <c r="B60" s="92" t="s">
        <v>36</v>
      </c>
      <c r="C60" s="1" t="s">
        <v>37</v>
      </c>
      <c r="D60" s="93">
        <f>+'IPR Data'!C54/1000</f>
        <v>33483.249</v>
      </c>
      <c r="E60" s="93">
        <f>+'IPR Data'!D54/1000</f>
        <v>33483.249</v>
      </c>
      <c r="F60" s="93">
        <f>+'IPR Data'!E54/1000</f>
        <v>34672.087</v>
      </c>
      <c r="G60" s="93">
        <f>+'IPR Data'!F54/1000</f>
        <v>35379.398</v>
      </c>
      <c r="H60" s="93">
        <f>+'IPR Data'!G54/1000</f>
        <v>36125.903</v>
      </c>
      <c r="I60" s="93">
        <f>+'IPR Data'!H54/1000</f>
        <v>36891.772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87" t="s">
        <v>25</v>
      </c>
      <c r="B61" s="92" t="s">
        <v>36</v>
      </c>
      <c r="C61" s="1" t="s">
        <v>38</v>
      </c>
      <c r="D61" s="93">
        <f>+'IPR Data'!C55/1000</f>
        <v>11624</v>
      </c>
      <c r="E61" s="93">
        <f>+'IPR Data'!D55/1000</f>
        <v>11914</v>
      </c>
      <c r="F61" s="93">
        <f>+'IPR Data'!E55/1000</f>
        <v>12148.706</v>
      </c>
      <c r="G61" s="93">
        <f>+'IPR Data'!F55/1000</f>
        <v>12396.539</v>
      </c>
      <c r="H61" s="93">
        <f>+'IPR Data'!G55/1000</f>
        <v>12658.106</v>
      </c>
      <c r="I61" s="93">
        <f>+'IPR Data'!H55/1000</f>
        <v>12926.458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87" t="s">
        <v>25</v>
      </c>
      <c r="B62" s="92" t="s">
        <v>36</v>
      </c>
      <c r="C62" s="1" t="s">
        <v>39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87" t="s">
        <v>25</v>
      </c>
      <c r="B63" s="92" t="s">
        <v>40</v>
      </c>
      <c r="C63" s="1" t="s">
        <v>41</v>
      </c>
      <c r="D63" s="93">
        <f>+'IPR Data'!C58/1000</f>
        <v>14962.013</v>
      </c>
      <c r="E63" s="93">
        <f>+'IPR Data'!D58/1000</f>
        <v>15620.326</v>
      </c>
      <c r="F63" s="93">
        <f>+'IPR Data'!E58/1000</f>
        <v>20861.27</v>
      </c>
      <c r="G63" s="93">
        <f>+'IPR Data'!F58/1000</f>
        <v>21784.455</v>
      </c>
      <c r="H63" s="93">
        <f>+'IPR Data'!G58/1000</f>
        <v>22717.93</v>
      </c>
      <c r="I63" s="93">
        <f>+'IPR Data'!H58/1000</f>
        <v>23723.176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5" customFormat="1" ht="12.75">
      <c r="A64" s="99" t="s">
        <v>25</v>
      </c>
      <c r="B64" s="92" t="s">
        <v>40</v>
      </c>
      <c r="C64" s="1" t="s">
        <v>103</v>
      </c>
      <c r="D64" s="93">
        <f>+'IPR Data'!C59/1000-'cost table'!D66</f>
        <v>40064.54245269056</v>
      </c>
      <c r="E64" s="93">
        <f>+'IPR Data'!D59/1000-'cost table'!E66</f>
        <v>40999.73392902415</v>
      </c>
      <c r="F64" s="93">
        <f>+'IPR Data'!E59/1000-'cost table'!F66</f>
        <v>44224.5645089094</v>
      </c>
      <c r="G64" s="93">
        <f>+'IPR Data'!F59/1000-'cost table'!G66</f>
        <v>44922.09633148305</v>
      </c>
      <c r="H64" s="93">
        <f>+'IPR Data'!G59/1000-'cost table'!H66</f>
        <v>45848.21761170798</v>
      </c>
      <c r="I64" s="93">
        <f>+'IPR Data'!H59/1000-'cost table'!I66</f>
        <v>46630.39569246925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5" customFormat="1" ht="12.75">
      <c r="A65" s="99" t="s">
        <v>25</v>
      </c>
      <c r="B65" s="92" t="s">
        <v>40</v>
      </c>
      <c r="C65" s="1" t="s">
        <v>687</v>
      </c>
      <c r="D65" s="93">
        <f>+'IPR Data'!C60/1000</f>
        <v>11368.944</v>
      </c>
      <c r="E65" s="93">
        <f>+'IPR Data'!D60/1000</f>
        <v>11626.752</v>
      </c>
      <c r="F65" s="93">
        <f>+'IPR Data'!E60/1000</f>
        <v>12461.415</v>
      </c>
      <c r="G65" s="93">
        <f>+'IPR Data'!F60/1000</f>
        <v>12715.628</v>
      </c>
      <c r="H65" s="93">
        <f>+'IPR Data'!G60/1000</f>
        <v>12983.927</v>
      </c>
      <c r="I65" s="93">
        <f>+'IPR Data'!H60/1000</f>
        <v>13259.187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87" t="s">
        <v>25</v>
      </c>
      <c r="B66" s="92" t="s">
        <v>40</v>
      </c>
      <c r="C66" s="1" t="s">
        <v>104</v>
      </c>
      <c r="D66" s="93">
        <f>+'IPR Data'!C61/1000*'EE staffing split'!D15</f>
        <v>12957.738547309438</v>
      </c>
      <c r="E66" s="93">
        <f>+'IPR Data'!D61/1000*'EE staffing split'!$E$15</f>
        <v>13169.78007097585</v>
      </c>
      <c r="F66" s="93">
        <f>+'IPR Data'!E61/1000*'EE staffing split'!$E$15</f>
        <v>14185.668491090595</v>
      </c>
      <c r="G66" s="93">
        <f>+'IPR Data'!F61/1000*'EE staffing split'!$E$15</f>
        <v>14423.842668516947</v>
      </c>
      <c r="H66" s="93">
        <f>+'IPR Data'!G61/1000*'EE staffing split'!$E$15</f>
        <v>14722.746388292018</v>
      </c>
      <c r="I66" s="93">
        <f>+'IPR Data'!H61/1000*'EE staffing split'!$E$15</f>
        <v>14987.370307530753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87" t="s">
        <v>25</v>
      </c>
      <c r="B67" s="92" t="s">
        <v>42</v>
      </c>
      <c r="C67" s="1" t="s">
        <v>43</v>
      </c>
      <c r="D67" s="361"/>
      <c r="E67" s="93"/>
      <c r="F67" s="93"/>
      <c r="G67" s="93"/>
      <c r="H67" s="93"/>
      <c r="I67" s="9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87" t="s">
        <v>25</v>
      </c>
      <c r="B68" s="92" t="s">
        <v>42</v>
      </c>
      <c r="C68" s="1" t="s">
        <v>44</v>
      </c>
      <c r="D68" s="361"/>
      <c r="E68" s="93"/>
      <c r="F68" s="93"/>
      <c r="G68" s="93"/>
      <c r="H68" s="93"/>
      <c r="I68" s="9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87" t="s">
        <v>25</v>
      </c>
      <c r="B69" s="92" t="s">
        <v>42</v>
      </c>
      <c r="C69" s="359" t="s">
        <v>694</v>
      </c>
      <c r="D69" s="93">
        <f>+'IPR Data'!C62/1000</f>
        <v>-10000</v>
      </c>
      <c r="E69" s="93">
        <f>+'IPR Data'!D62/1000</f>
        <v>-10000</v>
      </c>
      <c r="F69" s="93">
        <f>+'IPR Data'!E62/1000</f>
        <v>-26787</v>
      </c>
      <c r="G69" s="93">
        <f>+'IPR Data'!F62/1000</f>
        <v>-27445</v>
      </c>
      <c r="H69" s="93">
        <f>+'IPR Data'!G62/1000</f>
        <v>-28790</v>
      </c>
      <c r="I69" s="93">
        <f>+'IPR Data'!H62/1000</f>
        <v>-29610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87" t="s">
        <v>25</v>
      </c>
      <c r="B70" s="92" t="s">
        <v>42</v>
      </c>
      <c r="C70" s="359" t="s">
        <v>695</v>
      </c>
      <c r="D70" s="93">
        <f>+'RCD reduction'!D37</f>
        <v>11771.642754000146</v>
      </c>
      <c r="E70" s="93">
        <f>+'RCD reduction'!E37</f>
        <v>-3667.959000000148</v>
      </c>
      <c r="F70" s="93" t="e">
        <f>+'RCD reduction'!F37</f>
        <v>#REF!</v>
      </c>
      <c r="G70" s="93" t="e">
        <f>+'RCD reduction'!G37</f>
        <v>#REF!</v>
      </c>
      <c r="H70" s="93" t="e">
        <f>+'RCD reduction'!H37</f>
        <v>#REF!</v>
      </c>
      <c r="I70" s="93" t="e">
        <f>+'RCD reduction'!I37</f>
        <v>#REF!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87" t="s">
        <v>25</v>
      </c>
      <c r="B71" s="92" t="s">
        <v>42</v>
      </c>
      <c r="C71" s="359" t="s">
        <v>696</v>
      </c>
      <c r="D71" s="93">
        <v>-70000</v>
      </c>
      <c r="E71" s="93">
        <v>0</v>
      </c>
      <c r="F71" s="2">
        <v>0</v>
      </c>
      <c r="G71" s="2">
        <v>0</v>
      </c>
      <c r="H71" s="2">
        <v>0</v>
      </c>
      <c r="I71" s="2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87" t="s">
        <v>25</v>
      </c>
      <c r="B72" s="92" t="s">
        <v>604</v>
      </c>
      <c r="C72" s="359" t="s">
        <v>697</v>
      </c>
      <c r="D72" s="93">
        <f>+'Federal Capital Costs'!C68</f>
        <v>-60500</v>
      </c>
      <c r="E72" s="93">
        <f>+'Federal Capital Costs'!D68</f>
        <v>-60500</v>
      </c>
      <c r="F72" s="2">
        <v>0</v>
      </c>
      <c r="G72" s="2">
        <v>0</v>
      </c>
      <c r="H72" s="2">
        <v>0</v>
      </c>
      <c r="I72" s="2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7" ht="12.75">
      <c r="A73" s="87" t="s">
        <v>45</v>
      </c>
      <c r="B73" s="92" t="s">
        <v>46</v>
      </c>
      <c r="C73" s="1" t="s">
        <v>105</v>
      </c>
      <c r="D73" s="93">
        <f>+'Non-Federal DS'!F11</f>
        <v>184736.58649999992</v>
      </c>
      <c r="E73" s="93">
        <f>+'Non-Federal DS'!G11</f>
        <v>338591.6315</v>
      </c>
      <c r="F73" s="93">
        <f>+'Non-Federal DS'!H34</f>
        <v>388115.297</v>
      </c>
      <c r="G73" s="93">
        <f>+'Non-Federal DS'!I34</f>
        <v>370478.077</v>
      </c>
      <c r="H73" s="93">
        <f>+'Non-Federal DS'!J34</f>
        <v>379530.49</v>
      </c>
      <c r="I73" s="93">
        <f>+'Non-Federal DS'!K34</f>
        <v>380644.924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87" t="s">
        <v>45</v>
      </c>
      <c r="B74" s="92" t="s">
        <v>46</v>
      </c>
      <c r="C74" s="1" t="s">
        <v>47</v>
      </c>
      <c r="D74" s="93">
        <f>+'Non-Federal DS'!F6</f>
        <v>60431.195999999996</v>
      </c>
      <c r="E74" s="93">
        <f>+'Non-Federal DS'!G6</f>
        <v>40738.13</v>
      </c>
      <c r="F74" s="93">
        <f>+'Non-Federal DS'!H29</f>
        <v>40572.093</v>
      </c>
      <c r="G74" s="93">
        <f>+'Non-Federal DS'!I29</f>
        <v>39322.45</v>
      </c>
      <c r="H74" s="93">
        <f>+'Non-Federal DS'!J29</f>
        <v>39322.45</v>
      </c>
      <c r="I74" s="93">
        <f>+'Non-Federal DS'!K29</f>
        <v>39322.45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87" t="s">
        <v>45</v>
      </c>
      <c r="B75" s="92" t="s">
        <v>46</v>
      </c>
      <c r="C75" s="1" t="s">
        <v>48</v>
      </c>
      <c r="D75" s="93">
        <f>+'Non-Federal DS'!F12</f>
        <v>236157.935626</v>
      </c>
      <c r="E75" s="93">
        <f>+'Non-Federal DS'!G12</f>
        <v>32139.091999999997</v>
      </c>
      <c r="F75" s="93">
        <f>+'Non-Federal DS'!H35</f>
        <v>31476.338</v>
      </c>
      <c r="G75" s="93">
        <f>+'Non-Federal DS'!I35</f>
        <v>40910.75</v>
      </c>
      <c r="H75" s="93">
        <f>+'Non-Federal DS'!J35</f>
        <v>63733.369999999995</v>
      </c>
      <c r="I75" s="93">
        <f>+'Non-Federal DS'!K35</f>
        <v>39130.89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87" t="s">
        <v>45</v>
      </c>
      <c r="B76" s="92" t="s">
        <v>49</v>
      </c>
      <c r="C76" s="1" t="s">
        <v>107</v>
      </c>
      <c r="D76" s="93">
        <f>+'Non-Federal DS'!F14</f>
        <v>7302.242</v>
      </c>
      <c r="E76" s="93">
        <f>+'Non-Federal DS'!G14</f>
        <v>7303.532999999999</v>
      </c>
      <c r="F76" s="93">
        <f>+'Non-Federal DS'!H37</f>
        <v>7301.076</v>
      </c>
      <c r="G76" s="93">
        <f>+'Non-Federal DS'!I37</f>
        <v>7299.622000000001</v>
      </c>
      <c r="H76" s="93">
        <f>+'Non-Federal DS'!J37</f>
        <v>7298.669</v>
      </c>
      <c r="I76" s="93">
        <f>+'Non-Federal DS'!K37</f>
        <v>7302.719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87" t="s">
        <v>45</v>
      </c>
      <c r="B77" s="92" t="s">
        <v>49</v>
      </c>
      <c r="C77" s="1" t="s">
        <v>50</v>
      </c>
      <c r="D77" s="93">
        <f>+'Non-Federal DS'!F13</f>
        <v>1933.8490000000002</v>
      </c>
      <c r="E77" s="93">
        <f>+'Non-Federal DS'!G13</f>
        <v>1931.771</v>
      </c>
      <c r="F77" s="93">
        <f>+'Non-Federal DS'!H36</f>
        <v>1937.21</v>
      </c>
      <c r="G77" s="93">
        <f>+'Non-Federal DS'!I36</f>
        <v>1948.4430000000002</v>
      </c>
      <c r="H77" s="93">
        <f>+'Non-Federal DS'!J36</f>
        <v>1950.2930000000001</v>
      </c>
      <c r="I77" s="93">
        <f>+'Non-Federal DS'!K36</f>
        <v>1946.723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87" t="s">
        <v>51</v>
      </c>
      <c r="B78" s="92" t="s">
        <v>52</v>
      </c>
      <c r="C78" s="1" t="s">
        <v>53</v>
      </c>
      <c r="D78" s="93">
        <v>18080.088835</v>
      </c>
      <c r="E78" s="93">
        <v>13608.666519999999</v>
      </c>
      <c r="F78" s="93">
        <v>13846.8181841</v>
      </c>
      <c r="G78" s="93">
        <v>14089.137502321752</v>
      </c>
      <c r="H78" s="93">
        <v>14335.697408612383</v>
      </c>
      <c r="I78" s="93">
        <v>14586.5721132631</v>
      </c>
      <c r="J78" s="93">
        <v>14841.837125245205</v>
      </c>
      <c r="K78" s="93">
        <v>15101.569274936997</v>
      </c>
      <c r="L78" s="93">
        <v>15365.846737248396</v>
      </c>
      <c r="M78" s="93">
        <v>15634.749055150243</v>
      </c>
      <c r="N78" s="93">
        <v>15908.357163615374</v>
      </c>
      <c r="O78" s="93">
        <v>16186.753413978644</v>
      </c>
      <c r="P78" s="93">
        <v>16470.02159872327</v>
      </c>
      <c r="Q78" s="93">
        <v>16758.246976700928</v>
      </c>
      <c r="R78" s="93">
        <v>17051.516298793194</v>
      </c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87" t="s">
        <v>51</v>
      </c>
      <c r="B79" s="92" t="s">
        <v>52</v>
      </c>
      <c r="C79" s="1" t="s">
        <v>54</v>
      </c>
      <c r="D79" s="93">
        <v>97725</v>
      </c>
      <c r="E79" s="93">
        <v>100816</v>
      </c>
      <c r="F79" s="93">
        <v>103520</v>
      </c>
      <c r="G79" s="93">
        <v>105598</v>
      </c>
      <c r="H79" s="93">
        <v>107638</v>
      </c>
      <c r="I79" s="93">
        <v>109848</v>
      </c>
      <c r="J79" s="93">
        <v>112923</v>
      </c>
      <c r="K79" s="93">
        <v>116905</v>
      </c>
      <c r="L79" s="93">
        <v>120126</v>
      </c>
      <c r="M79" s="93">
        <v>124930</v>
      </c>
      <c r="N79" s="93">
        <v>129007</v>
      </c>
      <c r="O79" s="93">
        <v>133269</v>
      </c>
      <c r="P79" s="93">
        <v>137499</v>
      </c>
      <c r="Q79" s="93">
        <v>141470.26717091305</v>
      </c>
      <c r="R79" s="93">
        <v>145556.23308830988</v>
      </c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87" t="s">
        <v>51</v>
      </c>
      <c r="B80" s="92" t="s">
        <v>52</v>
      </c>
      <c r="C80" s="1" t="s">
        <v>55</v>
      </c>
      <c r="D80" s="93">
        <v>28286.786666666667</v>
      </c>
      <c r="E80" s="93">
        <v>29640.786666666667</v>
      </c>
      <c r="F80" s="93">
        <v>31158.786666666667</v>
      </c>
      <c r="G80" s="93">
        <v>33043.78666666667</v>
      </c>
      <c r="H80" s="93">
        <v>35332.78666666667</v>
      </c>
      <c r="I80" s="93">
        <v>37612.78666666667</v>
      </c>
      <c r="J80" s="93">
        <v>39577.78666666667</v>
      </c>
      <c r="K80" s="93">
        <v>41507.78666666667</v>
      </c>
      <c r="L80" s="93">
        <v>43406.78666666667</v>
      </c>
      <c r="M80" s="93">
        <v>45046.78666666667</v>
      </c>
      <c r="N80" s="93">
        <v>46277.78666666667</v>
      </c>
      <c r="O80" s="93">
        <v>47428.78666666667</v>
      </c>
      <c r="P80" s="93">
        <v>48718.78666666667</v>
      </c>
      <c r="Q80" s="93">
        <v>50981.43006921654</v>
      </c>
      <c r="R80" s="93">
        <v>53349.157270386655</v>
      </c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87" t="s">
        <v>51</v>
      </c>
      <c r="B81" s="92" t="s">
        <v>56</v>
      </c>
      <c r="C81" s="1" t="s">
        <v>57</v>
      </c>
      <c r="D81" s="93">
        <v>923</v>
      </c>
      <c r="E81" s="93">
        <v>367</v>
      </c>
      <c r="F81" s="93">
        <v>17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87" t="s">
        <v>51</v>
      </c>
      <c r="B82" s="92" t="s">
        <v>56</v>
      </c>
      <c r="C82" s="1" t="s">
        <v>58</v>
      </c>
      <c r="D82" s="93">
        <v>40145</v>
      </c>
      <c r="E82" s="93">
        <v>40145</v>
      </c>
      <c r="F82" s="93">
        <v>40145</v>
      </c>
      <c r="G82" s="93">
        <v>40145</v>
      </c>
      <c r="H82" s="93">
        <v>40145</v>
      </c>
      <c r="I82" s="93">
        <v>35955</v>
      </c>
      <c r="J82" s="93">
        <v>24632</v>
      </c>
      <c r="K82" s="93">
        <v>17358</v>
      </c>
      <c r="L82" s="93">
        <v>10509</v>
      </c>
      <c r="M82" s="93">
        <v>6287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87" t="s">
        <v>51</v>
      </c>
      <c r="B83" s="92" t="s">
        <v>56</v>
      </c>
      <c r="C83" s="1" t="s">
        <v>108</v>
      </c>
      <c r="D83" s="93">
        <v>10398</v>
      </c>
      <c r="E83" s="93">
        <v>10398</v>
      </c>
      <c r="F83" s="93">
        <v>10398</v>
      </c>
      <c r="G83" s="93">
        <v>10398</v>
      </c>
      <c r="H83" s="93">
        <v>10398</v>
      </c>
      <c r="I83" s="93">
        <v>10398</v>
      </c>
      <c r="J83" s="93">
        <v>10398</v>
      </c>
      <c r="K83" s="93">
        <v>10398</v>
      </c>
      <c r="L83" s="93">
        <v>10398</v>
      </c>
      <c r="M83" s="93">
        <v>10398</v>
      </c>
      <c r="N83" s="93">
        <v>10398</v>
      </c>
      <c r="O83" s="93">
        <v>10398</v>
      </c>
      <c r="P83" s="93">
        <v>10398</v>
      </c>
      <c r="Q83" s="93">
        <v>10398</v>
      </c>
      <c r="R83" s="93">
        <v>10398</v>
      </c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87" t="s">
        <v>51</v>
      </c>
      <c r="B84" s="92" t="s">
        <v>56</v>
      </c>
      <c r="C84" s="1" t="s">
        <v>693</v>
      </c>
      <c r="D84" s="93">
        <v>35329.866666666676</v>
      </c>
      <c r="E84" s="93">
        <v>36548.29946666667</v>
      </c>
      <c r="F84" s="93">
        <v>37551.29946666668</v>
      </c>
      <c r="G84" s="93">
        <v>38994.03280000001</v>
      </c>
      <c r="H84" s="93">
        <v>38832.16613333334</v>
      </c>
      <c r="I84" s="93">
        <v>38545.89946666667</v>
      </c>
      <c r="J84" s="93">
        <v>39205.09940000001</v>
      </c>
      <c r="K84" s="93">
        <v>39774.68457578371</v>
      </c>
      <c r="L84" s="93">
        <v>37379.061546934</v>
      </c>
      <c r="M84" s="93">
        <v>35456.13080235505</v>
      </c>
      <c r="N84" s="93">
        <v>34325.32425440573</v>
      </c>
      <c r="O84" s="93">
        <v>35041.64455014034</v>
      </c>
      <c r="P84" s="93">
        <v>35753.50107540519</v>
      </c>
      <c r="Q84" s="93">
        <v>35753.50107540519</v>
      </c>
      <c r="R84" s="93">
        <v>35753.50107540519</v>
      </c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87" t="s">
        <v>59</v>
      </c>
      <c r="B85" s="92" t="s">
        <v>60</v>
      </c>
      <c r="C85" s="1" t="s">
        <v>61</v>
      </c>
      <c r="D85" s="93">
        <f>+'Federal Capital Costs'!C5</f>
        <v>83294</v>
      </c>
      <c r="E85" s="93">
        <f>+'Federal Capital Costs'!D5</f>
        <v>82687</v>
      </c>
      <c r="F85" s="2">
        <f>+'Federal Capital Costs'!E44</f>
        <v>84133</v>
      </c>
      <c r="G85" s="2">
        <f>+'Federal Capital Costs'!F44</f>
        <v>84197</v>
      </c>
      <c r="H85" s="2">
        <f>+'Federal Capital Costs'!G44</f>
        <v>84435</v>
      </c>
      <c r="I85" s="2">
        <f>+'Federal Capital Costs'!H44</f>
        <v>80483</v>
      </c>
      <c r="J85" s="2">
        <f>+'Federal Capital Costs'!I44</f>
        <v>80376</v>
      </c>
      <c r="K85" s="2">
        <f>+'Federal Capital Costs'!J44</f>
        <v>81954</v>
      </c>
      <c r="L85" s="2">
        <f>+'Federal Capital Costs'!K44</f>
        <v>79730</v>
      </c>
      <c r="M85" s="2">
        <f>+'Federal Capital Costs'!L44</f>
        <v>81978</v>
      </c>
      <c r="N85" s="2">
        <f>+'Federal Capital Costs'!M44</f>
        <v>77532</v>
      </c>
      <c r="O85" s="2">
        <f>+'Federal Capital Costs'!N44</f>
        <v>74793</v>
      </c>
      <c r="P85" s="2">
        <f>+'Federal Capital Costs'!O44</f>
        <v>72635</v>
      </c>
      <c r="Q85" s="2">
        <f>+'Federal Capital Costs'!P44</f>
        <v>73329</v>
      </c>
      <c r="R85" s="2">
        <f>+'Federal Capital Costs'!Q44</f>
        <v>74022</v>
      </c>
      <c r="S85" s="2">
        <f>+'Federal Capital Costs'!R44</f>
        <v>74715</v>
      </c>
      <c r="T85" s="2">
        <f>+'Federal Capital Costs'!S44</f>
        <v>75408</v>
      </c>
      <c r="U85" s="2">
        <f>+'Federal Capital Costs'!T44</f>
        <v>76102</v>
      </c>
      <c r="V85" s="2">
        <f>+'Federal Capital Costs'!U44</f>
        <v>76795</v>
      </c>
      <c r="W85" s="2"/>
      <c r="X85" s="2"/>
      <c r="Y85" s="2"/>
      <c r="Z85" s="2"/>
      <c r="AA85" s="2"/>
    </row>
    <row r="86" spans="1:27" ht="12.75">
      <c r="A86" s="87" t="s">
        <v>59</v>
      </c>
      <c r="B86" s="92" t="s">
        <v>60</v>
      </c>
      <c r="C86" s="1" t="s">
        <v>62</v>
      </c>
      <c r="D86" s="93">
        <v>-45937</v>
      </c>
      <c r="E86" s="93">
        <f>+D86</f>
        <v>-45937</v>
      </c>
      <c r="F86" s="2">
        <f>+E86</f>
        <v>-45937</v>
      </c>
      <c r="G86" s="2">
        <f aca="true" t="shared" si="3" ref="G86:I86">+F86</f>
        <v>-45937</v>
      </c>
      <c r="H86" s="2">
        <f t="shared" si="3"/>
        <v>-45937</v>
      </c>
      <c r="I86" s="2">
        <f t="shared" si="3"/>
        <v>-45937</v>
      </c>
      <c r="J86" s="2">
        <f aca="true" t="shared" si="4" ref="J86">+I86</f>
        <v>-45937</v>
      </c>
      <c r="K86" s="2">
        <f aca="true" t="shared" si="5" ref="K86">+J86</f>
        <v>-45937</v>
      </c>
      <c r="L86" s="2">
        <f aca="true" t="shared" si="6" ref="L86">+K86</f>
        <v>-45937</v>
      </c>
      <c r="M86" s="2">
        <f aca="true" t="shared" si="7" ref="M86">+L86</f>
        <v>-45937</v>
      </c>
      <c r="N86" s="2">
        <f aca="true" t="shared" si="8" ref="N86">+M86</f>
        <v>-45937</v>
      </c>
      <c r="O86" s="2">
        <f aca="true" t="shared" si="9" ref="O86">+N86</f>
        <v>-45937</v>
      </c>
      <c r="P86" s="2">
        <f aca="true" t="shared" si="10" ref="P86">+O86</f>
        <v>-45937</v>
      </c>
      <c r="Q86" s="2">
        <f aca="true" t="shared" si="11" ref="Q86">+P86</f>
        <v>-45937</v>
      </c>
      <c r="R86" s="2">
        <f aca="true" t="shared" si="12" ref="R86">+Q86</f>
        <v>-45937</v>
      </c>
      <c r="S86" s="2">
        <f aca="true" t="shared" si="13" ref="S86">+R86</f>
        <v>-45937</v>
      </c>
      <c r="T86" s="2">
        <f aca="true" t="shared" si="14" ref="T86">+S86</f>
        <v>-45937</v>
      </c>
      <c r="U86" s="2">
        <f aca="true" t="shared" si="15" ref="U86">+T86</f>
        <v>-45937</v>
      </c>
      <c r="V86" s="2">
        <f aca="true" t="shared" si="16" ref="V86">+U86</f>
        <v>-45937</v>
      </c>
      <c r="W86" s="2"/>
      <c r="X86" s="2"/>
      <c r="Y86" s="2"/>
      <c r="Z86" s="2"/>
      <c r="AA86" s="2"/>
    </row>
    <row r="87" spans="1:27" ht="12.75">
      <c r="A87" s="87" t="s">
        <v>59</v>
      </c>
      <c r="B87" s="92" t="s">
        <v>60</v>
      </c>
      <c r="C87" s="1" t="s">
        <v>63</v>
      </c>
      <c r="D87" s="93">
        <f>+'Federal Capital Costs'!C4</f>
        <v>56449</v>
      </c>
      <c r="E87" s="93">
        <f>+'Federal Capital Costs'!D4</f>
        <v>63302</v>
      </c>
      <c r="F87" s="2">
        <f>+'Federal Capital Costs'!E43</f>
        <v>78646</v>
      </c>
      <c r="G87" s="2">
        <f>+'Federal Capital Costs'!F43</f>
        <v>91865</v>
      </c>
      <c r="H87" s="2">
        <f>+'Federal Capital Costs'!G43</f>
        <v>106040</v>
      </c>
      <c r="I87" s="2">
        <f>+'Federal Capital Costs'!H43</f>
        <v>120051</v>
      </c>
      <c r="J87" s="2">
        <f>+'Federal Capital Costs'!I43</f>
        <v>133671</v>
      </c>
      <c r="K87" s="2">
        <f>+'Federal Capital Costs'!J43</f>
        <v>150691</v>
      </c>
      <c r="L87" s="2">
        <f>+'Federal Capital Costs'!K43</f>
        <v>164867</v>
      </c>
      <c r="M87" s="2">
        <f>+'Federal Capital Costs'!L43</f>
        <v>181645</v>
      </c>
      <c r="N87" s="2">
        <f>+'Federal Capital Costs'!M43</f>
        <v>200618</v>
      </c>
      <c r="O87" s="2">
        <f>+'Federal Capital Costs'!N43</f>
        <v>211428</v>
      </c>
      <c r="P87" s="2">
        <f>+'Federal Capital Costs'!O43</f>
        <v>216682</v>
      </c>
      <c r="Q87" s="2">
        <f>+'Federal Capital Costs'!P43</f>
        <v>221413</v>
      </c>
      <c r="R87" s="2">
        <f>+'Federal Capital Costs'!Q43</f>
        <v>228519</v>
      </c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87" t="s">
        <v>59</v>
      </c>
      <c r="B88" s="92" t="s">
        <v>60</v>
      </c>
      <c r="C88" s="1" t="s">
        <v>232</v>
      </c>
      <c r="D88" s="93">
        <f>+'Federal Capital Costs'!C6</f>
        <v>11627.714081461887</v>
      </c>
      <c r="E88" s="93">
        <f>+'Federal Capital Costs'!D6</f>
        <v>10747.46794684212</v>
      </c>
      <c r="F88" s="93">
        <f>+'Federal Capital Costs'!E6</f>
        <v>9826.374364535337</v>
      </c>
      <c r="G88" s="93">
        <f>+'Federal Capital Costs'!F6</f>
        <v>8862.537513691579</v>
      </c>
      <c r="H88" s="93">
        <f>+'Federal Capital Costs'!G6</f>
        <v>7853.97357060828</v>
      </c>
      <c r="I88" s="93">
        <f>+'Federal Capital Costs'!H6</f>
        <v>6798.60662309995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87" t="s">
        <v>59</v>
      </c>
      <c r="B89" s="92" t="s">
        <v>60</v>
      </c>
      <c r="C89" s="1" t="s">
        <v>109</v>
      </c>
      <c r="D89" s="93">
        <f>+'Federal Capital Costs'!C34</f>
        <v>0</v>
      </c>
      <c r="E89" s="93">
        <f>+'Federal Capital Costs'!D34</f>
        <v>0</v>
      </c>
      <c r="F89" s="2">
        <f>+'Federal Capital Costs'!E34</f>
        <v>0</v>
      </c>
      <c r="G89" s="2">
        <f>+'Federal Capital Costs'!F34</f>
        <v>0</v>
      </c>
      <c r="H89" s="2">
        <f>+'Federal Capital Costs'!G34</f>
        <v>0</v>
      </c>
      <c r="I89" s="2">
        <f>+'Federal Capital Costs'!H34</f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87" t="s">
        <v>59</v>
      </c>
      <c r="B90" s="92" t="s">
        <v>60</v>
      </c>
      <c r="C90" s="1" t="s">
        <v>129</v>
      </c>
      <c r="D90" s="93">
        <v>-8379.415325</v>
      </c>
      <c r="E90" s="93">
        <v>-8307.435</v>
      </c>
      <c r="F90" s="93">
        <v>-8645.4975</v>
      </c>
      <c r="G90" s="93">
        <v>-9010.7125</v>
      </c>
      <c r="H90" s="93">
        <v>-9500.2</v>
      </c>
      <c r="I90" s="93">
        <v>-9836.6875</v>
      </c>
      <c r="J90" s="93">
        <v>-9904.175</v>
      </c>
      <c r="K90" s="93">
        <v>-9814.6625</v>
      </c>
      <c r="L90" s="93">
        <v>-9643.15</v>
      </c>
      <c r="M90" s="93">
        <v>-9429.9529902875</v>
      </c>
      <c r="N90" s="93">
        <v>-9194.018794</v>
      </c>
      <c r="O90" s="93">
        <v>-8920.916029375</v>
      </c>
      <c r="P90" s="93">
        <v>-8607.827074</v>
      </c>
      <c r="Q90" s="93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9" ht="12.75">
      <c r="A91" s="87" t="s">
        <v>59</v>
      </c>
      <c r="B91" s="92" t="s">
        <v>60</v>
      </c>
      <c r="C91" s="1" t="s">
        <v>64</v>
      </c>
      <c r="D91" s="93">
        <f>+'interest credit calculations'!C12</f>
        <v>-2543.3373</v>
      </c>
      <c r="E91" s="93">
        <f>+'interest credit calculations'!D12</f>
        <v>-3780.79065</v>
      </c>
      <c r="F91" s="2">
        <f>+'interest credit calculations'!E12</f>
        <v>-3780.79065</v>
      </c>
      <c r="G91" s="2">
        <f>+'interest credit calculations'!F12</f>
        <v>-3780.79065</v>
      </c>
      <c r="H91" s="2">
        <f>+'interest credit calculations'!G12</f>
        <v>-3780.79065</v>
      </c>
      <c r="I91" s="2">
        <f>+'interest credit calculations'!H12</f>
        <v>-3780.79065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87" t="s">
        <v>59</v>
      </c>
      <c r="B92" s="92" t="s">
        <v>60</v>
      </c>
      <c r="C92" s="1" t="s">
        <v>454</v>
      </c>
      <c r="D92" s="93">
        <f>+'interest credit calculations'!C14</f>
        <v>0</v>
      </c>
      <c r="E92" s="93">
        <f>+'interest credit calculations'!D14</f>
        <v>0</v>
      </c>
      <c r="F92" s="93">
        <f>+'interest credit calculations'!E14</f>
        <v>0</v>
      </c>
      <c r="G92" s="93">
        <f>+'interest credit calculations'!F14</f>
        <v>0</v>
      </c>
      <c r="H92" s="93">
        <f>+'interest credit calculations'!G14</f>
        <v>0</v>
      </c>
      <c r="I92" s="93">
        <f>+'interest credit calculations'!H14</f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87" t="s">
        <v>59</v>
      </c>
      <c r="B93" s="92" t="s">
        <v>60</v>
      </c>
      <c r="C93" s="1" t="s">
        <v>65</v>
      </c>
      <c r="D93" s="93">
        <f>+'interest credit calculations'!C15</f>
        <v>1151.1683</v>
      </c>
      <c r="E93" s="93">
        <f>+'interest credit calculations'!D15</f>
        <v>1575.65915</v>
      </c>
      <c r="F93" s="2">
        <f>+'interest credit calculations'!E15</f>
        <v>1583.61665</v>
      </c>
      <c r="G93" s="2">
        <f>+'interest credit calculations'!F15</f>
        <v>1353.01665</v>
      </c>
      <c r="H93" s="2">
        <f>+'interest credit calculations'!G15</f>
        <v>1257.4166500000001</v>
      </c>
      <c r="I93" s="2">
        <f>+'interest credit calculations'!H15</f>
        <v>1074.8166499999998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7" ht="12.75">
      <c r="A94" s="87" t="s">
        <v>59</v>
      </c>
      <c r="B94" s="92" t="s">
        <v>66</v>
      </c>
      <c r="C94" s="1" t="s">
        <v>110</v>
      </c>
      <c r="D94" s="93">
        <f>+COSA!C12</f>
        <v>76103.1297564619</v>
      </c>
      <c r="E94" s="93">
        <f>+COSA!C58</f>
        <v>79385.90144684212</v>
      </c>
      <c r="F94" s="2">
        <f aca="true" t="shared" si="17" ref="F94:I97">SUM(F$85:F$93)*$E94/SUM($E$94:$E$97)</f>
        <v>91686.2292079995</v>
      </c>
      <c r="G94" s="2">
        <f t="shared" si="17"/>
        <v>100966.29018674302</v>
      </c>
      <c r="H94" s="2">
        <f t="shared" si="17"/>
        <v>111113.93186746171</v>
      </c>
      <c r="I94" s="2">
        <f t="shared" si="17"/>
        <v>117830.1957796374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87" t="s">
        <v>59</v>
      </c>
      <c r="B95" s="92" t="s">
        <v>66</v>
      </c>
      <c r="C95" s="1" t="s">
        <v>111</v>
      </c>
      <c r="D95" s="93">
        <f>+COSA!C13</f>
        <v>9560</v>
      </c>
      <c r="E95" s="93">
        <f>+COSA!C59</f>
        <v>10984</v>
      </c>
      <c r="F95" s="2">
        <f t="shared" si="17"/>
        <v>12685.899174364378</v>
      </c>
      <c r="G95" s="2">
        <f t="shared" si="17"/>
        <v>13969.907895469272</v>
      </c>
      <c r="H95" s="2">
        <f t="shared" si="17"/>
        <v>15373.956904041032</v>
      </c>
      <c r="I95" s="2">
        <f t="shared" si="17"/>
        <v>16303.233280158474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87" t="s">
        <v>59</v>
      </c>
      <c r="B96" s="92" t="s">
        <v>66</v>
      </c>
      <c r="C96" s="1" t="s">
        <v>112</v>
      </c>
      <c r="D96" s="93">
        <f>+COSA!C30</f>
        <v>8539</v>
      </c>
      <c r="E96" s="93">
        <f>+COSA!C76</f>
        <v>8635</v>
      </c>
      <c r="F96" s="2">
        <f t="shared" si="17"/>
        <v>9972.936941973452</v>
      </c>
      <c r="G96" s="2">
        <f t="shared" si="17"/>
        <v>10982.352028166166</v>
      </c>
      <c r="H96" s="2">
        <f t="shared" si="17"/>
        <v>12086.136003859643</v>
      </c>
      <c r="I96" s="2">
        <f t="shared" si="17"/>
        <v>12816.680569388967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87" t="s">
        <v>59</v>
      </c>
      <c r="B97" s="92" t="s">
        <v>66</v>
      </c>
      <c r="C97" s="1" t="s">
        <v>113</v>
      </c>
      <c r="D97" s="93">
        <f>+COSA!C33</f>
        <v>1460</v>
      </c>
      <c r="E97" s="93">
        <f>+COSA!C79</f>
        <v>1282</v>
      </c>
      <c r="F97" s="2">
        <f t="shared" si="17"/>
        <v>1480.6375401980274</v>
      </c>
      <c r="G97" s="2">
        <f t="shared" si="17"/>
        <v>1630.500903313147</v>
      </c>
      <c r="H97" s="2">
        <f t="shared" si="17"/>
        <v>1794.3747952458668</v>
      </c>
      <c r="I97" s="2">
        <f t="shared" si="17"/>
        <v>1902.8354939150731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87" t="s">
        <v>59</v>
      </c>
      <c r="B98" s="92" t="s">
        <v>67</v>
      </c>
      <c r="C98" s="1" t="s">
        <v>114</v>
      </c>
      <c r="D98" s="93">
        <f>+D94</f>
        <v>76103.1297564619</v>
      </c>
      <c r="E98" s="93">
        <f>+E94</f>
        <v>79385.90144684212</v>
      </c>
      <c r="F98" s="2">
        <f aca="true" t="shared" si="18" ref="F98:I99">+F94</f>
        <v>91686.2292079995</v>
      </c>
      <c r="G98" s="2">
        <f t="shared" si="18"/>
        <v>100966.29018674302</v>
      </c>
      <c r="H98" s="2">
        <f t="shared" si="18"/>
        <v>111113.93186746171</v>
      </c>
      <c r="I98" s="2">
        <f t="shared" si="18"/>
        <v>117830.1957796374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87" t="s">
        <v>59</v>
      </c>
      <c r="B99" s="92" t="s">
        <v>67</v>
      </c>
      <c r="C99" s="1" t="s">
        <v>115</v>
      </c>
      <c r="D99" s="93">
        <f>+D95</f>
        <v>9560</v>
      </c>
      <c r="E99" s="93">
        <f>+E95</f>
        <v>10984</v>
      </c>
      <c r="F99" s="2">
        <f t="shared" si="18"/>
        <v>12685.899174364378</v>
      </c>
      <c r="G99" s="2">
        <f t="shared" si="18"/>
        <v>13969.907895469272</v>
      </c>
      <c r="H99" s="2">
        <f t="shared" si="18"/>
        <v>15373.956904041032</v>
      </c>
      <c r="I99" s="2">
        <f t="shared" si="18"/>
        <v>16303.233280158474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87" t="s">
        <v>59</v>
      </c>
      <c r="B100" s="92" t="s">
        <v>67</v>
      </c>
      <c r="C100" s="1" t="s">
        <v>116</v>
      </c>
      <c r="D100" s="93">
        <f>+D96+D97</f>
        <v>9999</v>
      </c>
      <c r="E100" s="93">
        <f aca="true" t="shared" si="19" ref="E100:I100">+E96+E97</f>
        <v>9917</v>
      </c>
      <c r="F100" s="2">
        <f t="shared" si="19"/>
        <v>11453.57448217148</v>
      </c>
      <c r="G100" s="2">
        <f t="shared" si="19"/>
        <v>12612.852931479312</v>
      </c>
      <c r="H100" s="2">
        <f t="shared" si="19"/>
        <v>13880.51079910551</v>
      </c>
      <c r="I100" s="2">
        <f t="shared" si="19"/>
        <v>14719.51606330404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6" ht="12.75">
      <c r="A101" s="87" t="s">
        <v>68</v>
      </c>
      <c r="B101" s="92" t="s">
        <v>69</v>
      </c>
      <c r="C101" s="1" t="s">
        <v>117</v>
      </c>
      <c r="D101" s="93">
        <f>+'Federal Capital Costs'!C12</f>
        <v>44150</v>
      </c>
      <c r="E101" s="93">
        <f>+'Federal Capital Costs'!D12</f>
        <v>156250</v>
      </c>
      <c r="F101" s="2">
        <f>+'Federal Capital Costs'!E51</f>
        <v>138100</v>
      </c>
      <c r="G101" s="2">
        <f>+'Federal Capital Costs'!F51</f>
        <v>158000</v>
      </c>
      <c r="H101" s="2">
        <f>+'Federal Capital Costs'!G51</f>
        <v>85800</v>
      </c>
      <c r="I101" s="2">
        <f>+'Federal Capital Costs'!H51</f>
        <v>150150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87" t="s">
        <v>68</v>
      </c>
      <c r="B102" s="92" t="s">
        <v>69</v>
      </c>
      <c r="C102" s="1" t="s">
        <v>70</v>
      </c>
      <c r="D102" s="93">
        <f>+'Federal Capital Costs'!C14</f>
        <v>27234</v>
      </c>
      <c r="E102" s="93">
        <f>+'Federal Capital Costs'!D14</f>
        <v>56573</v>
      </c>
      <c r="F102" s="2">
        <f>+'Federal Capital Costs'!E53</f>
        <v>24317</v>
      </c>
      <c r="G102" s="2">
        <f>+'Federal Capital Costs'!F53</f>
        <v>14747</v>
      </c>
      <c r="H102" s="2">
        <f>+'Federal Capital Costs'!G53</f>
        <v>16060</v>
      </c>
      <c r="I102" s="2">
        <f>+'Federal Capital Costs'!H53</f>
        <v>12846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87" t="s">
        <v>68</v>
      </c>
      <c r="B103" s="92" t="s">
        <v>69</v>
      </c>
      <c r="C103" s="1" t="s">
        <v>118</v>
      </c>
      <c r="D103" s="93">
        <f aca="true" t="shared" si="20" ref="D103:I103">-SUM(D78:D80)</f>
        <v>-144091.87550166668</v>
      </c>
      <c r="E103" s="93">
        <f t="shared" si="20"/>
        <v>-144065.45318666665</v>
      </c>
      <c r="F103" s="2">
        <f t="shared" si="20"/>
        <v>-148525.60485076666</v>
      </c>
      <c r="G103" s="2">
        <f t="shared" si="20"/>
        <v>-152730.92416898842</v>
      </c>
      <c r="H103" s="2">
        <f t="shared" si="20"/>
        <v>-157306.48407527903</v>
      </c>
      <c r="I103" s="2">
        <f t="shared" si="20"/>
        <v>-162047.35877992975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87" t="s">
        <v>68</v>
      </c>
      <c r="B104" s="92" t="s">
        <v>69</v>
      </c>
      <c r="C104" s="1" t="s">
        <v>119</v>
      </c>
      <c r="D104" s="93">
        <f aca="true" t="shared" si="21" ref="D104:I104">-SUM(D81:D84)</f>
        <v>-86795.86666666667</v>
      </c>
      <c r="E104" s="93">
        <f t="shared" si="21"/>
        <v>-87458.29946666668</v>
      </c>
      <c r="F104" s="2">
        <f t="shared" si="21"/>
        <v>-88111.29946666668</v>
      </c>
      <c r="G104" s="2">
        <f t="shared" si="21"/>
        <v>-89537.03280000002</v>
      </c>
      <c r="H104" s="2">
        <f t="shared" si="21"/>
        <v>-89375.16613333335</v>
      </c>
      <c r="I104" s="2">
        <f t="shared" si="21"/>
        <v>-84898.89946666667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87" t="s">
        <v>68</v>
      </c>
      <c r="B105" s="92" t="s">
        <v>69</v>
      </c>
      <c r="C105" s="1" t="s">
        <v>234</v>
      </c>
      <c r="D105" s="93">
        <f aca="true" t="shared" si="22" ref="D105:I105">-D88</f>
        <v>-11627.714081461887</v>
      </c>
      <c r="E105" s="93">
        <f t="shared" si="22"/>
        <v>-10747.46794684212</v>
      </c>
      <c r="F105" s="2">
        <f t="shared" si="22"/>
        <v>-9826.374364535337</v>
      </c>
      <c r="G105" s="2">
        <f t="shared" si="22"/>
        <v>-8862.537513691579</v>
      </c>
      <c r="H105" s="2">
        <f t="shared" si="22"/>
        <v>-7853.97357060828</v>
      </c>
      <c r="I105" s="2">
        <f t="shared" si="22"/>
        <v>-6798.60662309995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87" t="s">
        <v>68</v>
      </c>
      <c r="B106" s="92" t="s">
        <v>69</v>
      </c>
      <c r="C106" s="1" t="s">
        <v>120</v>
      </c>
      <c r="D106" s="93">
        <v>45937</v>
      </c>
      <c r="E106" s="93">
        <v>45937</v>
      </c>
      <c r="F106" s="2">
        <v>45937</v>
      </c>
      <c r="G106" s="2">
        <v>45937</v>
      </c>
      <c r="H106" s="2">
        <v>45937</v>
      </c>
      <c r="I106" s="2">
        <f>+H106</f>
        <v>45937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87" t="s">
        <v>68</v>
      </c>
      <c r="B107" s="92" t="s">
        <v>69</v>
      </c>
      <c r="C107" s="1" t="s">
        <v>121</v>
      </c>
      <c r="D107" s="93">
        <v>0</v>
      </c>
      <c r="E107" s="93">
        <v>0</v>
      </c>
      <c r="F107" s="2">
        <v>0</v>
      </c>
      <c r="G107" s="2">
        <v>0</v>
      </c>
      <c r="H107" s="2">
        <v>0</v>
      </c>
      <c r="I107" s="2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87" t="s">
        <v>68</v>
      </c>
      <c r="B108" s="92" t="s">
        <v>69</v>
      </c>
      <c r="C108" s="1" t="s">
        <v>122</v>
      </c>
      <c r="D108" s="93">
        <f>+'Federal Capital Costs'!C13</f>
        <v>91070</v>
      </c>
      <c r="E108" s="93">
        <f>+'Federal Capital Costs'!D13</f>
        <v>17371</v>
      </c>
      <c r="F108" s="2">
        <f>+'Federal Capital Costs'!E52</f>
        <v>21480</v>
      </c>
      <c r="G108" s="2">
        <f>+'Federal Capital Costs'!F52</f>
        <v>21901</v>
      </c>
      <c r="H108" s="2">
        <f>+'Federal Capital Costs'!G52</f>
        <v>76140</v>
      </c>
      <c r="I108" s="2">
        <f>+'Federal Capital Costs'!H52</f>
        <v>24766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87" t="s">
        <v>68</v>
      </c>
      <c r="B109" s="92" t="s">
        <v>69</v>
      </c>
      <c r="C109" s="263" t="s">
        <v>453</v>
      </c>
      <c r="D109" s="93">
        <v>3524</v>
      </c>
      <c r="E109" s="93">
        <v>3524</v>
      </c>
      <c r="F109" s="2">
        <v>0</v>
      </c>
      <c r="G109" s="2">
        <v>0</v>
      </c>
      <c r="H109" s="2">
        <v>0</v>
      </c>
      <c r="I109" s="2"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87" t="s">
        <v>68</v>
      </c>
      <c r="B110" s="92" t="s">
        <v>69</v>
      </c>
      <c r="C110" s="1" t="s">
        <v>123</v>
      </c>
      <c r="D110" s="93">
        <v>0</v>
      </c>
      <c r="E110" s="93">
        <v>0</v>
      </c>
      <c r="F110" s="2">
        <v>0</v>
      </c>
      <c r="G110" s="2">
        <v>0</v>
      </c>
      <c r="H110" s="2">
        <v>0</v>
      </c>
      <c r="I110" s="2"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87" t="s">
        <v>68</v>
      </c>
      <c r="B111" s="92" t="s">
        <v>69</v>
      </c>
      <c r="C111" s="1" t="s">
        <v>233</v>
      </c>
      <c r="D111" s="93">
        <f>+'Federal Capital Costs'!D15</f>
        <v>30600</v>
      </c>
      <c r="E111" s="93">
        <f>+'Federal Capital Costs'!E15</f>
        <v>30600</v>
      </c>
      <c r="F111" s="2">
        <f>+'Federal Capital Costs'!F15</f>
        <v>30600</v>
      </c>
      <c r="G111" s="2">
        <f>+'Federal Capital Costs'!G15</f>
        <v>30600</v>
      </c>
      <c r="H111" s="2">
        <f>+'Federal Capital Costs'!H15</f>
        <v>30600</v>
      </c>
      <c r="I111" s="2">
        <f>+'Federal Capital Costs'!I15</f>
        <v>30600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349" customFormat="1" ht="12.75">
      <c r="A112" s="87" t="s">
        <v>68</v>
      </c>
      <c r="B112" s="357" t="s">
        <v>69</v>
      </c>
      <c r="C112" s="358" t="s">
        <v>662</v>
      </c>
      <c r="D112" s="93"/>
      <c r="E112" s="9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349" customFormat="1" ht="12.75">
      <c r="A113" s="87" t="s">
        <v>68</v>
      </c>
      <c r="B113" s="357" t="s">
        <v>69</v>
      </c>
      <c r="C113" s="358" t="s">
        <v>663</v>
      </c>
      <c r="D113" s="93">
        <f>+'Non-Federal DS'!F18</f>
        <v>220252</v>
      </c>
      <c r="E113" s="9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349" customFormat="1" ht="12.75">
      <c r="A114" s="87" t="s">
        <v>68</v>
      </c>
      <c r="B114" s="357" t="s">
        <v>69</v>
      </c>
      <c r="C114" s="358" t="s">
        <v>664</v>
      </c>
      <c r="D114" s="93"/>
      <c r="E114" s="9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87" t="s">
        <v>68</v>
      </c>
      <c r="B115" s="92" t="s">
        <v>69</v>
      </c>
      <c r="C115" s="1" t="s">
        <v>124</v>
      </c>
      <c r="D115" s="93">
        <f>+'Federal Capital Costs'!D37</f>
        <v>0</v>
      </c>
      <c r="E115" s="93">
        <f>+'Federal Capital Costs'!E37</f>
        <v>0</v>
      </c>
      <c r="F115" s="2">
        <f>+'Federal Capital Costs'!F37</f>
        <v>0</v>
      </c>
      <c r="G115" s="2">
        <f>+'Federal Capital Costs'!G37</f>
        <v>0</v>
      </c>
      <c r="H115" s="2">
        <f>+'Federal Capital Costs'!H37</f>
        <v>0</v>
      </c>
      <c r="I115" s="2">
        <f>+'Federal Capital Costs'!I37</f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87" t="s">
        <v>68</v>
      </c>
      <c r="B116" s="92" t="s">
        <v>69</v>
      </c>
      <c r="C116" s="1" t="s">
        <v>125</v>
      </c>
      <c r="D116" s="93">
        <f aca="true" t="shared" si="23" ref="D116:I116">-SUM(D101:D115)</f>
        <v>-220251.54375020476</v>
      </c>
      <c r="E116" s="93">
        <f>-SUM(E101:E115)</f>
        <v>-67983.77939982455</v>
      </c>
      <c r="F116" s="2">
        <f t="shared" si="23"/>
        <v>-13970.721318031327</v>
      </c>
      <c r="G116" s="2">
        <f t="shared" si="23"/>
        <v>-20054.50551731998</v>
      </c>
      <c r="H116" s="2">
        <f t="shared" si="23"/>
        <v>-1.376220779347932</v>
      </c>
      <c r="I116" s="2">
        <f t="shared" si="23"/>
        <v>-10554.13513030362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87" t="s">
        <v>68</v>
      </c>
      <c r="B117" s="92" t="s">
        <v>71</v>
      </c>
      <c r="C117" s="1" t="s">
        <v>130</v>
      </c>
      <c r="D117" s="93">
        <f>+COSA!D12*COSA!$M$22</f>
        <v>175220.59135699732</v>
      </c>
      <c r="E117" s="93">
        <f>+COSA!D58*COSA!M68</f>
        <v>53815.04771589023</v>
      </c>
      <c r="F117" s="2">
        <f>IF(F$116&lt;0,-F$116*$E94/SUM($E$94:$E$97),0)</f>
        <v>11059.054469664785</v>
      </c>
      <c r="G117" s="2">
        <f aca="true" t="shared" si="24" ref="F117:I120">IF(G$116&lt;0,-G$116*$E94/SUM($E$94:$E$97),0)</f>
        <v>15874.90465449261</v>
      </c>
      <c r="H117" s="2">
        <f t="shared" si="24"/>
        <v>1.0893997678881462</v>
      </c>
      <c r="I117" s="2">
        <f t="shared" si="24"/>
        <v>8354.526056975112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87" t="s">
        <v>68</v>
      </c>
      <c r="B118" s="92" t="s">
        <v>71</v>
      </c>
      <c r="C118" s="1" t="s">
        <v>131</v>
      </c>
      <c r="D118" s="93">
        <f>+COSA!D13*COSA!$M$22</f>
        <v>22009.4280345302</v>
      </c>
      <c r="E118" s="93">
        <f>+COSA!D59*COSA!M68</f>
        <v>7446.368939198078</v>
      </c>
      <c r="F118" s="2">
        <f t="shared" si="24"/>
        <v>1530.153995620214</v>
      </c>
      <c r="G118" s="2">
        <f t="shared" si="24"/>
        <v>2196.48513838074</v>
      </c>
      <c r="H118" s="2">
        <f t="shared" si="24"/>
        <v>0.15073163915000662</v>
      </c>
      <c r="I118" s="2">
        <f t="shared" si="24"/>
        <v>1155.9497661088153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87" t="s">
        <v>68</v>
      </c>
      <c r="B119" s="92" t="s">
        <v>71</v>
      </c>
      <c r="C119" s="1" t="s">
        <v>132</v>
      </c>
      <c r="D119" s="93">
        <f>+COSA!D30*COSA!M22</f>
        <v>19659.78774577225</v>
      </c>
      <c r="E119" s="93">
        <f>+COSA!D76*COSA!M68</f>
        <v>5853.091700158289</v>
      </c>
      <c r="F119" s="2">
        <f t="shared" si="24"/>
        <v>1202.920589237122</v>
      </c>
      <c r="G119" s="2">
        <f t="shared" si="24"/>
        <v>1726.752473590467</v>
      </c>
      <c r="H119" s="2">
        <f t="shared" si="24"/>
        <v>0.11849669556266454</v>
      </c>
      <c r="I119" s="2">
        <f t="shared" si="24"/>
        <v>908.7423734841242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87" t="s">
        <v>68</v>
      </c>
      <c r="B120" s="92" t="s">
        <v>71</v>
      </c>
      <c r="C120" s="1" t="s">
        <v>133</v>
      </c>
      <c r="D120" s="93">
        <f>+COSA!D33*COSA!M22</f>
        <v>3361.7366129049587</v>
      </c>
      <c r="E120" s="93">
        <f>+COSA!D79*COSA!M68</f>
        <v>869.2710445779638</v>
      </c>
      <c r="F120" s="2">
        <f t="shared" si="24"/>
        <v>178.5922635092056</v>
      </c>
      <c r="G120" s="2">
        <f t="shared" si="24"/>
        <v>256.3632508561643</v>
      </c>
      <c r="H120" s="2">
        <f t="shared" si="24"/>
        <v>0.017592676747114757</v>
      </c>
      <c r="I120" s="2">
        <f t="shared" si="24"/>
        <v>134.91693373557004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87" t="s">
        <v>68</v>
      </c>
      <c r="B121" s="92" t="s">
        <v>72</v>
      </c>
      <c r="C121" s="1" t="s">
        <v>126</v>
      </c>
      <c r="D121" s="93">
        <f>+D117</f>
        <v>175220.59135699732</v>
      </c>
      <c r="E121" s="93">
        <f>+E117</f>
        <v>53815.04771589023</v>
      </c>
      <c r="F121" s="2">
        <f aca="true" t="shared" si="25" ref="F121:I121">+F117</f>
        <v>11059.054469664785</v>
      </c>
      <c r="G121" s="2">
        <f t="shared" si="25"/>
        <v>15874.90465449261</v>
      </c>
      <c r="H121" s="2">
        <f t="shared" si="25"/>
        <v>1.0893997678881462</v>
      </c>
      <c r="I121" s="2">
        <f t="shared" si="25"/>
        <v>8354.526056975112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87" t="s">
        <v>68</v>
      </c>
      <c r="B122" s="92" t="s">
        <v>72</v>
      </c>
      <c r="C122" s="1" t="s">
        <v>127</v>
      </c>
      <c r="D122" s="93">
        <f>+D118</f>
        <v>22009.4280345302</v>
      </c>
      <c r="E122" s="93">
        <f>+E118</f>
        <v>7446.368939198078</v>
      </c>
      <c r="F122" s="2">
        <f aca="true" t="shared" si="26" ref="F122:I122">+F118</f>
        <v>1530.153995620214</v>
      </c>
      <c r="G122" s="2">
        <f t="shared" si="26"/>
        <v>2196.48513838074</v>
      </c>
      <c r="H122" s="2">
        <f t="shared" si="26"/>
        <v>0.15073163915000662</v>
      </c>
      <c r="I122" s="2">
        <f t="shared" si="26"/>
        <v>1155.9497661088153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87" t="s">
        <v>68</v>
      </c>
      <c r="B123" s="92" t="s">
        <v>72</v>
      </c>
      <c r="C123" s="1" t="s">
        <v>128</v>
      </c>
      <c r="D123" s="93">
        <f>+D119+D120</f>
        <v>23021.52435867721</v>
      </c>
      <c r="E123" s="93">
        <f>+E119+E120</f>
        <v>6722.362744736253</v>
      </c>
      <c r="F123" s="2">
        <f aca="true" t="shared" si="27" ref="F123:I123">+F119+F120</f>
        <v>1381.5128527463276</v>
      </c>
      <c r="G123" s="2">
        <f t="shared" si="27"/>
        <v>1983.1157244466312</v>
      </c>
      <c r="H123" s="2">
        <f t="shared" si="27"/>
        <v>0.1360893723097793</v>
      </c>
      <c r="I123" s="2">
        <f t="shared" si="27"/>
        <v>1043.6593072196943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87" t="s">
        <v>68</v>
      </c>
      <c r="B124" s="92" t="s">
        <v>73</v>
      </c>
      <c r="C124" s="1" t="s">
        <v>134</v>
      </c>
      <c r="D124" s="93">
        <f>+COSA!D12-'cost table'!D117</f>
        <v>15910.952393207408</v>
      </c>
      <c r="E124" s="93">
        <f>+COSA!D58-'cost table'!E117</f>
        <v>15831.731683934333</v>
      </c>
      <c r="F124" s="2">
        <f>'Modeling results'!$B$31*E124/SUM($E$124:$E$127)</f>
        <v>15831.731683934331</v>
      </c>
      <c r="G124" s="2">
        <f>'Modeling results'!$B$31*F124/SUM($E$124:$E$127)</f>
        <v>15831.731683934328</v>
      </c>
      <c r="H124" s="2">
        <f>'Modeling results'!$B$31*G124/SUM($E$124:$E$127)</f>
        <v>15831.731683934326</v>
      </c>
      <c r="I124" s="2">
        <f>'Modeling results'!$B$31*H124/SUM($E$124:$E$127)</f>
        <v>15831.731683934322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87" t="s">
        <v>68</v>
      </c>
      <c r="B125" s="92" t="s">
        <v>73</v>
      </c>
      <c r="C125" s="1" t="s">
        <v>135</v>
      </c>
      <c r="D125" s="93">
        <f>+COSA!D13-'cost table'!D118</f>
        <v>1998.5719654698005</v>
      </c>
      <c r="E125" s="93">
        <f>+COSA!D59-'cost table'!E118</f>
        <v>2190.631060801922</v>
      </c>
      <c r="F125" s="2">
        <f>'Modeling results'!$B$31*E125/SUM($E$124:$E$127)</f>
        <v>2190.6310608019216</v>
      </c>
      <c r="G125" s="2">
        <f>'Modeling results'!$B$31*F125/SUM($E$124:$E$127)</f>
        <v>2190.631060801921</v>
      </c>
      <c r="H125" s="2">
        <f>'Modeling results'!$B$31*G125/SUM($E$124:$E$127)</f>
        <v>2190.6310608019207</v>
      </c>
      <c r="I125" s="2">
        <f>'Modeling results'!$B$31*H125/SUM($E$124:$E$127)</f>
        <v>2190.6310608019203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7" ht="12.75">
      <c r="A126" s="87" t="s">
        <v>68</v>
      </c>
      <c r="B126" s="92" t="s">
        <v>73</v>
      </c>
      <c r="C126" s="1" t="s">
        <v>136</v>
      </c>
      <c r="D126" s="93">
        <f>+COSA!D30-'cost table'!D119</f>
        <v>1785.2122542277502</v>
      </c>
      <c r="E126" s="93">
        <f>+COSA!D76-'cost table'!E119</f>
        <v>1721.9082998417107</v>
      </c>
      <c r="F126" s="2">
        <f>'Modeling results'!$B$31*E126/SUM($E$124:$E$127)</f>
        <v>1721.9082998417102</v>
      </c>
      <c r="G126" s="2">
        <f>'Modeling results'!$B$31*F126/SUM($E$124:$E$127)</f>
        <v>1721.9082998417098</v>
      </c>
      <c r="H126" s="2">
        <f>'Modeling results'!$B$31*G126/SUM($E$124:$E$127)</f>
        <v>1721.9082998417095</v>
      </c>
      <c r="I126" s="2">
        <f>'Modeling results'!$B$31*H126/SUM($E$124:$E$127)</f>
        <v>1721.908299841709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6"/>
    </row>
    <row r="127" spans="1:26" ht="12.75">
      <c r="A127" s="87" t="s">
        <v>68</v>
      </c>
      <c r="B127" s="92" t="s">
        <v>73</v>
      </c>
      <c r="C127" s="1" t="s">
        <v>137</v>
      </c>
      <c r="D127" s="93">
        <f>+COSA!D35-'cost table'!D120</f>
        <v>305.26338709504125</v>
      </c>
      <c r="E127" s="93">
        <f>+COSA!D81-'cost table'!E120</f>
        <v>255.72895542203617</v>
      </c>
      <c r="F127" s="2">
        <f>'Modeling results'!$B$31*E127/SUM($E$124:$E$127)</f>
        <v>255.7289554220361</v>
      </c>
      <c r="G127" s="2">
        <f>'Modeling results'!$B$31*F127/SUM($E$124:$E$127)</f>
        <v>255.72895542203608</v>
      </c>
      <c r="H127" s="2">
        <f>'Modeling results'!$B$31*G127/SUM($E$124:$E$127)</f>
        <v>255.72895542203602</v>
      </c>
      <c r="I127" s="2">
        <f>'Modeling results'!$B$31*H127/SUM($E$124:$E$127)</f>
        <v>255.72895542203597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87" t="s">
        <v>68</v>
      </c>
      <c r="B128" s="92" t="s">
        <v>74</v>
      </c>
      <c r="C128" s="1" t="s">
        <v>138</v>
      </c>
      <c r="D128" s="93">
        <f aca="true" t="shared" si="28" ref="D128:I128">+D124</f>
        <v>15910.952393207408</v>
      </c>
      <c r="E128" s="93">
        <f t="shared" si="28"/>
        <v>15831.731683934333</v>
      </c>
      <c r="F128" s="2">
        <f t="shared" si="28"/>
        <v>15831.731683934331</v>
      </c>
      <c r="G128" s="2">
        <f t="shared" si="28"/>
        <v>15831.731683934328</v>
      </c>
      <c r="H128" s="2">
        <f t="shared" si="28"/>
        <v>15831.731683934326</v>
      </c>
      <c r="I128" s="2">
        <f t="shared" si="28"/>
        <v>15831.731683934322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87" t="s">
        <v>68</v>
      </c>
      <c r="B129" s="92" t="s">
        <v>74</v>
      </c>
      <c r="C129" s="1" t="s">
        <v>139</v>
      </c>
      <c r="D129" s="93">
        <f aca="true" t="shared" si="29" ref="D129:I129">+D125</f>
        <v>1998.5719654698005</v>
      </c>
      <c r="E129" s="93">
        <f t="shared" si="29"/>
        <v>2190.631060801922</v>
      </c>
      <c r="F129" s="2">
        <f t="shared" si="29"/>
        <v>2190.6310608019216</v>
      </c>
      <c r="G129" s="2">
        <f t="shared" si="29"/>
        <v>2190.631060801921</v>
      </c>
      <c r="H129" s="2">
        <f t="shared" si="29"/>
        <v>2190.6310608019207</v>
      </c>
      <c r="I129" s="2">
        <f t="shared" si="29"/>
        <v>2190.6310608019203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87" t="s">
        <v>68</v>
      </c>
      <c r="B130" s="92" t="s">
        <v>74</v>
      </c>
      <c r="C130" s="1" t="s">
        <v>140</v>
      </c>
      <c r="D130" s="93">
        <f aca="true" t="shared" si="30" ref="D130:I130">+D126+D127</f>
        <v>2090.4756413227915</v>
      </c>
      <c r="E130" s="93">
        <f t="shared" si="30"/>
        <v>1977.6372552637467</v>
      </c>
      <c r="F130" s="2">
        <f t="shared" si="30"/>
        <v>1977.6372552637463</v>
      </c>
      <c r="G130" s="2">
        <f t="shared" si="30"/>
        <v>1977.6372552637458</v>
      </c>
      <c r="H130" s="2">
        <f t="shared" si="30"/>
        <v>1977.6372552637456</v>
      </c>
      <c r="I130" s="2">
        <f t="shared" si="30"/>
        <v>1977.6372552637451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7" s="98" customFormat="1" ht="11.25">
      <c r="A131" s="49"/>
      <c r="B131" s="1"/>
      <c r="C131" s="1"/>
      <c r="D131" s="93">
        <f>SUM(D5:D130)</f>
        <v>3377495.023803882</v>
      </c>
      <c r="E131" s="93">
        <f aca="true" t="shared" si="31" ref="E131:I131">SUM(E5:E130)</f>
        <v>3131400.74473314</v>
      </c>
      <c r="F131" s="93" t="e">
        <f t="shared" si="31"/>
        <v>#REF!</v>
      </c>
      <c r="G131" s="93" t="e">
        <f t="shared" si="31"/>
        <v>#REF!</v>
      </c>
      <c r="H131" s="93" t="e">
        <f t="shared" si="31"/>
        <v>#REF!</v>
      </c>
      <c r="I131" s="93" t="e">
        <f t="shared" si="31"/>
        <v>#REF!</v>
      </c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</row>
    <row r="132" spans="1:10" ht="12.75">
      <c r="A132" s="6"/>
      <c r="B132" s="1"/>
      <c r="C132" s="1"/>
      <c r="D132" s="93"/>
      <c r="E132" s="93"/>
      <c r="F132" s="2"/>
      <c r="G132" s="2"/>
      <c r="H132" s="2"/>
      <c r="I132" s="2"/>
      <c r="J132" s="5"/>
    </row>
    <row r="133" spans="1:10" ht="12.75">
      <c r="A133" s="6"/>
      <c r="B133" s="1"/>
      <c r="C133" s="1"/>
      <c r="D133" s="264"/>
      <c r="E133" s="264"/>
      <c r="F133" s="264"/>
      <c r="G133" s="264"/>
      <c r="H133" s="264"/>
      <c r="I133" s="264"/>
      <c r="J133" s="5"/>
    </row>
    <row r="134" spans="1:10" ht="12.75">
      <c r="A134" s="6"/>
      <c r="B134" s="1"/>
      <c r="C134" s="1"/>
      <c r="D134" s="93"/>
      <c r="E134" s="93"/>
      <c r="F134" s="2"/>
      <c r="G134" s="2"/>
      <c r="H134" s="2"/>
      <c r="I134" s="2"/>
      <c r="J134" s="5"/>
    </row>
    <row r="135" spans="1:10" ht="12.75">
      <c r="A135" s="6"/>
      <c r="B135" s="1"/>
      <c r="C135" s="1"/>
      <c r="D135" s="93"/>
      <c r="E135" s="93"/>
      <c r="F135" s="2"/>
      <c r="G135" s="2"/>
      <c r="H135" s="2"/>
      <c r="I135" s="2"/>
      <c r="J135" s="5"/>
    </row>
    <row r="136" spans="1:10" ht="12.75">
      <c r="A136" s="6"/>
      <c r="B136" s="1"/>
      <c r="C136" s="1"/>
      <c r="D136" s="93"/>
      <c r="E136" s="93"/>
      <c r="F136" s="2"/>
      <c r="G136" s="2"/>
      <c r="H136" s="2"/>
      <c r="I136" s="2"/>
      <c r="J136" s="5"/>
    </row>
    <row r="137" spans="1:10" ht="12.75">
      <c r="A137" s="6"/>
      <c r="B137" s="1"/>
      <c r="C137" s="1"/>
      <c r="D137" s="93"/>
      <c r="E137" s="93"/>
      <c r="F137" s="2"/>
      <c r="G137" s="2"/>
      <c r="H137" s="2"/>
      <c r="I137" s="2"/>
      <c r="J137" s="5"/>
    </row>
    <row r="138" spans="1:10" ht="12.75">
      <c r="A138" s="6"/>
      <c r="B138" s="1"/>
      <c r="C138" s="1"/>
      <c r="D138" s="93"/>
      <c r="E138" s="93"/>
      <c r="F138" s="2"/>
      <c r="G138" s="2"/>
      <c r="H138" s="2"/>
      <c r="I138" s="2"/>
      <c r="J138" s="5"/>
    </row>
    <row r="139" spans="1:10" ht="12.75">
      <c r="A139" s="6"/>
      <c r="B139" s="1"/>
      <c r="C139" s="1"/>
      <c r="D139" s="93"/>
      <c r="E139" s="93"/>
      <c r="F139" s="2"/>
      <c r="G139" s="2"/>
      <c r="H139" s="2"/>
      <c r="I139" s="2"/>
      <c r="J139" s="5"/>
    </row>
    <row r="140" spans="1:10" ht="12.75">
      <c r="A140" s="6"/>
      <c r="B140" s="99"/>
      <c r="C140" s="3"/>
      <c r="D140" s="183"/>
      <c r="E140" s="183"/>
      <c r="F140" s="4"/>
      <c r="G140" s="4"/>
      <c r="H140" s="4"/>
      <c r="I140" s="4"/>
      <c r="J140" s="5"/>
    </row>
    <row r="141" spans="1:3" ht="12.75">
      <c r="A141" s="6"/>
      <c r="B141" s="1"/>
      <c r="C141" s="1"/>
    </row>
    <row r="142" spans="1:9" ht="12.75">
      <c r="A142" s="6"/>
      <c r="B142" s="1"/>
      <c r="C142" s="1"/>
      <c r="D142" s="93"/>
      <c r="E142" s="93"/>
      <c r="F142" s="2"/>
      <c r="G142" s="2"/>
      <c r="H142" s="2"/>
      <c r="I142" s="2"/>
    </row>
    <row r="143" spans="1:9" ht="12.75">
      <c r="A143" s="6"/>
      <c r="B143" s="1"/>
      <c r="C143" s="1"/>
      <c r="D143" s="93"/>
      <c r="E143" s="93"/>
      <c r="F143" s="2"/>
      <c r="G143" s="2"/>
      <c r="H143" s="2"/>
      <c r="I143" s="2"/>
    </row>
    <row r="144" spans="1:9" ht="12.75">
      <c r="A144" s="6"/>
      <c r="B144" s="1"/>
      <c r="C144" s="1"/>
      <c r="D144" s="93"/>
      <c r="E144" s="93"/>
      <c r="F144" s="2"/>
      <c r="G144" s="2"/>
      <c r="H144" s="2"/>
      <c r="I144" s="2"/>
    </row>
    <row r="145" spans="1:9" ht="12.75">
      <c r="A145" s="6"/>
      <c r="B145" s="1"/>
      <c r="C145" s="1"/>
      <c r="D145" s="93"/>
      <c r="E145" s="93"/>
      <c r="F145" s="2"/>
      <c r="G145" s="2"/>
      <c r="H145" s="2"/>
      <c r="I145" s="2"/>
    </row>
    <row r="146" spans="1:9" ht="12.75">
      <c r="A146" s="6"/>
      <c r="B146" s="1"/>
      <c r="C146" s="1"/>
      <c r="D146" s="93"/>
      <c r="E146" s="93"/>
      <c r="F146" s="2"/>
      <c r="G146" s="2"/>
      <c r="H146" s="2"/>
      <c r="I146" s="2"/>
    </row>
    <row r="147" spans="1:9" ht="12.75">
      <c r="A147" s="6"/>
      <c r="B147" s="1"/>
      <c r="C147" s="1"/>
      <c r="D147" s="93"/>
      <c r="E147" s="93"/>
      <c r="F147" s="2"/>
      <c r="G147" s="2"/>
      <c r="H147" s="2"/>
      <c r="I147" s="2"/>
    </row>
    <row r="148" spans="1:9" ht="12.75">
      <c r="A148" s="6"/>
      <c r="B148" s="1"/>
      <c r="C148" s="1"/>
      <c r="D148" s="93"/>
      <c r="E148" s="93"/>
      <c r="F148" s="2"/>
      <c r="G148" s="2"/>
      <c r="H148" s="2"/>
      <c r="I148" s="2"/>
    </row>
    <row r="149" spans="1:9" ht="12.75">
      <c r="A149" s="6"/>
      <c r="B149" s="1"/>
      <c r="C149" s="1"/>
      <c r="D149" s="93"/>
      <c r="E149" s="93"/>
      <c r="F149" s="2"/>
      <c r="G149" s="2"/>
      <c r="H149" s="2"/>
      <c r="I149" s="2"/>
    </row>
    <row r="150" spans="1:9" ht="12.75">
      <c r="A150" s="6"/>
      <c r="B150" s="1"/>
      <c r="C150" s="1"/>
      <c r="D150" s="93"/>
      <c r="E150" s="93"/>
      <c r="F150" s="2"/>
      <c r="G150" s="2"/>
      <c r="H150" s="2"/>
      <c r="I150" s="2"/>
    </row>
    <row r="151" spans="1:9" ht="12.75">
      <c r="A151" s="6"/>
      <c r="B151" s="1"/>
      <c r="C151" s="1"/>
      <c r="D151" s="93"/>
      <c r="E151" s="93"/>
      <c r="F151" s="2"/>
      <c r="G151" s="2"/>
      <c r="H151" s="2"/>
      <c r="I151" s="2"/>
    </row>
    <row r="152" spans="1:9" ht="12.75">
      <c r="A152" s="6"/>
      <c r="B152" s="1"/>
      <c r="C152" s="1"/>
      <c r="D152" s="93"/>
      <c r="E152" s="93"/>
      <c r="F152" s="2"/>
      <c r="G152" s="2"/>
      <c r="H152" s="2"/>
      <c r="I152" s="2"/>
    </row>
    <row r="153" spans="1:9" ht="12.75">
      <c r="A153" s="6"/>
      <c r="B153" s="1"/>
      <c r="C153" s="1"/>
      <c r="D153" s="93"/>
      <c r="E153" s="93"/>
      <c r="F153" s="2"/>
      <c r="G153" s="2"/>
      <c r="H153" s="2"/>
      <c r="I153" s="2"/>
    </row>
    <row r="154" spans="1:9" ht="12.75">
      <c r="A154" s="6"/>
      <c r="B154" s="1"/>
      <c r="C154" s="1"/>
      <c r="D154" s="93"/>
      <c r="E154" s="93"/>
      <c r="F154" s="2"/>
      <c r="G154" s="2"/>
      <c r="H154" s="2"/>
      <c r="I154" s="2"/>
    </row>
    <row r="155" spans="1:9" ht="12.75">
      <c r="A155" s="6"/>
      <c r="B155" s="1"/>
      <c r="C155" s="1"/>
      <c r="D155" s="93"/>
      <c r="E155" s="93"/>
      <c r="F155" s="2"/>
      <c r="G155" s="2"/>
      <c r="H155" s="2"/>
      <c r="I155" s="2"/>
    </row>
    <row r="156" spans="1:9" ht="12.75">
      <c r="A156" s="6"/>
      <c r="B156" s="1"/>
      <c r="C156" s="1"/>
      <c r="D156" s="93"/>
      <c r="E156" s="93"/>
      <c r="F156" s="2"/>
      <c r="G156" s="2"/>
      <c r="H156" s="2"/>
      <c r="I156" s="2"/>
    </row>
    <row r="157" spans="1:9" ht="12.75">
      <c r="A157" s="6"/>
      <c r="B157" s="1"/>
      <c r="C157" s="1"/>
      <c r="D157" s="93"/>
      <c r="E157" s="93"/>
      <c r="F157" s="2"/>
      <c r="G157" s="2"/>
      <c r="H157" s="2"/>
      <c r="I157" s="2"/>
    </row>
    <row r="158" spans="1:9" ht="12.75">
      <c r="A158" s="6"/>
      <c r="B158" s="1"/>
      <c r="C158" s="1"/>
      <c r="D158" s="93"/>
      <c r="E158" s="93"/>
      <c r="F158" s="2"/>
      <c r="G158" s="2"/>
      <c r="H158" s="2"/>
      <c r="I158" s="2"/>
    </row>
    <row r="159" spans="1:9" ht="12.75">
      <c r="A159" s="6"/>
      <c r="B159" s="1"/>
      <c r="C159" s="1"/>
      <c r="D159" s="93"/>
      <c r="E159" s="93"/>
      <c r="F159" s="2"/>
      <c r="G159" s="2"/>
      <c r="H159" s="2"/>
      <c r="I159" s="2"/>
    </row>
    <row r="160" spans="1:9" ht="12.75">
      <c r="A160" s="6"/>
      <c r="B160" s="1"/>
      <c r="C160" s="1"/>
      <c r="D160" s="93"/>
      <c r="E160" s="93"/>
      <c r="F160" s="2"/>
      <c r="G160" s="2"/>
      <c r="H160" s="2"/>
      <c r="I160" s="2"/>
    </row>
    <row r="161" spans="1:9" ht="12.75">
      <c r="A161" s="6"/>
      <c r="B161" s="1"/>
      <c r="C161" s="1"/>
      <c r="D161" s="93"/>
      <c r="E161" s="93"/>
      <c r="F161" s="2"/>
      <c r="G161" s="2"/>
      <c r="H161" s="2"/>
      <c r="I161" s="2"/>
    </row>
    <row r="162" spans="1:9" ht="12.75">
      <c r="A162" s="6"/>
      <c r="B162" s="1"/>
      <c r="C162" s="1"/>
      <c r="D162" s="93"/>
      <c r="E162" s="93"/>
      <c r="F162" s="2"/>
      <c r="G162" s="2"/>
      <c r="H162" s="2"/>
      <c r="I162" s="2"/>
    </row>
    <row r="163" spans="1:9" ht="12.75">
      <c r="A163" s="6"/>
      <c r="B163" s="1"/>
      <c r="C163" s="1"/>
      <c r="D163" s="93"/>
      <c r="E163" s="93"/>
      <c r="F163" s="2"/>
      <c r="G163" s="2"/>
      <c r="H163" s="2"/>
      <c r="I163" s="2"/>
    </row>
    <row r="164" spans="1:9" ht="12.75">
      <c r="A164" s="6"/>
      <c r="B164" s="1"/>
      <c r="C164" s="1"/>
      <c r="D164" s="93"/>
      <c r="E164" s="93"/>
      <c r="F164" s="2"/>
      <c r="G164" s="2"/>
      <c r="H164" s="2"/>
      <c r="I164" s="2"/>
    </row>
    <row r="165" spans="1:9" ht="12.75">
      <c r="A165" s="6"/>
      <c r="B165" s="1"/>
      <c r="C165" s="1"/>
      <c r="D165" s="93"/>
      <c r="E165" s="93"/>
      <c r="F165" s="2"/>
      <c r="G165" s="2"/>
      <c r="H165" s="2"/>
      <c r="I165" s="2"/>
    </row>
    <row r="166" spans="1:9" ht="12.75">
      <c r="A166" s="6"/>
      <c r="B166" s="1"/>
      <c r="C166" s="1"/>
      <c r="D166" s="93"/>
      <c r="E166" s="93"/>
      <c r="F166" s="2"/>
      <c r="G166" s="2"/>
      <c r="H166" s="2"/>
      <c r="I166" s="2"/>
    </row>
    <row r="167" spans="1:9" ht="12.75">
      <c r="A167" s="6"/>
      <c r="B167" s="1"/>
      <c r="C167" s="1"/>
      <c r="D167" s="93"/>
      <c r="E167" s="93"/>
      <c r="F167" s="2"/>
      <c r="G167" s="2"/>
      <c r="H167" s="2"/>
      <c r="I167" s="2"/>
    </row>
    <row r="168" spans="1:9" ht="12.75">
      <c r="A168" s="6"/>
      <c r="B168" s="1"/>
      <c r="C168" s="1"/>
      <c r="D168" s="93"/>
      <c r="E168" s="93"/>
      <c r="F168" s="2"/>
      <c r="G168" s="2"/>
      <c r="H168" s="2"/>
      <c r="I168" s="2"/>
    </row>
    <row r="169" spans="1:9" ht="12.75">
      <c r="A169" s="6"/>
      <c r="B169" s="1"/>
      <c r="C169" s="1"/>
      <c r="D169" s="93"/>
      <c r="E169" s="93"/>
      <c r="F169" s="2"/>
      <c r="G169" s="2"/>
      <c r="H169" s="2"/>
      <c r="I169" s="2"/>
    </row>
    <row r="170" spans="1:9" ht="12.75">
      <c r="A170" s="6"/>
      <c r="B170" s="1"/>
      <c r="C170" s="1"/>
      <c r="D170" s="93"/>
      <c r="E170" s="93"/>
      <c r="F170" s="2"/>
      <c r="G170" s="2"/>
      <c r="H170" s="2"/>
      <c r="I170" s="2"/>
    </row>
    <row r="171" spans="1:9" ht="12.75">
      <c r="A171" s="6"/>
      <c r="B171" s="1"/>
      <c r="C171" s="1"/>
      <c r="D171" s="93"/>
      <c r="E171" s="93"/>
      <c r="F171" s="2"/>
      <c r="G171" s="2"/>
      <c r="H171" s="2"/>
      <c r="I171" s="2"/>
    </row>
    <row r="172" spans="1:9" ht="12.75">
      <c r="A172" s="6"/>
      <c r="B172" s="1"/>
      <c r="C172" s="1"/>
      <c r="D172" s="93"/>
      <c r="E172" s="93"/>
      <c r="F172" s="2"/>
      <c r="G172" s="2"/>
      <c r="H172" s="2"/>
      <c r="I172" s="2"/>
    </row>
    <row r="173" spans="1:9" ht="12.75">
      <c r="A173" s="6"/>
      <c r="B173" s="1"/>
      <c r="C173" s="1"/>
      <c r="D173" s="93"/>
      <c r="E173" s="93"/>
      <c r="F173" s="2"/>
      <c r="G173" s="2"/>
      <c r="H173" s="2"/>
      <c r="I173" s="2"/>
    </row>
    <row r="174" spans="1:9" ht="12.75">
      <c r="A174" s="6"/>
      <c r="B174" s="1"/>
      <c r="C174" s="1"/>
      <c r="D174" s="93"/>
      <c r="E174" s="93"/>
      <c r="F174" s="2"/>
      <c r="G174" s="2"/>
      <c r="H174" s="2"/>
      <c r="I174" s="2"/>
    </row>
    <row r="175" spans="1:9" ht="12.75">
      <c r="A175" s="6"/>
      <c r="B175" s="1"/>
      <c r="C175" s="1"/>
      <c r="D175" s="93"/>
      <c r="E175" s="93"/>
      <c r="F175" s="2"/>
      <c r="G175" s="2"/>
      <c r="H175" s="2"/>
      <c r="I175" s="2"/>
    </row>
    <row r="176" spans="1:9" ht="12.75">
      <c r="A176" s="6"/>
      <c r="B176" s="1"/>
      <c r="C176" s="1"/>
      <c r="D176" s="93"/>
      <c r="E176" s="93"/>
      <c r="F176" s="2"/>
      <c r="G176" s="2"/>
      <c r="H176" s="2"/>
      <c r="I176" s="2"/>
    </row>
    <row r="177" spans="1:9" ht="12.75">
      <c r="A177" s="6"/>
      <c r="B177" s="1"/>
      <c r="C177" s="1"/>
      <c r="D177" s="93"/>
      <c r="E177" s="93"/>
      <c r="F177" s="2"/>
      <c r="G177" s="2"/>
      <c r="H177" s="2"/>
      <c r="I177" s="2"/>
    </row>
    <row r="178" spans="1:9" ht="12.75">
      <c r="A178" s="6"/>
      <c r="B178" s="1"/>
      <c r="C178" s="1"/>
      <c r="D178" s="93"/>
      <c r="E178" s="93"/>
      <c r="F178" s="2"/>
      <c r="G178" s="2"/>
      <c r="H178" s="2"/>
      <c r="I178" s="2"/>
    </row>
    <row r="179" spans="1:9" ht="12.75">
      <c r="A179" s="6"/>
      <c r="B179" s="1"/>
      <c r="C179" s="1"/>
      <c r="D179" s="93"/>
      <c r="E179" s="93"/>
      <c r="F179" s="2"/>
      <c r="G179" s="2"/>
      <c r="H179" s="2"/>
      <c r="I179" s="2"/>
    </row>
    <row r="180" spans="1:9" ht="12.75">
      <c r="A180" s="6"/>
      <c r="B180" s="1"/>
      <c r="C180" s="1"/>
      <c r="D180" s="93"/>
      <c r="E180" s="93"/>
      <c r="F180" s="2"/>
      <c r="G180" s="2"/>
      <c r="H180" s="2"/>
      <c r="I180" s="2"/>
    </row>
    <row r="181" spans="1:9" ht="12.75">
      <c r="A181" s="6"/>
      <c r="B181" s="1"/>
      <c r="C181" s="1"/>
      <c r="D181" s="93"/>
      <c r="E181" s="93"/>
      <c r="F181" s="2"/>
      <c r="G181" s="2"/>
      <c r="H181" s="2"/>
      <c r="I181" s="2"/>
    </row>
    <row r="182" spans="1:9" ht="12.75">
      <c r="A182" s="6"/>
      <c r="B182" s="1"/>
      <c r="C182" s="1"/>
      <c r="D182" s="93"/>
      <c r="E182" s="93"/>
      <c r="F182" s="2"/>
      <c r="G182" s="2"/>
      <c r="H182" s="2"/>
      <c r="I182" s="2"/>
    </row>
    <row r="183" spans="1:9" ht="12.75">
      <c r="A183" s="6"/>
      <c r="B183" s="1"/>
      <c r="C183" s="1"/>
      <c r="D183" s="93"/>
      <c r="E183" s="93"/>
      <c r="F183" s="2"/>
      <c r="G183" s="2"/>
      <c r="H183" s="2"/>
      <c r="I183" s="2"/>
    </row>
    <row r="184" spans="1:9" ht="12.75">
      <c r="A184" s="6"/>
      <c r="B184" s="1"/>
      <c r="C184" s="1"/>
      <c r="D184" s="93"/>
      <c r="E184" s="93"/>
      <c r="F184" s="2"/>
      <c r="G184" s="2"/>
      <c r="H184" s="2"/>
      <c r="I184" s="2"/>
    </row>
    <row r="185" spans="1:9" ht="12.75">
      <c r="A185" s="6"/>
      <c r="B185" s="1"/>
      <c r="C185" s="1"/>
      <c r="D185" s="93"/>
      <c r="E185" s="93"/>
      <c r="F185" s="2"/>
      <c r="G185" s="2"/>
      <c r="H185" s="2"/>
      <c r="I185" s="2"/>
    </row>
    <row r="186" spans="1:9" ht="12.75">
      <c r="A186" s="6"/>
      <c r="B186" s="1"/>
      <c r="C186" s="1"/>
      <c r="D186" s="93"/>
      <c r="E186" s="93"/>
      <c r="F186" s="2"/>
      <c r="G186" s="2"/>
      <c r="H186" s="2"/>
      <c r="I186" s="2"/>
    </row>
    <row r="187" spans="1:9" ht="12.75">
      <c r="A187" s="6"/>
      <c r="B187" s="1"/>
      <c r="C187" s="1"/>
      <c r="D187" s="93"/>
      <c r="E187" s="93"/>
      <c r="F187" s="2"/>
      <c r="G187" s="2"/>
      <c r="H187" s="2"/>
      <c r="I187" s="2"/>
    </row>
    <row r="188" spans="1:9" ht="12.75">
      <c r="A188" s="6"/>
      <c r="B188" s="1"/>
      <c r="C188" s="1"/>
      <c r="D188" s="93"/>
      <c r="E188" s="93"/>
      <c r="F188" s="2"/>
      <c r="G188" s="2"/>
      <c r="H188" s="2"/>
      <c r="I188" s="2"/>
    </row>
    <row r="189" spans="1:9" ht="12.75">
      <c r="A189" s="6"/>
      <c r="B189" s="1"/>
      <c r="C189" s="1"/>
      <c r="D189" s="93"/>
      <c r="E189" s="93"/>
      <c r="F189" s="2"/>
      <c r="G189" s="2"/>
      <c r="H189" s="2"/>
      <c r="I189" s="2"/>
    </row>
    <row r="190" spans="1:9" ht="12.75">
      <c r="A190" s="6"/>
      <c r="B190" s="1"/>
      <c r="C190" s="1"/>
      <c r="D190" s="93"/>
      <c r="E190" s="93"/>
      <c r="F190" s="2"/>
      <c r="G190" s="2"/>
      <c r="H190" s="2"/>
      <c r="I190" s="2"/>
    </row>
    <row r="191" spans="1:9" ht="12.75">
      <c r="A191" s="6"/>
      <c r="B191" s="1"/>
      <c r="C191" s="1"/>
      <c r="D191" s="93"/>
      <c r="E191" s="93"/>
      <c r="F191" s="2"/>
      <c r="G191" s="2"/>
      <c r="H191" s="2"/>
      <c r="I191" s="2"/>
    </row>
    <row r="192" spans="1:9" ht="12.75">
      <c r="A192" s="6"/>
      <c r="B192" s="1"/>
      <c r="C192" s="1"/>
      <c r="D192" s="93"/>
      <c r="E192" s="93"/>
      <c r="F192" s="2"/>
      <c r="G192" s="2"/>
      <c r="H192" s="2"/>
      <c r="I192" s="2"/>
    </row>
    <row r="193" spans="1:9" ht="12.75">
      <c r="A193" s="6"/>
      <c r="B193" s="1"/>
      <c r="C193" s="1"/>
      <c r="D193" s="93"/>
      <c r="E193" s="93"/>
      <c r="F193" s="2"/>
      <c r="G193" s="2"/>
      <c r="H193" s="2"/>
      <c r="I193" s="2"/>
    </row>
    <row r="194" spans="1:9" ht="12.75">
      <c r="A194" s="6"/>
      <c r="B194" s="1"/>
      <c r="C194" s="1"/>
      <c r="D194" s="93"/>
      <c r="E194" s="93"/>
      <c r="F194" s="2"/>
      <c r="G194" s="2"/>
      <c r="H194" s="2"/>
      <c r="I194" s="2"/>
    </row>
    <row r="195" spans="1:9" ht="12.75">
      <c r="A195" s="6"/>
      <c r="B195" s="1"/>
      <c r="C195" s="1"/>
      <c r="D195" s="93"/>
      <c r="E195" s="93"/>
      <c r="F195" s="2"/>
      <c r="G195" s="2"/>
      <c r="H195" s="2"/>
      <c r="I195" s="2"/>
    </row>
    <row r="196" spans="1:9" ht="12.75">
      <c r="A196" s="6"/>
      <c r="B196" s="1"/>
      <c r="C196" s="1"/>
      <c r="D196" s="93"/>
      <c r="E196" s="93"/>
      <c r="F196" s="2"/>
      <c r="G196" s="2"/>
      <c r="H196" s="2"/>
      <c r="I196" s="2"/>
    </row>
    <row r="197" spans="1:9" ht="12.75">
      <c r="A197" s="6"/>
      <c r="B197" s="1"/>
      <c r="C197" s="1"/>
      <c r="D197" s="93"/>
      <c r="E197" s="93"/>
      <c r="F197" s="2"/>
      <c r="G197" s="2"/>
      <c r="H197" s="2"/>
      <c r="I197" s="2"/>
    </row>
    <row r="198" spans="1:9" ht="12.75">
      <c r="A198" s="6"/>
      <c r="B198" s="1"/>
      <c r="C198" s="1"/>
      <c r="D198" s="93"/>
      <c r="E198" s="93"/>
      <c r="F198" s="2"/>
      <c r="G198" s="2"/>
      <c r="H198" s="2"/>
      <c r="I198" s="2"/>
    </row>
    <row r="199" spans="1:9" ht="12.75">
      <c r="A199" s="6"/>
      <c r="B199" s="1"/>
      <c r="C199" s="1"/>
      <c r="D199" s="93"/>
      <c r="E199" s="93"/>
      <c r="F199" s="2"/>
      <c r="G199" s="2"/>
      <c r="H199" s="2"/>
      <c r="I199" s="2"/>
    </row>
    <row r="200" spans="1:9" ht="12.75">
      <c r="A200" s="6"/>
      <c r="B200" s="1"/>
      <c r="C200" s="1"/>
      <c r="D200" s="93"/>
      <c r="E200" s="93"/>
      <c r="F200" s="2"/>
      <c r="G200" s="2"/>
      <c r="H200" s="2"/>
      <c r="I200" s="2"/>
    </row>
    <row r="201" spans="1:9" ht="12.75">
      <c r="A201" s="6"/>
      <c r="B201" s="1"/>
      <c r="C201" s="1"/>
      <c r="D201" s="93"/>
      <c r="E201" s="93"/>
      <c r="F201" s="2"/>
      <c r="G201" s="2"/>
      <c r="H201" s="2"/>
      <c r="I201" s="2"/>
    </row>
    <row r="202" spans="1:9" ht="12.75">
      <c r="A202" s="6"/>
      <c r="B202" s="1"/>
      <c r="C202" s="1"/>
      <c r="D202" s="93"/>
      <c r="E202" s="93"/>
      <c r="F202" s="2"/>
      <c r="G202" s="2"/>
      <c r="H202" s="2"/>
      <c r="I202" s="2"/>
    </row>
    <row r="203" spans="1:9" ht="12.75">
      <c r="A203" s="6"/>
      <c r="B203" s="1"/>
      <c r="C203" s="1"/>
      <c r="D203" s="93"/>
      <c r="E203" s="93"/>
      <c r="F203" s="2"/>
      <c r="G203" s="2"/>
      <c r="H203" s="2"/>
      <c r="I203" s="2"/>
    </row>
    <row r="204" spans="1:9" ht="12.75">
      <c r="A204" s="6"/>
      <c r="B204" s="1"/>
      <c r="C204" s="1"/>
      <c r="D204" s="93"/>
      <c r="E204" s="93"/>
      <c r="F204" s="2"/>
      <c r="G204" s="2"/>
      <c r="H204" s="2"/>
      <c r="I204" s="2"/>
    </row>
    <row r="205" spans="1:9" ht="12.75">
      <c r="A205" s="6"/>
      <c r="B205" s="1"/>
      <c r="C205" s="1"/>
      <c r="D205" s="93"/>
      <c r="E205" s="93"/>
      <c r="F205" s="2"/>
      <c r="G205" s="2"/>
      <c r="H205" s="2"/>
      <c r="I205" s="2"/>
    </row>
    <row r="206" spans="1:9" ht="12.75">
      <c r="A206" s="6"/>
      <c r="B206" s="1"/>
      <c r="C206" s="1"/>
      <c r="D206" s="93"/>
      <c r="E206" s="93"/>
      <c r="F206" s="2"/>
      <c r="G206" s="2"/>
      <c r="H206" s="2"/>
      <c r="I206" s="2"/>
    </row>
    <row r="207" spans="1:9" ht="12.75">
      <c r="A207" s="6"/>
      <c r="B207" s="1"/>
      <c r="C207" s="1"/>
      <c r="D207" s="93"/>
      <c r="E207" s="93"/>
      <c r="F207" s="2"/>
      <c r="G207" s="2"/>
      <c r="H207" s="2"/>
      <c r="I207" s="2"/>
    </row>
    <row r="208" spans="1:9" ht="12.75">
      <c r="A208" s="6"/>
      <c r="B208" s="1"/>
      <c r="C208" s="1"/>
      <c r="D208" s="93"/>
      <c r="E208" s="93"/>
      <c r="F208" s="2"/>
      <c r="G208" s="2"/>
      <c r="H208" s="2"/>
      <c r="I208" s="2"/>
    </row>
    <row r="209" spans="1:9" ht="12.75">
      <c r="A209" s="6"/>
      <c r="B209" s="1"/>
      <c r="C209" s="1"/>
      <c r="D209" s="93"/>
      <c r="E209" s="93"/>
      <c r="F209" s="2"/>
      <c r="G209" s="2"/>
      <c r="H209" s="2"/>
      <c r="I209" s="2"/>
    </row>
    <row r="210" spans="1:9" ht="12.75">
      <c r="A210" s="6"/>
      <c r="B210" s="1"/>
      <c r="C210" s="1"/>
      <c r="D210" s="93"/>
      <c r="E210" s="93"/>
      <c r="F210" s="2"/>
      <c r="G210" s="2"/>
      <c r="H210" s="2"/>
      <c r="I210" s="2"/>
    </row>
    <row r="211" spans="1:9" ht="12.75">
      <c r="A211" s="6"/>
      <c r="B211" s="1"/>
      <c r="C211" s="1"/>
      <c r="D211" s="93"/>
      <c r="E211" s="93"/>
      <c r="F211" s="2"/>
      <c r="G211" s="2"/>
      <c r="H211" s="2"/>
      <c r="I211" s="2"/>
    </row>
    <row r="212" spans="1:9" ht="12.75">
      <c r="A212" s="6"/>
      <c r="B212" s="1"/>
      <c r="C212" s="1"/>
      <c r="D212" s="93"/>
      <c r="E212" s="93"/>
      <c r="F212" s="2"/>
      <c r="G212" s="2"/>
      <c r="H212" s="2"/>
      <c r="I212" s="2"/>
    </row>
    <row r="213" spans="1:9" ht="12.75">
      <c r="A213" s="6"/>
      <c r="B213" s="1"/>
      <c r="C213" s="1"/>
      <c r="D213" s="93"/>
      <c r="E213" s="93"/>
      <c r="F213" s="2"/>
      <c r="G213" s="2"/>
      <c r="H213" s="2"/>
      <c r="I213" s="2"/>
    </row>
    <row r="214" spans="1:9" ht="12.75">
      <c r="A214" s="6"/>
      <c r="B214" s="1"/>
      <c r="C214" s="1"/>
      <c r="D214" s="93"/>
      <c r="E214" s="93"/>
      <c r="F214" s="2"/>
      <c r="G214" s="2"/>
      <c r="H214" s="2"/>
      <c r="I214" s="2"/>
    </row>
    <row r="215" spans="1:9" ht="12.75">
      <c r="A215" s="6"/>
      <c r="B215" s="1"/>
      <c r="C215" s="1"/>
      <c r="D215" s="93"/>
      <c r="E215" s="93"/>
      <c r="F215" s="2"/>
      <c r="G215" s="2"/>
      <c r="H215" s="2"/>
      <c r="I215" s="2"/>
    </row>
    <row r="216" spans="1:9" ht="12.75">
      <c r="A216" s="6"/>
      <c r="B216" s="1"/>
      <c r="C216" s="1"/>
      <c r="D216" s="93"/>
      <c r="E216" s="93"/>
      <c r="F216" s="2"/>
      <c r="G216" s="2"/>
      <c r="H216" s="2"/>
      <c r="I216" s="2"/>
    </row>
    <row r="217" spans="1:9" ht="12.75">
      <c r="A217" s="6"/>
      <c r="B217" s="1"/>
      <c r="C217" s="1"/>
      <c r="D217" s="93"/>
      <c r="E217" s="93"/>
      <c r="F217" s="2"/>
      <c r="G217" s="2"/>
      <c r="H217" s="2"/>
      <c r="I217" s="2"/>
    </row>
    <row r="218" spans="1:9" ht="12.75">
      <c r="A218" s="6"/>
      <c r="B218" s="1"/>
      <c r="C218" s="1"/>
      <c r="D218" s="93"/>
      <c r="E218" s="93"/>
      <c r="F218" s="2"/>
      <c r="G218" s="2"/>
      <c r="H218" s="2"/>
      <c r="I218" s="2"/>
    </row>
    <row r="219" spans="1:9" ht="12.75">
      <c r="A219" s="6"/>
      <c r="B219" s="1"/>
      <c r="C219" s="1"/>
      <c r="D219" s="93"/>
      <c r="E219" s="93"/>
      <c r="F219" s="2"/>
      <c r="G219" s="2"/>
      <c r="H219" s="2"/>
      <c r="I219" s="2"/>
    </row>
    <row r="220" spans="1:9" ht="12.75">
      <c r="A220" s="6"/>
      <c r="B220" s="1"/>
      <c r="C220" s="1"/>
      <c r="D220" s="93"/>
      <c r="E220" s="93"/>
      <c r="F220" s="2"/>
      <c r="G220" s="2"/>
      <c r="H220" s="2"/>
      <c r="I220" s="2"/>
    </row>
    <row r="221" spans="1:9" ht="12.75">
      <c r="A221" s="6"/>
      <c r="B221" s="1"/>
      <c r="C221" s="1"/>
      <c r="D221" s="93"/>
      <c r="E221" s="93"/>
      <c r="F221" s="2"/>
      <c r="G221" s="2"/>
      <c r="H221" s="2"/>
      <c r="I221" s="2"/>
    </row>
    <row r="222" spans="1:9" ht="12.75">
      <c r="A222" s="6"/>
      <c r="B222" s="1"/>
      <c r="C222" s="1"/>
      <c r="D222" s="93"/>
      <c r="E222" s="93"/>
      <c r="F222" s="2"/>
      <c r="G222" s="2"/>
      <c r="H222" s="2"/>
      <c r="I222" s="2"/>
    </row>
    <row r="223" spans="1:9" ht="12.75">
      <c r="A223" s="6"/>
      <c r="B223" s="1"/>
      <c r="C223" s="1"/>
      <c r="D223" s="93"/>
      <c r="E223" s="93"/>
      <c r="F223" s="2"/>
      <c r="G223" s="2"/>
      <c r="H223" s="2"/>
      <c r="I223" s="2"/>
    </row>
    <row r="224" spans="1:9" ht="12.75">
      <c r="A224" s="6"/>
      <c r="B224" s="1"/>
      <c r="C224" s="1"/>
      <c r="D224" s="93"/>
      <c r="E224" s="93"/>
      <c r="F224" s="2"/>
      <c r="G224" s="2"/>
      <c r="H224" s="2"/>
      <c r="I224" s="2"/>
    </row>
    <row r="225" spans="1:9" ht="12.75">
      <c r="A225" s="6"/>
      <c r="B225" s="1"/>
      <c r="C225" s="1"/>
      <c r="D225" s="93"/>
      <c r="E225" s="93"/>
      <c r="F225" s="2"/>
      <c r="G225" s="2"/>
      <c r="H225" s="2"/>
      <c r="I225" s="2"/>
    </row>
    <row r="226" spans="1:9" ht="12.75">
      <c r="A226" s="6"/>
      <c r="B226" s="1"/>
      <c r="C226" s="1"/>
      <c r="D226" s="93"/>
      <c r="E226" s="93"/>
      <c r="F226" s="2"/>
      <c r="G226" s="2"/>
      <c r="H226" s="2"/>
      <c r="I226" s="2"/>
    </row>
    <row r="227" spans="1:9" ht="12.75">
      <c r="A227" s="6"/>
      <c r="B227" s="1"/>
      <c r="C227" s="1"/>
      <c r="D227" s="93"/>
      <c r="E227" s="93"/>
      <c r="F227" s="2"/>
      <c r="G227" s="2"/>
      <c r="H227" s="2"/>
      <c r="I227" s="2"/>
    </row>
    <row r="228" spans="1:9" ht="12.75">
      <c r="A228" s="6"/>
      <c r="B228" s="1"/>
      <c r="C228" s="1"/>
      <c r="D228" s="93"/>
      <c r="E228" s="93"/>
      <c r="F228" s="2"/>
      <c r="G228" s="2"/>
      <c r="H228" s="2"/>
      <c r="I228" s="2"/>
    </row>
    <row r="229" spans="1:9" ht="12.75">
      <c r="A229" s="6"/>
      <c r="B229" s="1"/>
      <c r="C229" s="1"/>
      <c r="D229" s="93"/>
      <c r="E229" s="93"/>
      <c r="F229" s="2"/>
      <c r="G229" s="2"/>
      <c r="H229" s="2"/>
      <c r="I229" s="2"/>
    </row>
    <row r="230" spans="1:9" ht="12.75">
      <c r="A230" s="6"/>
      <c r="B230" s="1"/>
      <c r="C230" s="1"/>
      <c r="D230" s="93"/>
      <c r="E230" s="93"/>
      <c r="F230" s="2"/>
      <c r="G230" s="2"/>
      <c r="H230" s="2"/>
      <c r="I230" s="2"/>
    </row>
    <row r="231" spans="1:9" ht="12.75">
      <c r="A231" s="6"/>
      <c r="B231" s="1"/>
      <c r="C231" s="1"/>
      <c r="D231" s="93"/>
      <c r="E231" s="93"/>
      <c r="F231" s="2"/>
      <c r="G231" s="2"/>
      <c r="H231" s="2"/>
      <c r="I231" s="2"/>
    </row>
    <row r="232" spans="1:9" ht="12.75">
      <c r="A232" s="6"/>
      <c r="B232" s="1"/>
      <c r="C232" s="1"/>
      <c r="D232" s="93"/>
      <c r="E232" s="93"/>
      <c r="F232" s="2"/>
      <c r="G232" s="2"/>
      <c r="H232" s="2"/>
      <c r="I232" s="2"/>
    </row>
    <row r="233" spans="1:9" ht="12.75">
      <c r="A233" s="6"/>
      <c r="B233" s="1"/>
      <c r="C233" s="1"/>
      <c r="D233" s="93"/>
      <c r="E233" s="93"/>
      <c r="F233" s="2"/>
      <c r="G233" s="2"/>
      <c r="H233" s="2"/>
      <c r="I233" s="2"/>
    </row>
    <row r="234" spans="1:9" ht="12.75">
      <c r="A234" s="6"/>
      <c r="B234" s="1"/>
      <c r="C234" s="1"/>
      <c r="D234" s="93"/>
      <c r="E234" s="93"/>
      <c r="F234" s="2"/>
      <c r="G234" s="2"/>
      <c r="H234" s="2"/>
      <c r="I234" s="2"/>
    </row>
    <row r="235" spans="1:9" ht="12.75">
      <c r="A235" s="6"/>
      <c r="B235" s="1"/>
      <c r="C235" s="1"/>
      <c r="D235" s="93"/>
      <c r="E235" s="93"/>
      <c r="F235" s="2"/>
      <c r="G235" s="2"/>
      <c r="H235" s="2"/>
      <c r="I235" s="2"/>
    </row>
    <row r="236" spans="1:9" ht="12.75">
      <c r="A236" s="6"/>
      <c r="B236" s="1"/>
      <c r="C236" s="1"/>
      <c r="D236" s="93"/>
      <c r="E236" s="93"/>
      <c r="F236" s="2"/>
      <c r="G236" s="2"/>
      <c r="H236" s="2"/>
      <c r="I236" s="2"/>
    </row>
    <row r="237" spans="1:9" ht="12.75">
      <c r="A237" s="6"/>
      <c r="B237" s="1"/>
      <c r="C237" s="1"/>
      <c r="D237" s="93"/>
      <c r="E237" s="93"/>
      <c r="F237" s="2"/>
      <c r="G237" s="2"/>
      <c r="H237" s="2"/>
      <c r="I237" s="2"/>
    </row>
    <row r="238" spans="1:9" ht="12.75">
      <c r="A238" s="6"/>
      <c r="B238" s="1"/>
      <c r="C238" s="1"/>
      <c r="D238" s="93"/>
      <c r="E238" s="93"/>
      <c r="F238" s="2"/>
      <c r="G238" s="2"/>
      <c r="H238" s="2"/>
      <c r="I238" s="2"/>
    </row>
    <row r="239" spans="1:9" ht="12.75">
      <c r="A239" s="6"/>
      <c r="B239" s="1"/>
      <c r="C239" s="1"/>
      <c r="D239" s="93"/>
      <c r="E239" s="93"/>
      <c r="F239" s="2"/>
      <c r="G239" s="2"/>
      <c r="H239" s="2"/>
      <c r="I239" s="2"/>
    </row>
    <row r="240" spans="1:9" ht="12.75">
      <c r="A240" s="6"/>
      <c r="B240" s="1"/>
      <c r="C240" s="1"/>
      <c r="D240" s="93"/>
      <c r="E240" s="93"/>
      <c r="F240" s="2"/>
      <c r="G240" s="2"/>
      <c r="H240" s="2"/>
      <c r="I240" s="2"/>
    </row>
    <row r="241" spans="1:9" ht="12.75">
      <c r="A241" s="6"/>
      <c r="B241" s="1"/>
      <c r="C241" s="1"/>
      <c r="D241" s="93"/>
      <c r="E241" s="93"/>
      <c r="F241" s="2"/>
      <c r="G241" s="2"/>
      <c r="H241" s="2"/>
      <c r="I241" s="2"/>
    </row>
    <row r="242" spans="1:9" ht="12.75">
      <c r="A242" s="6"/>
      <c r="B242" s="1"/>
      <c r="C242" s="1"/>
      <c r="D242" s="93"/>
      <c r="E242" s="93"/>
      <c r="F242" s="2"/>
      <c r="G242" s="2"/>
      <c r="H242" s="2"/>
      <c r="I242" s="2"/>
    </row>
    <row r="243" spans="1:9" ht="12.75">
      <c r="A243" s="6"/>
      <c r="B243" s="1"/>
      <c r="C243" s="1"/>
      <c r="D243" s="93"/>
      <c r="E243" s="93"/>
      <c r="F243" s="2"/>
      <c r="G243" s="2"/>
      <c r="H243" s="2"/>
      <c r="I243" s="2"/>
    </row>
    <row r="244" spans="1:9" ht="12.75">
      <c r="A244" s="6"/>
      <c r="B244" s="1"/>
      <c r="C244" s="1"/>
      <c r="D244" s="93"/>
      <c r="E244" s="93"/>
      <c r="F244" s="2"/>
      <c r="G244" s="2"/>
      <c r="H244" s="2"/>
      <c r="I244" s="2"/>
    </row>
    <row r="245" spans="1:9" ht="12.75">
      <c r="A245" s="6"/>
      <c r="B245" s="1"/>
      <c r="C245" s="1"/>
      <c r="D245" s="93"/>
      <c r="E245" s="93"/>
      <c r="F245" s="2"/>
      <c r="G245" s="2"/>
      <c r="H245" s="2"/>
      <c r="I245" s="2"/>
    </row>
    <row r="246" spans="1:9" ht="12.75">
      <c r="A246" s="6"/>
      <c r="B246" s="1"/>
      <c r="C246" s="1"/>
      <c r="D246" s="93"/>
      <c r="E246" s="93"/>
      <c r="F246" s="2"/>
      <c r="G246" s="2"/>
      <c r="H246" s="2"/>
      <c r="I246" s="2"/>
    </row>
    <row r="247" spans="1:9" ht="12.75">
      <c r="A247" s="6"/>
      <c r="B247" s="1"/>
      <c r="C247" s="1"/>
      <c r="D247" s="93"/>
      <c r="E247" s="93"/>
      <c r="F247" s="2"/>
      <c r="G247" s="2"/>
      <c r="H247" s="2"/>
      <c r="I247" s="2"/>
    </row>
    <row r="248" spans="1:9" ht="12.75">
      <c r="A248" s="6"/>
      <c r="B248" s="1"/>
      <c r="C248" s="1"/>
      <c r="D248" s="93"/>
      <c r="E248" s="93"/>
      <c r="F248" s="2"/>
      <c r="G248" s="2"/>
      <c r="H248" s="2"/>
      <c r="I248" s="2"/>
    </row>
    <row r="249" spans="1:9" ht="12.75">
      <c r="A249" s="6"/>
      <c r="B249" s="1"/>
      <c r="C249" s="1"/>
      <c r="D249" s="93"/>
      <c r="E249" s="93"/>
      <c r="F249" s="2"/>
      <c r="G249" s="2"/>
      <c r="H249" s="2"/>
      <c r="I249" s="2"/>
    </row>
    <row r="250" spans="1:9" ht="12.75">
      <c r="A250" s="6"/>
      <c r="B250" s="1"/>
      <c r="C250" s="1"/>
      <c r="D250" s="93"/>
      <c r="E250" s="93"/>
      <c r="F250" s="2"/>
      <c r="G250" s="2"/>
      <c r="H250" s="2"/>
      <c r="I250" s="2"/>
    </row>
    <row r="251" spans="1:9" ht="12.75">
      <c r="A251" s="6"/>
      <c r="B251" s="1"/>
      <c r="C251" s="1"/>
      <c r="D251" s="93"/>
      <c r="E251" s="93"/>
      <c r="F251" s="2"/>
      <c r="G251" s="2"/>
      <c r="H251" s="2"/>
      <c r="I251" s="2"/>
    </row>
    <row r="252" spans="1:9" ht="12.75">
      <c r="A252" s="6"/>
      <c r="B252" s="1"/>
      <c r="C252" s="1"/>
      <c r="D252" s="93"/>
      <c r="E252" s="93"/>
      <c r="F252" s="2"/>
      <c r="G252" s="2"/>
      <c r="H252" s="2"/>
      <c r="I252" s="2"/>
    </row>
    <row r="253" spans="1:9" ht="12.75">
      <c r="A253" s="6"/>
      <c r="B253" s="1"/>
      <c r="C253" s="1"/>
      <c r="D253" s="93"/>
      <c r="E253" s="93"/>
      <c r="F253" s="2"/>
      <c r="G253" s="2"/>
      <c r="H253" s="2"/>
      <c r="I253" s="2"/>
    </row>
    <row r="254" spans="1:9" ht="12.75">
      <c r="A254" s="6"/>
      <c r="B254" s="1"/>
      <c r="C254" s="1"/>
      <c r="D254" s="93"/>
      <c r="E254" s="93"/>
      <c r="F254" s="2"/>
      <c r="G254" s="2"/>
      <c r="H254" s="2"/>
      <c r="I254" s="2"/>
    </row>
    <row r="255" spans="1:9" ht="12.75">
      <c r="A255" s="6"/>
      <c r="B255" s="1"/>
      <c r="C255" s="1"/>
      <c r="D255" s="93"/>
      <c r="E255" s="93"/>
      <c r="F255" s="2"/>
      <c r="G255" s="2"/>
      <c r="H255" s="2"/>
      <c r="I255" s="2"/>
    </row>
    <row r="256" spans="1:9" ht="12.75">
      <c r="A256" s="6"/>
      <c r="B256" s="1"/>
      <c r="C256" s="1"/>
      <c r="D256" s="93"/>
      <c r="E256" s="93"/>
      <c r="F256" s="2"/>
      <c r="G256" s="2"/>
      <c r="H256" s="2"/>
      <c r="I256" s="2"/>
    </row>
    <row r="257" spans="1:9" ht="12.75">
      <c r="A257" s="6"/>
      <c r="B257" s="1"/>
      <c r="C257" s="1"/>
      <c r="D257" s="93"/>
      <c r="E257" s="93"/>
      <c r="F257" s="2"/>
      <c r="G257" s="2"/>
      <c r="H257" s="2"/>
      <c r="I257" s="2"/>
    </row>
    <row r="258" spans="1:9" ht="12.75">
      <c r="A258" s="6"/>
      <c r="B258" s="1"/>
      <c r="C258" s="1"/>
      <c r="D258" s="93"/>
      <c r="E258" s="93"/>
      <c r="F258" s="2"/>
      <c r="G258" s="2"/>
      <c r="H258" s="2"/>
      <c r="I258" s="2"/>
    </row>
    <row r="259" spans="1:9" ht="12.75">
      <c r="A259" s="6"/>
      <c r="B259" s="1"/>
      <c r="C259" s="1"/>
      <c r="D259" s="93"/>
      <c r="E259" s="93"/>
      <c r="F259" s="2"/>
      <c r="G259" s="2"/>
      <c r="H259" s="2"/>
      <c r="I259" s="2"/>
    </row>
    <row r="260" spans="1:9" ht="12.75">
      <c r="A260" s="6"/>
      <c r="B260" s="1"/>
      <c r="C260" s="1"/>
      <c r="D260" s="93"/>
      <c r="E260" s="93"/>
      <c r="F260" s="2"/>
      <c r="G260" s="2"/>
      <c r="H260" s="2"/>
      <c r="I260" s="2"/>
    </row>
    <row r="261" spans="1:9" ht="12.75">
      <c r="A261" s="6"/>
      <c r="B261" s="1"/>
      <c r="C261" s="1"/>
      <c r="D261" s="93"/>
      <c r="E261" s="93"/>
      <c r="F261" s="2"/>
      <c r="G261" s="2"/>
      <c r="H261" s="2"/>
      <c r="I261" s="2"/>
    </row>
    <row r="262" spans="1:9" ht="12.75">
      <c r="A262" s="6"/>
      <c r="B262" s="1"/>
      <c r="C262" s="1"/>
      <c r="D262" s="93"/>
      <c r="E262" s="93"/>
      <c r="F262" s="2"/>
      <c r="G262" s="2"/>
      <c r="H262" s="2"/>
      <c r="I262" s="2"/>
    </row>
    <row r="263" spans="1:9" ht="12.75">
      <c r="A263" s="6"/>
      <c r="B263" s="1"/>
      <c r="C263" s="1"/>
      <c r="D263" s="93"/>
      <c r="E263" s="93"/>
      <c r="F263" s="2"/>
      <c r="G263" s="2"/>
      <c r="H263" s="2"/>
      <c r="I263" s="2"/>
    </row>
    <row r="264" spans="1:9" ht="12.75">
      <c r="A264" s="6"/>
      <c r="B264" s="1"/>
      <c r="C264" s="1"/>
      <c r="D264" s="93"/>
      <c r="E264" s="93"/>
      <c r="F264" s="2"/>
      <c r="G264" s="2"/>
      <c r="H264" s="2"/>
      <c r="I264" s="2"/>
    </row>
    <row r="265" spans="1:9" ht="12.75">
      <c r="A265" s="6"/>
      <c r="B265" s="1"/>
      <c r="C265" s="1"/>
      <c r="D265" s="93"/>
      <c r="E265" s="93"/>
      <c r="F265" s="2"/>
      <c r="G265" s="2"/>
      <c r="H265" s="2"/>
      <c r="I265" s="2"/>
    </row>
    <row r="266" spans="1:9" ht="12.75">
      <c r="A266" s="6"/>
      <c r="B266" s="1"/>
      <c r="C266" s="1"/>
      <c r="D266" s="93"/>
      <c r="E266" s="93"/>
      <c r="F266" s="2"/>
      <c r="G266" s="2"/>
      <c r="H266" s="2"/>
      <c r="I266" s="2"/>
    </row>
    <row r="267" spans="1:9" ht="12.75">
      <c r="A267" s="6"/>
      <c r="B267" s="1"/>
      <c r="C267" s="1"/>
      <c r="D267" s="93"/>
      <c r="E267" s="93"/>
      <c r="F267" s="2"/>
      <c r="G267" s="2"/>
      <c r="H267" s="2"/>
      <c r="I267" s="2"/>
    </row>
    <row r="268" spans="1:9" ht="12.75">
      <c r="A268" s="6"/>
      <c r="B268" s="1"/>
      <c r="C268" s="1"/>
      <c r="D268" s="93"/>
      <c r="E268" s="93"/>
      <c r="F268" s="2"/>
      <c r="G268" s="2"/>
      <c r="H268" s="2"/>
      <c r="I268" s="2"/>
    </row>
    <row r="269" spans="1:9" ht="12.75">
      <c r="A269" s="6"/>
      <c r="B269" s="1"/>
      <c r="C269" s="1"/>
      <c r="D269" s="93"/>
      <c r="E269" s="93"/>
      <c r="F269" s="2"/>
      <c r="G269" s="2"/>
      <c r="H269" s="2"/>
      <c r="I269" s="2"/>
    </row>
    <row r="270" spans="1:9" ht="12.75">
      <c r="A270" s="6"/>
      <c r="B270" s="1"/>
      <c r="C270" s="1"/>
      <c r="D270" s="93"/>
      <c r="E270" s="93"/>
      <c r="F270" s="2"/>
      <c r="G270" s="2"/>
      <c r="H270" s="2"/>
      <c r="I270" s="2"/>
    </row>
    <row r="271" spans="1:9" ht="12.75">
      <c r="A271" s="6"/>
      <c r="B271" s="1"/>
      <c r="C271" s="1"/>
      <c r="D271" s="93"/>
      <c r="E271" s="93"/>
      <c r="F271" s="2"/>
      <c r="G271" s="2"/>
      <c r="H271" s="2"/>
      <c r="I271" s="2"/>
    </row>
    <row r="272" spans="1:9" ht="12.75">
      <c r="A272" s="6"/>
      <c r="B272" s="1"/>
      <c r="C272" s="1"/>
      <c r="D272" s="93"/>
      <c r="E272" s="93"/>
      <c r="F272" s="2"/>
      <c r="G272" s="2"/>
      <c r="H272" s="2"/>
      <c r="I272" s="2"/>
    </row>
    <row r="273" spans="1:9" ht="12.75">
      <c r="A273" s="6"/>
      <c r="B273" s="1"/>
      <c r="C273" s="1"/>
      <c r="D273" s="93"/>
      <c r="E273" s="93"/>
      <c r="F273" s="2"/>
      <c r="G273" s="2"/>
      <c r="H273" s="2"/>
      <c r="I273" s="2"/>
    </row>
    <row r="274" spans="1:9" ht="12.75">
      <c r="A274" s="6"/>
      <c r="B274" s="1"/>
      <c r="C274" s="1"/>
      <c r="D274" s="93"/>
      <c r="E274" s="93"/>
      <c r="F274" s="2"/>
      <c r="G274" s="2"/>
      <c r="H274" s="2"/>
      <c r="I274" s="2"/>
    </row>
    <row r="275" spans="1:9" ht="12.75">
      <c r="A275" s="6"/>
      <c r="B275" s="1"/>
      <c r="C275" s="1"/>
      <c r="D275" s="93"/>
      <c r="E275" s="93"/>
      <c r="F275" s="2"/>
      <c r="G275" s="2"/>
      <c r="H275" s="2"/>
      <c r="I275" s="2"/>
    </row>
    <row r="276" spans="1:9" ht="12.75">
      <c r="A276" s="6"/>
      <c r="B276" s="1"/>
      <c r="C276" s="1"/>
      <c r="D276" s="93"/>
      <c r="E276" s="93"/>
      <c r="F276" s="2"/>
      <c r="G276" s="2"/>
      <c r="H276" s="2"/>
      <c r="I276" s="2"/>
    </row>
    <row r="277" spans="1:9" ht="12.75">
      <c r="A277" s="6"/>
      <c r="B277" s="1"/>
      <c r="C277" s="1"/>
      <c r="D277" s="93"/>
      <c r="E277" s="93"/>
      <c r="F277" s="2"/>
      <c r="G277" s="2"/>
      <c r="H277" s="2"/>
      <c r="I277" s="2"/>
    </row>
    <row r="278" spans="1:9" ht="12.75">
      <c r="A278" s="6"/>
      <c r="B278" s="1"/>
      <c r="C278" s="1"/>
      <c r="D278" s="93"/>
      <c r="E278" s="93"/>
      <c r="F278" s="2"/>
      <c r="G278" s="2"/>
      <c r="H278" s="2"/>
      <c r="I278" s="2"/>
    </row>
    <row r="279" spans="1:9" ht="12.75">
      <c r="A279" s="6"/>
      <c r="B279" s="1"/>
      <c r="C279" s="1"/>
      <c r="D279" s="93"/>
      <c r="E279" s="93"/>
      <c r="F279" s="2"/>
      <c r="G279" s="2"/>
      <c r="H279" s="2"/>
      <c r="I279" s="2"/>
    </row>
    <row r="280" spans="1:9" ht="12.75">
      <c r="A280" s="6"/>
      <c r="B280" s="1"/>
      <c r="C280" s="1"/>
      <c r="D280" s="93"/>
      <c r="E280" s="93"/>
      <c r="F280" s="2"/>
      <c r="G280" s="2"/>
      <c r="H280" s="2"/>
      <c r="I280" s="2"/>
    </row>
    <row r="281" spans="1:9" ht="12.75">
      <c r="A281" s="6"/>
      <c r="B281" s="1"/>
      <c r="C281" s="1"/>
      <c r="D281" s="93"/>
      <c r="E281" s="93"/>
      <c r="F281" s="2"/>
      <c r="G281" s="2"/>
      <c r="H281" s="2"/>
      <c r="I281" s="2"/>
    </row>
    <row r="282" spans="1:9" ht="12.75">
      <c r="A282" s="6"/>
      <c r="B282" s="1"/>
      <c r="C282" s="1"/>
      <c r="D282" s="93"/>
      <c r="E282" s="93"/>
      <c r="F282" s="2"/>
      <c r="G282" s="2"/>
      <c r="H282" s="2"/>
      <c r="I282" s="2"/>
    </row>
    <row r="283" spans="1:9" ht="12.75">
      <c r="A283" s="6"/>
      <c r="B283" s="1"/>
      <c r="C283" s="1"/>
      <c r="D283" s="93"/>
      <c r="E283" s="93"/>
      <c r="F283" s="2"/>
      <c r="G283" s="2"/>
      <c r="H283" s="2"/>
      <c r="I283" s="2"/>
    </row>
    <row r="284" spans="1:9" ht="12.75">
      <c r="A284" s="6"/>
      <c r="B284" s="1"/>
      <c r="C284" s="1"/>
      <c r="D284" s="93"/>
      <c r="E284" s="93"/>
      <c r="F284" s="2"/>
      <c r="G284" s="2"/>
      <c r="H284" s="2"/>
      <c r="I284" s="2"/>
    </row>
    <row r="285" spans="1:9" ht="12.75">
      <c r="A285" s="6"/>
      <c r="B285" s="1"/>
      <c r="C285" s="1"/>
      <c r="D285" s="93"/>
      <c r="E285" s="93"/>
      <c r="F285" s="2"/>
      <c r="G285" s="2"/>
      <c r="H285" s="2"/>
      <c r="I285" s="2"/>
    </row>
    <row r="286" spans="1:9" ht="12.75">
      <c r="A286" s="6"/>
      <c r="B286" s="1"/>
      <c r="C286" s="1"/>
      <c r="D286" s="93"/>
      <c r="E286" s="93"/>
      <c r="F286" s="2"/>
      <c r="G286" s="2"/>
      <c r="H286" s="2"/>
      <c r="I286" s="2"/>
    </row>
    <row r="287" spans="1:9" ht="12.75">
      <c r="A287" s="6"/>
      <c r="B287" s="1"/>
      <c r="C287" s="1"/>
      <c r="D287" s="93"/>
      <c r="E287" s="93"/>
      <c r="F287" s="2"/>
      <c r="G287" s="2"/>
      <c r="H287" s="2"/>
      <c r="I287" s="2"/>
    </row>
    <row r="288" spans="1:9" ht="12.75">
      <c r="A288" s="6"/>
      <c r="B288" s="1"/>
      <c r="C288" s="1"/>
      <c r="D288" s="93"/>
      <c r="E288" s="93"/>
      <c r="F288" s="2"/>
      <c r="G288" s="2"/>
      <c r="H288" s="2"/>
      <c r="I288" s="2"/>
    </row>
    <row r="289" spans="1:9" ht="12.75">
      <c r="A289" s="6"/>
      <c r="B289" s="1"/>
      <c r="C289" s="1"/>
      <c r="D289" s="93"/>
      <c r="E289" s="93"/>
      <c r="F289" s="2"/>
      <c r="G289" s="2"/>
      <c r="H289" s="2"/>
      <c r="I289" s="2"/>
    </row>
    <row r="290" spans="1:9" ht="12.75">
      <c r="A290" s="6"/>
      <c r="B290" s="1"/>
      <c r="C290" s="1"/>
      <c r="D290" s="93"/>
      <c r="E290" s="93"/>
      <c r="F290" s="2"/>
      <c r="G290" s="2"/>
      <c r="H290" s="2"/>
      <c r="I290" s="2"/>
    </row>
    <row r="291" spans="1:9" ht="12.75">
      <c r="A291" s="6"/>
      <c r="B291" s="1"/>
      <c r="C291" s="1"/>
      <c r="D291" s="93"/>
      <c r="E291" s="93"/>
      <c r="F291" s="2"/>
      <c r="G291" s="2"/>
      <c r="H291" s="2"/>
      <c r="I291" s="2"/>
    </row>
    <row r="292" spans="1:9" ht="12.75">
      <c r="A292" s="6"/>
      <c r="B292" s="1"/>
      <c r="C292" s="1"/>
      <c r="D292" s="93"/>
      <c r="E292" s="93"/>
      <c r="F292" s="2"/>
      <c r="G292" s="2"/>
      <c r="H292" s="2"/>
      <c r="I292" s="2"/>
    </row>
    <row r="293" spans="1:9" ht="12.75">
      <c r="A293" s="6"/>
      <c r="B293" s="1"/>
      <c r="C293" s="1"/>
      <c r="D293" s="93"/>
      <c r="E293" s="93"/>
      <c r="F293" s="2"/>
      <c r="G293" s="2"/>
      <c r="H293" s="2"/>
      <c r="I293" s="2"/>
    </row>
    <row r="294" spans="1:9" ht="12.75">
      <c r="A294" s="6"/>
      <c r="B294" s="1"/>
      <c r="C294" s="1"/>
      <c r="D294" s="93"/>
      <c r="E294" s="93"/>
      <c r="F294" s="2"/>
      <c r="G294" s="2"/>
      <c r="H294" s="2"/>
      <c r="I294" s="2"/>
    </row>
    <row r="295" spans="1:9" ht="12.75">
      <c r="A295" s="6"/>
      <c r="B295" s="1"/>
      <c r="C295" s="1"/>
      <c r="D295" s="93"/>
      <c r="E295" s="93"/>
      <c r="F295" s="2"/>
      <c r="G295" s="2"/>
      <c r="H295" s="2"/>
      <c r="I295" s="2"/>
    </row>
    <row r="296" spans="1:9" ht="12.75">
      <c r="A296" s="6"/>
      <c r="B296" s="1"/>
      <c r="C296" s="1"/>
      <c r="D296" s="93"/>
      <c r="E296" s="93"/>
      <c r="F296" s="2"/>
      <c r="G296" s="2"/>
      <c r="H296" s="2"/>
      <c r="I296" s="2"/>
    </row>
    <row r="297" spans="1:9" ht="12.75">
      <c r="A297" s="6"/>
      <c r="B297" s="1"/>
      <c r="C297" s="1"/>
      <c r="D297" s="93"/>
      <c r="E297" s="93"/>
      <c r="F297" s="2"/>
      <c r="G297" s="2"/>
      <c r="H297" s="2"/>
      <c r="I297" s="2"/>
    </row>
    <row r="298" spans="1:9" ht="12.75">
      <c r="A298" s="6"/>
      <c r="B298" s="1"/>
      <c r="C298" s="1"/>
      <c r="D298" s="93"/>
      <c r="E298" s="93"/>
      <c r="F298" s="2"/>
      <c r="G298" s="2"/>
      <c r="H298" s="2"/>
      <c r="I298" s="2"/>
    </row>
    <row r="299" spans="1:9" ht="12.75">
      <c r="A299" s="6"/>
      <c r="B299" s="1"/>
      <c r="C299" s="1"/>
      <c r="D299" s="93"/>
      <c r="E299" s="93"/>
      <c r="F299" s="2"/>
      <c r="G299" s="2"/>
      <c r="H299" s="2"/>
      <c r="I299" s="2"/>
    </row>
    <row r="300" spans="1:9" ht="12.75">
      <c r="A300" s="6"/>
      <c r="B300" s="1"/>
      <c r="C300" s="1"/>
      <c r="D300" s="93"/>
      <c r="E300" s="93"/>
      <c r="F300" s="2"/>
      <c r="G300" s="2"/>
      <c r="H300" s="2"/>
      <c r="I300" s="2"/>
    </row>
    <row r="301" spans="1:9" ht="12.75">
      <c r="A301" s="6"/>
      <c r="B301" s="1"/>
      <c r="C301" s="1"/>
      <c r="D301" s="93"/>
      <c r="E301" s="93"/>
      <c r="F301" s="2"/>
      <c r="G301" s="2"/>
      <c r="H301" s="2"/>
      <c r="I301" s="2"/>
    </row>
    <row r="302" spans="1:9" ht="12.75">
      <c r="A302" s="6"/>
      <c r="B302" s="1"/>
      <c r="C302" s="1"/>
      <c r="D302" s="93"/>
      <c r="E302" s="93"/>
      <c r="F302" s="2"/>
      <c r="G302" s="2"/>
      <c r="H302" s="2"/>
      <c r="I302" s="2"/>
    </row>
    <row r="303" spans="1:9" ht="12.75">
      <c r="A303" s="6"/>
      <c r="B303" s="1"/>
      <c r="C303" s="1"/>
      <c r="D303" s="93"/>
      <c r="E303" s="93"/>
      <c r="F303" s="2"/>
      <c r="G303" s="2"/>
      <c r="H303" s="2"/>
      <c r="I303" s="2"/>
    </row>
    <row r="304" spans="1:9" ht="12.75">
      <c r="A304" s="6"/>
      <c r="B304" s="1"/>
      <c r="C304" s="1"/>
      <c r="D304" s="93"/>
      <c r="E304" s="93"/>
      <c r="F304" s="2"/>
      <c r="G304" s="2"/>
      <c r="H304" s="2"/>
      <c r="I304" s="2"/>
    </row>
    <row r="305" spans="1:9" ht="12.75">
      <c r="A305" s="6"/>
      <c r="B305" s="1"/>
      <c r="C305" s="1"/>
      <c r="D305" s="93"/>
      <c r="E305" s="93"/>
      <c r="F305" s="2"/>
      <c r="G305" s="2"/>
      <c r="H305" s="2"/>
      <c r="I305" s="2"/>
    </row>
    <row r="306" spans="2:9" ht="12.75">
      <c r="B306" s="1"/>
      <c r="C306" s="1"/>
      <c r="D306" s="93"/>
      <c r="E306" s="93"/>
      <c r="F306" s="2"/>
      <c r="G306" s="2"/>
      <c r="H306" s="2"/>
      <c r="I306" s="2"/>
    </row>
    <row r="307" spans="2:9" ht="12.75">
      <c r="B307" s="1"/>
      <c r="C307" s="1"/>
      <c r="D307" s="93"/>
      <c r="E307" s="93"/>
      <c r="F307" s="2"/>
      <c r="G307" s="2"/>
      <c r="H307" s="2"/>
      <c r="I307" s="2"/>
    </row>
    <row r="308" spans="2:9" ht="12.75">
      <c r="B308" s="1"/>
      <c r="C308" s="1"/>
      <c r="D308" s="93"/>
      <c r="E308" s="93"/>
      <c r="F308" s="2"/>
      <c r="G308" s="2"/>
      <c r="H308" s="2"/>
      <c r="I308" s="2"/>
    </row>
    <row r="309" spans="2:9" ht="12.75">
      <c r="B309" s="1"/>
      <c r="C309" s="1"/>
      <c r="D309" s="93"/>
      <c r="E309" s="93"/>
      <c r="F309" s="2"/>
      <c r="G309" s="2"/>
      <c r="H309" s="2"/>
      <c r="I309" s="2"/>
    </row>
    <row r="310" spans="2:9" ht="12.75">
      <c r="B310" s="1"/>
      <c r="C310" s="1"/>
      <c r="D310" s="93"/>
      <c r="E310" s="93"/>
      <c r="F310" s="2"/>
      <c r="G310" s="2"/>
      <c r="H310" s="2"/>
      <c r="I310" s="2"/>
    </row>
    <row r="311" spans="2:9" ht="12.75">
      <c r="B311" s="1"/>
      <c r="C311" s="1"/>
      <c r="D311" s="93"/>
      <c r="E311" s="93"/>
      <c r="F311" s="2"/>
      <c r="G311" s="2"/>
      <c r="H311" s="2"/>
      <c r="I311" s="2"/>
    </row>
    <row r="312" spans="2:9" ht="12.75">
      <c r="B312" s="1"/>
      <c r="C312" s="1"/>
      <c r="D312" s="93"/>
      <c r="E312" s="93"/>
      <c r="F312" s="2"/>
      <c r="G312" s="2"/>
      <c r="H312" s="2"/>
      <c r="I312" s="2"/>
    </row>
    <row r="313" spans="2:9" ht="12.75">
      <c r="B313" s="1"/>
      <c r="C313" s="1"/>
      <c r="D313" s="93"/>
      <c r="E313" s="93"/>
      <c r="F313" s="2"/>
      <c r="G313" s="2"/>
      <c r="H313" s="2"/>
      <c r="I313" s="2"/>
    </row>
    <row r="314" spans="2:9" ht="12.75">
      <c r="B314" s="1"/>
      <c r="C314" s="1"/>
      <c r="D314" s="93"/>
      <c r="E314" s="93"/>
      <c r="F314" s="2"/>
      <c r="G314" s="2"/>
      <c r="H314" s="2"/>
      <c r="I314" s="2"/>
    </row>
    <row r="315" spans="1:9" ht="12.75">
      <c r="A315" s="9"/>
      <c r="B315" s="1"/>
      <c r="C315" s="1"/>
      <c r="D315" s="93"/>
      <c r="E315" s="93"/>
      <c r="F315" s="2"/>
      <c r="G315" s="2"/>
      <c r="H315" s="2"/>
      <c r="I315" s="2"/>
    </row>
    <row r="316" spans="1:9" ht="12.75">
      <c r="A316" s="9"/>
      <c r="B316" s="1"/>
      <c r="C316" s="1"/>
      <c r="D316" s="93"/>
      <c r="E316" s="93"/>
      <c r="F316" s="2"/>
      <c r="G316" s="2"/>
      <c r="H316" s="2"/>
      <c r="I316" s="2"/>
    </row>
    <row r="317" spans="1:9" ht="12.75">
      <c r="A317" s="9"/>
      <c r="B317" s="1"/>
      <c r="C317" s="1"/>
      <c r="D317" s="93"/>
      <c r="E317" s="93"/>
      <c r="F317" s="2"/>
      <c r="G317" s="2"/>
      <c r="H317" s="2"/>
      <c r="I317" s="2"/>
    </row>
    <row r="318" spans="1:9" ht="12.75">
      <c r="A318" s="9"/>
      <c r="B318" s="1"/>
      <c r="C318" s="1"/>
      <c r="D318" s="93"/>
      <c r="E318" s="93"/>
      <c r="F318" s="2"/>
      <c r="G318" s="2"/>
      <c r="H318" s="2"/>
      <c r="I318" s="2"/>
    </row>
    <row r="319" spans="1:9" ht="12.75">
      <c r="A319" s="9"/>
      <c r="B319" s="1"/>
      <c r="C319" s="1"/>
      <c r="D319" s="93"/>
      <c r="E319" s="93"/>
      <c r="F319" s="2"/>
      <c r="G319" s="2"/>
      <c r="H319" s="2"/>
      <c r="I319" s="2"/>
    </row>
    <row r="320" spans="1:9" ht="12.75">
      <c r="A320" s="9"/>
      <c r="B320" s="1"/>
      <c r="C320" s="1"/>
      <c r="D320" s="93"/>
      <c r="E320" s="93"/>
      <c r="F320" s="2"/>
      <c r="G320" s="2"/>
      <c r="H320" s="2"/>
      <c r="I320" s="2"/>
    </row>
    <row r="321" spans="1:9" ht="12.75">
      <c r="A321" s="9"/>
      <c r="B321" s="1"/>
      <c r="C321" s="1"/>
      <c r="D321" s="93"/>
      <c r="E321" s="93"/>
      <c r="F321" s="2"/>
      <c r="G321" s="2"/>
      <c r="H321" s="2"/>
      <c r="I321" s="2"/>
    </row>
    <row r="322" spans="1:9" ht="12.75">
      <c r="A322" s="9"/>
      <c r="B322" s="1"/>
      <c r="C322" s="1"/>
      <c r="D322" s="93"/>
      <c r="E322" s="93"/>
      <c r="F322" s="2"/>
      <c r="G322" s="2"/>
      <c r="H322" s="2"/>
      <c r="I322" s="2"/>
    </row>
    <row r="323" spans="1:9" ht="12.75">
      <c r="A323" s="9"/>
      <c r="B323" s="1"/>
      <c r="C323" s="1"/>
      <c r="D323" s="93"/>
      <c r="E323" s="93"/>
      <c r="F323" s="2"/>
      <c r="G323" s="2"/>
      <c r="H323" s="2"/>
      <c r="I323" s="2"/>
    </row>
    <row r="324" spans="1:9" ht="12.75">
      <c r="A324" s="9"/>
      <c r="B324" s="1"/>
      <c r="C324" s="1"/>
      <c r="D324" s="93"/>
      <c r="E324" s="93"/>
      <c r="F324" s="2"/>
      <c r="G324" s="2"/>
      <c r="H324" s="2"/>
      <c r="I324" s="2"/>
    </row>
    <row r="325" spans="1:9" ht="12.75">
      <c r="A325" s="9"/>
      <c r="B325" s="1"/>
      <c r="C325" s="1"/>
      <c r="D325" s="93"/>
      <c r="E325" s="93"/>
      <c r="F325" s="2"/>
      <c r="G325" s="2"/>
      <c r="H325" s="2"/>
      <c r="I325" s="2"/>
    </row>
    <row r="326" spans="1:9" ht="12.75">
      <c r="A326" s="9"/>
      <c r="B326" s="1"/>
      <c r="C326" s="1"/>
      <c r="D326" s="93"/>
      <c r="E326" s="93"/>
      <c r="F326" s="2"/>
      <c r="G326" s="2"/>
      <c r="H326" s="2"/>
      <c r="I326" s="2"/>
    </row>
    <row r="327" spans="1:9" ht="12.75">
      <c r="A327" s="9"/>
      <c r="B327" s="1"/>
      <c r="C327" s="1"/>
      <c r="D327" s="93"/>
      <c r="E327" s="93"/>
      <c r="F327" s="2"/>
      <c r="G327" s="2"/>
      <c r="H327" s="2"/>
      <c r="I327" s="2"/>
    </row>
    <row r="328" spans="1:9" ht="12.75">
      <c r="A328" s="9"/>
      <c r="B328" s="1"/>
      <c r="C328" s="1"/>
      <c r="D328" s="93"/>
      <c r="E328" s="93"/>
      <c r="F328" s="2"/>
      <c r="G328" s="2"/>
      <c r="H328" s="2"/>
      <c r="I328" s="2"/>
    </row>
    <row r="329" spans="1:9" ht="12.75">
      <c r="A329" s="9"/>
      <c r="B329" s="1"/>
      <c r="C329" s="1"/>
      <c r="D329" s="93"/>
      <c r="E329" s="93"/>
      <c r="F329" s="2"/>
      <c r="G329" s="2"/>
      <c r="H329" s="2"/>
      <c r="I329" s="2"/>
    </row>
    <row r="330" spans="1:9" ht="12.75">
      <c r="A330" s="9"/>
      <c r="B330" s="1"/>
      <c r="C330" s="1"/>
      <c r="D330" s="93"/>
      <c r="E330" s="93"/>
      <c r="F330" s="2"/>
      <c r="G330" s="2"/>
      <c r="H330" s="2"/>
      <c r="I330" s="2"/>
    </row>
    <row r="331" spans="1:9" ht="12.75">
      <c r="A331" s="9"/>
      <c r="B331" s="1"/>
      <c r="C331" s="1"/>
      <c r="D331" s="93"/>
      <c r="E331" s="93"/>
      <c r="F331" s="2"/>
      <c r="G331" s="2"/>
      <c r="H331" s="2"/>
      <c r="I331" s="2"/>
    </row>
    <row r="332" spans="1:9" ht="12.75">
      <c r="A332" s="9"/>
      <c r="B332" s="1"/>
      <c r="C332" s="1"/>
      <c r="D332" s="93"/>
      <c r="E332" s="93"/>
      <c r="F332" s="2"/>
      <c r="G332" s="2"/>
      <c r="H332" s="2"/>
      <c r="I332" s="2"/>
    </row>
    <row r="333" spans="1:9" ht="12.75">
      <c r="A333" s="9"/>
      <c r="B333" s="1"/>
      <c r="C333" s="1"/>
      <c r="D333" s="93"/>
      <c r="E333" s="93"/>
      <c r="F333" s="2"/>
      <c r="G333" s="2"/>
      <c r="H333" s="2"/>
      <c r="I333" s="2"/>
    </row>
    <row r="334" spans="1:9" ht="12.75">
      <c r="A334" s="9"/>
      <c r="B334" s="1"/>
      <c r="C334" s="1"/>
      <c r="D334" s="93"/>
      <c r="E334" s="93"/>
      <c r="F334" s="2"/>
      <c r="G334" s="2"/>
      <c r="H334" s="2"/>
      <c r="I334" s="2"/>
    </row>
    <row r="335" spans="1:9" ht="12.75">
      <c r="A335" s="9"/>
      <c r="B335" s="1"/>
      <c r="C335" s="1"/>
      <c r="D335" s="93"/>
      <c r="E335" s="93"/>
      <c r="F335" s="2"/>
      <c r="G335" s="2"/>
      <c r="H335" s="2"/>
      <c r="I335" s="2"/>
    </row>
    <row r="336" spans="1:9" ht="12.75">
      <c r="A336" s="9"/>
      <c r="B336" s="1"/>
      <c r="C336" s="1"/>
      <c r="D336" s="93"/>
      <c r="E336" s="93"/>
      <c r="F336" s="2"/>
      <c r="G336" s="2"/>
      <c r="H336" s="2"/>
      <c r="I336" s="2"/>
    </row>
    <row r="337" spans="1:9" ht="12.75">
      <c r="A337" s="9"/>
      <c r="B337" s="1"/>
      <c r="C337" s="1"/>
      <c r="D337" s="93"/>
      <c r="E337" s="93"/>
      <c r="F337" s="2"/>
      <c r="G337" s="2"/>
      <c r="H337" s="2"/>
      <c r="I337" s="2"/>
    </row>
    <row r="338" spans="1:9" ht="12.75">
      <c r="A338" s="9"/>
      <c r="B338" s="1"/>
      <c r="C338" s="1"/>
      <c r="D338" s="93"/>
      <c r="E338" s="93"/>
      <c r="F338" s="2"/>
      <c r="G338" s="2"/>
      <c r="H338" s="2"/>
      <c r="I338" s="2"/>
    </row>
    <row r="339" spans="1:9" ht="12.75">
      <c r="A339" s="9"/>
      <c r="B339" s="1"/>
      <c r="C339" s="1"/>
      <c r="D339" s="93"/>
      <c r="E339" s="93"/>
      <c r="F339" s="2"/>
      <c r="G339" s="2"/>
      <c r="H339" s="2"/>
      <c r="I339" s="2"/>
    </row>
    <row r="340" spans="1:9" ht="12.75">
      <c r="A340" s="9"/>
      <c r="B340" s="1"/>
      <c r="C340" s="1"/>
      <c r="D340" s="93"/>
      <c r="E340" s="93"/>
      <c r="F340" s="2"/>
      <c r="G340" s="2"/>
      <c r="H340" s="2"/>
      <c r="I340" s="2"/>
    </row>
    <row r="341" spans="1:9" ht="12.75">
      <c r="A341" s="9"/>
      <c r="B341" s="1"/>
      <c r="C341" s="1"/>
      <c r="D341" s="93"/>
      <c r="E341" s="93"/>
      <c r="F341" s="2"/>
      <c r="G341" s="2"/>
      <c r="H341" s="2"/>
      <c r="I341" s="2"/>
    </row>
    <row r="342" spans="1:9" ht="12.75">
      <c r="A342" s="9"/>
      <c r="B342" s="1"/>
      <c r="C342" s="1"/>
      <c r="D342" s="93"/>
      <c r="E342" s="93"/>
      <c r="F342" s="2"/>
      <c r="G342" s="2"/>
      <c r="H342" s="2"/>
      <c r="I342" s="2"/>
    </row>
    <row r="343" spans="1:9" ht="12.75">
      <c r="A343" s="9"/>
      <c r="B343" s="1"/>
      <c r="C343" s="1"/>
      <c r="D343" s="93"/>
      <c r="E343" s="93"/>
      <c r="F343" s="2"/>
      <c r="G343" s="2"/>
      <c r="H343" s="2"/>
      <c r="I343" s="2"/>
    </row>
    <row r="344" spans="1:9" ht="12.75">
      <c r="A344" s="9"/>
      <c r="B344" s="1"/>
      <c r="C344" s="1"/>
      <c r="D344" s="93"/>
      <c r="E344" s="93"/>
      <c r="F344" s="2"/>
      <c r="G344" s="2"/>
      <c r="H344" s="2"/>
      <c r="I344" s="2"/>
    </row>
    <row r="345" spans="1:9" ht="12.75">
      <c r="A345" s="9"/>
      <c r="B345" s="1"/>
      <c r="C345" s="1"/>
      <c r="D345" s="93"/>
      <c r="E345" s="93"/>
      <c r="F345" s="2"/>
      <c r="G345" s="2"/>
      <c r="H345" s="2"/>
      <c r="I345" s="2"/>
    </row>
    <row r="346" spans="1:9" ht="12.75">
      <c r="A346" s="9"/>
      <c r="B346" s="1"/>
      <c r="C346" s="1"/>
      <c r="D346" s="93"/>
      <c r="E346" s="93"/>
      <c r="F346" s="2"/>
      <c r="G346" s="2"/>
      <c r="H346" s="2"/>
      <c r="I346" s="2"/>
    </row>
    <row r="347" spans="1:9" ht="12.75">
      <c r="A347" s="9"/>
      <c r="B347" s="1"/>
      <c r="C347" s="1"/>
      <c r="D347" s="93"/>
      <c r="E347" s="93"/>
      <c r="F347" s="2"/>
      <c r="G347" s="2"/>
      <c r="H347" s="2"/>
      <c r="I347" s="2"/>
    </row>
    <row r="348" spans="1:9" ht="12.75">
      <c r="A348" s="9"/>
      <c r="B348" s="1"/>
      <c r="C348" s="1"/>
      <c r="D348" s="93"/>
      <c r="E348" s="93"/>
      <c r="F348" s="2"/>
      <c r="G348" s="2"/>
      <c r="H348" s="2"/>
      <c r="I348" s="2"/>
    </row>
    <row r="349" spans="1:9" ht="12.75">
      <c r="A349" s="9"/>
      <c r="B349" s="1"/>
      <c r="C349" s="1"/>
      <c r="D349" s="93"/>
      <c r="E349" s="93"/>
      <c r="F349" s="2"/>
      <c r="G349" s="2"/>
      <c r="H349" s="2"/>
      <c r="I349" s="2"/>
    </row>
    <row r="350" spans="1:9" ht="12.75">
      <c r="A350" s="9"/>
      <c r="B350" s="1"/>
      <c r="C350" s="1"/>
      <c r="D350" s="93"/>
      <c r="E350" s="93"/>
      <c r="F350" s="2"/>
      <c r="G350" s="2"/>
      <c r="H350" s="2"/>
      <c r="I350" s="2"/>
    </row>
    <row r="351" spans="1:9" ht="12.75">
      <c r="A351" s="9"/>
      <c r="B351" s="1"/>
      <c r="C351" s="1"/>
      <c r="D351" s="93"/>
      <c r="E351" s="93"/>
      <c r="F351" s="2"/>
      <c r="G351" s="2"/>
      <c r="H351" s="2"/>
      <c r="I351" s="2"/>
    </row>
    <row r="352" spans="1:9" ht="12.75">
      <c r="A352" s="9"/>
      <c r="B352" s="1"/>
      <c r="C352" s="1"/>
      <c r="D352" s="93"/>
      <c r="E352" s="93"/>
      <c r="F352" s="2"/>
      <c r="G352" s="2"/>
      <c r="H352" s="2"/>
      <c r="I352" s="2"/>
    </row>
    <row r="353" spans="1:9" ht="12.75">
      <c r="A353" s="9"/>
      <c r="B353" s="1"/>
      <c r="C353" s="1"/>
      <c r="D353" s="93"/>
      <c r="E353" s="93"/>
      <c r="F353" s="2"/>
      <c r="G353" s="2"/>
      <c r="H353" s="2"/>
      <c r="I353" s="2"/>
    </row>
    <row r="354" spans="1:9" ht="12.75">
      <c r="A354" s="9"/>
      <c r="B354" s="1"/>
      <c r="C354" s="1"/>
      <c r="D354" s="93"/>
      <c r="E354" s="93"/>
      <c r="F354" s="2"/>
      <c r="G354" s="2"/>
      <c r="H354" s="2"/>
      <c r="I354" s="2"/>
    </row>
    <row r="355" spans="1:9" ht="12.75">
      <c r="A355" s="9"/>
      <c r="B355" s="1"/>
      <c r="C355" s="1"/>
      <c r="D355" s="93"/>
      <c r="E355" s="93"/>
      <c r="F355" s="2"/>
      <c r="G355" s="2"/>
      <c r="H355" s="2"/>
      <c r="I355" s="2"/>
    </row>
    <row r="356" spans="1:9" ht="12.75">
      <c r="A356" s="9"/>
      <c r="B356" s="1"/>
      <c r="C356" s="1"/>
      <c r="D356" s="93"/>
      <c r="E356" s="93"/>
      <c r="F356" s="2"/>
      <c r="G356" s="2"/>
      <c r="H356" s="2"/>
      <c r="I356" s="2"/>
    </row>
    <row r="357" spans="1:9" ht="12.75">
      <c r="A357" s="9"/>
      <c r="B357" s="1"/>
      <c r="C357" s="1"/>
      <c r="D357" s="93"/>
      <c r="E357" s="93"/>
      <c r="F357" s="2"/>
      <c r="G357" s="2"/>
      <c r="H357" s="2"/>
      <c r="I357" s="2"/>
    </row>
    <row r="358" spans="1:9" ht="12.75">
      <c r="A358" s="9"/>
      <c r="B358" s="1"/>
      <c r="C358" s="1"/>
      <c r="D358" s="93"/>
      <c r="E358" s="93"/>
      <c r="F358" s="2"/>
      <c r="G358" s="2"/>
      <c r="H358" s="2"/>
      <c r="I358" s="2"/>
    </row>
    <row r="359" spans="1:9" ht="12.75">
      <c r="A359" s="9"/>
      <c r="B359" s="1"/>
      <c r="C359" s="1"/>
      <c r="D359" s="93"/>
      <c r="E359" s="93"/>
      <c r="F359" s="2"/>
      <c r="G359" s="2"/>
      <c r="H359" s="2"/>
      <c r="I359" s="2"/>
    </row>
    <row r="360" spans="1:9" ht="12.75">
      <c r="A360" s="9"/>
      <c r="B360" s="1"/>
      <c r="C360" s="1"/>
      <c r="D360" s="93"/>
      <c r="E360" s="93"/>
      <c r="F360" s="2"/>
      <c r="G360" s="2"/>
      <c r="H360" s="2"/>
      <c r="I360" s="2"/>
    </row>
    <row r="361" spans="1:9" ht="12.75">
      <c r="A361" s="9"/>
      <c r="B361" s="1"/>
      <c r="C361" s="1"/>
      <c r="D361" s="93"/>
      <c r="E361" s="93"/>
      <c r="F361" s="2"/>
      <c r="G361" s="2"/>
      <c r="H361" s="2"/>
      <c r="I361" s="2"/>
    </row>
    <row r="362" spans="1:9" ht="12.75">
      <c r="A362" s="9"/>
      <c r="B362" s="1"/>
      <c r="C362" s="1"/>
      <c r="D362" s="93"/>
      <c r="E362" s="93"/>
      <c r="F362" s="2"/>
      <c r="G362" s="2"/>
      <c r="H362" s="2"/>
      <c r="I362" s="2"/>
    </row>
    <row r="363" spans="1:9" ht="12.75">
      <c r="A363" s="9"/>
      <c r="B363" s="1"/>
      <c r="C363" s="1"/>
      <c r="D363" s="93"/>
      <c r="E363" s="93"/>
      <c r="F363" s="2"/>
      <c r="G363" s="2"/>
      <c r="H363" s="2"/>
      <c r="I363" s="2"/>
    </row>
    <row r="364" spans="1:9" ht="12.75">
      <c r="A364" s="9"/>
      <c r="B364" s="1"/>
      <c r="C364" s="1"/>
      <c r="D364" s="93"/>
      <c r="E364" s="93"/>
      <c r="F364" s="2"/>
      <c r="G364" s="2"/>
      <c r="H364" s="2"/>
      <c r="I364" s="2"/>
    </row>
    <row r="365" spans="1:9" ht="12.75">
      <c r="A365" s="9"/>
      <c r="B365" s="1"/>
      <c r="C365" s="1"/>
      <c r="D365" s="93"/>
      <c r="E365" s="93"/>
      <c r="F365" s="2"/>
      <c r="G365" s="2"/>
      <c r="H365" s="2"/>
      <c r="I365" s="2"/>
    </row>
    <row r="366" spans="1:9" ht="12.75">
      <c r="A366" s="9"/>
      <c r="B366" s="1"/>
      <c r="C366" s="1"/>
      <c r="D366" s="93"/>
      <c r="E366" s="93"/>
      <c r="F366" s="2"/>
      <c r="G366" s="2"/>
      <c r="H366" s="2"/>
      <c r="I366" s="2"/>
    </row>
    <row r="367" spans="1:9" ht="12.75">
      <c r="A367" s="9"/>
      <c r="B367" s="1"/>
      <c r="C367" s="1"/>
      <c r="D367" s="93"/>
      <c r="E367" s="93"/>
      <c r="F367" s="2"/>
      <c r="G367" s="2"/>
      <c r="H367" s="2"/>
      <c r="I367" s="2"/>
    </row>
    <row r="368" spans="1:9" ht="12.75">
      <c r="A368" s="9"/>
      <c r="B368" s="1"/>
      <c r="C368" s="1"/>
      <c r="D368" s="93"/>
      <c r="E368" s="93"/>
      <c r="F368" s="2"/>
      <c r="G368" s="2"/>
      <c r="H368" s="2"/>
      <c r="I368" s="2"/>
    </row>
    <row r="369" spans="1:9" ht="12.75">
      <c r="A369" s="9"/>
      <c r="B369" s="1"/>
      <c r="C369" s="1"/>
      <c r="D369" s="93"/>
      <c r="E369" s="93"/>
      <c r="F369" s="2"/>
      <c r="G369" s="2"/>
      <c r="H369" s="2"/>
      <c r="I369" s="2"/>
    </row>
    <row r="370" spans="1:9" ht="12.75">
      <c r="A370" s="9"/>
      <c r="B370" s="1"/>
      <c r="C370" s="1"/>
      <c r="D370" s="93"/>
      <c r="E370" s="93"/>
      <c r="F370" s="2"/>
      <c r="G370" s="2"/>
      <c r="H370" s="2"/>
      <c r="I370" s="2"/>
    </row>
    <row r="371" spans="1:9" ht="12.75">
      <c r="A371" s="9"/>
      <c r="B371" s="1"/>
      <c r="C371" s="1"/>
      <c r="D371" s="93"/>
      <c r="E371" s="93"/>
      <c r="F371" s="2"/>
      <c r="G371" s="2"/>
      <c r="H371" s="2"/>
      <c r="I371" s="2"/>
    </row>
    <row r="372" spans="1:9" ht="12.75">
      <c r="A372" s="9"/>
      <c r="B372" s="1"/>
      <c r="C372" s="1"/>
      <c r="D372" s="93"/>
      <c r="E372" s="93"/>
      <c r="F372" s="2"/>
      <c r="G372" s="2"/>
      <c r="H372" s="2"/>
      <c r="I372" s="2"/>
    </row>
    <row r="373" spans="1:9" ht="12.75">
      <c r="A373" s="9"/>
      <c r="B373" s="1"/>
      <c r="C373" s="1"/>
      <c r="D373" s="93"/>
      <c r="E373" s="93"/>
      <c r="F373" s="2"/>
      <c r="G373" s="2"/>
      <c r="H373" s="2"/>
      <c r="I373" s="2"/>
    </row>
    <row r="374" spans="1:9" ht="12.75">
      <c r="A374" s="9"/>
      <c r="B374" s="1"/>
      <c r="C374" s="1"/>
      <c r="D374" s="93"/>
      <c r="E374" s="93"/>
      <c r="F374" s="2"/>
      <c r="G374" s="2"/>
      <c r="H374" s="2"/>
      <c r="I374" s="2"/>
    </row>
    <row r="375" spans="1:9" ht="12.75">
      <c r="A375" s="9"/>
      <c r="B375" s="1"/>
      <c r="C375" s="1"/>
      <c r="D375" s="93"/>
      <c r="E375" s="93"/>
      <c r="F375" s="2"/>
      <c r="G375" s="2"/>
      <c r="H375" s="2"/>
      <c r="I375" s="2"/>
    </row>
    <row r="376" spans="1:9" ht="12.75">
      <c r="A376" s="9"/>
      <c r="B376" s="1"/>
      <c r="C376" s="1"/>
      <c r="D376" s="93"/>
      <c r="E376" s="93"/>
      <c r="F376" s="2"/>
      <c r="G376" s="2"/>
      <c r="H376" s="2"/>
      <c r="I376" s="2"/>
    </row>
    <row r="377" spans="1:9" ht="12.75">
      <c r="A377" s="9"/>
      <c r="B377" s="1"/>
      <c r="C377" s="1"/>
      <c r="D377" s="93"/>
      <c r="E377" s="93"/>
      <c r="F377" s="2"/>
      <c r="G377" s="2"/>
      <c r="H377" s="2"/>
      <c r="I377" s="2"/>
    </row>
    <row r="378" spans="1:9" ht="12.75">
      <c r="A378" s="9"/>
      <c r="B378" s="1"/>
      <c r="C378" s="1"/>
      <c r="D378" s="93"/>
      <c r="E378" s="93"/>
      <c r="F378" s="2"/>
      <c r="G378" s="2"/>
      <c r="H378" s="2"/>
      <c r="I378" s="2"/>
    </row>
    <row r="379" spans="1:9" ht="12.75">
      <c r="A379" s="9"/>
      <c r="B379" s="1"/>
      <c r="C379" s="1"/>
      <c r="D379" s="93"/>
      <c r="E379" s="93"/>
      <c r="F379" s="2"/>
      <c r="G379" s="2"/>
      <c r="H379" s="2"/>
      <c r="I379" s="2"/>
    </row>
    <row r="380" spans="1:9" ht="12.75">
      <c r="A380" s="9"/>
      <c r="B380" s="1"/>
      <c r="C380" s="1"/>
      <c r="D380" s="93"/>
      <c r="E380" s="93"/>
      <c r="F380" s="2"/>
      <c r="G380" s="2"/>
      <c r="H380" s="2"/>
      <c r="I380" s="2"/>
    </row>
    <row r="381" spans="1:9" ht="12.75">
      <c r="A381" s="9"/>
      <c r="B381" s="1"/>
      <c r="C381" s="1"/>
      <c r="D381" s="93"/>
      <c r="E381" s="93"/>
      <c r="F381" s="2"/>
      <c r="G381" s="2"/>
      <c r="H381" s="2"/>
      <c r="I381" s="2"/>
    </row>
    <row r="382" spans="1:9" ht="12.75">
      <c r="A382" s="9"/>
      <c r="B382" s="1"/>
      <c r="C382" s="1"/>
      <c r="D382" s="93"/>
      <c r="E382" s="93"/>
      <c r="F382" s="2"/>
      <c r="G382" s="2"/>
      <c r="H382" s="2"/>
      <c r="I382" s="2"/>
    </row>
    <row r="383" spans="1:9" ht="12.75">
      <c r="A383" s="9"/>
      <c r="B383" s="1"/>
      <c r="C383" s="1"/>
      <c r="D383" s="93"/>
      <c r="E383" s="93"/>
      <c r="F383" s="2"/>
      <c r="G383" s="2"/>
      <c r="H383" s="2"/>
      <c r="I383" s="2"/>
    </row>
    <row r="384" spans="1:9" ht="12.75">
      <c r="A384" s="9"/>
      <c r="B384" s="1"/>
      <c r="C384" s="1"/>
      <c r="D384" s="93"/>
      <c r="E384" s="93"/>
      <c r="F384" s="2"/>
      <c r="G384" s="2"/>
      <c r="H384" s="2"/>
      <c r="I384" s="2"/>
    </row>
    <row r="385" spans="1:9" ht="12.75">
      <c r="A385" s="9"/>
      <c r="B385" s="1"/>
      <c r="C385" s="1"/>
      <c r="D385" s="93"/>
      <c r="E385" s="93"/>
      <c r="F385" s="2"/>
      <c r="G385" s="2"/>
      <c r="H385" s="2"/>
      <c r="I385" s="2"/>
    </row>
    <row r="386" spans="1:9" ht="12.75">
      <c r="A386" s="9"/>
      <c r="B386" s="1"/>
      <c r="C386" s="1"/>
      <c r="D386" s="93"/>
      <c r="E386" s="93"/>
      <c r="F386" s="2"/>
      <c r="G386" s="2"/>
      <c r="H386" s="2"/>
      <c r="I386" s="2"/>
    </row>
    <row r="387" spans="1:9" ht="12.75">
      <c r="A387" s="9"/>
      <c r="B387" s="1"/>
      <c r="C387" s="1"/>
      <c r="D387" s="93"/>
      <c r="E387" s="93"/>
      <c r="F387" s="2"/>
      <c r="G387" s="2"/>
      <c r="H387" s="2"/>
      <c r="I387" s="2"/>
    </row>
    <row r="388" spans="1:9" ht="12.75">
      <c r="A388" s="9"/>
      <c r="B388" s="1"/>
      <c r="C388" s="1"/>
      <c r="D388" s="93"/>
      <c r="E388" s="93"/>
      <c r="F388" s="2"/>
      <c r="G388" s="2"/>
      <c r="H388" s="2"/>
      <c r="I388" s="2"/>
    </row>
    <row r="389" spans="1:9" ht="12.75">
      <c r="A389" s="9"/>
      <c r="B389" s="1"/>
      <c r="C389" s="1"/>
      <c r="D389" s="93"/>
      <c r="E389" s="93"/>
      <c r="F389" s="2"/>
      <c r="G389" s="2"/>
      <c r="H389" s="2"/>
      <c r="I389" s="2"/>
    </row>
    <row r="390" spans="1:9" ht="12.75">
      <c r="A390" s="9"/>
      <c r="B390" s="1"/>
      <c r="C390" s="1"/>
      <c r="D390" s="93"/>
      <c r="E390" s="93"/>
      <c r="F390" s="2"/>
      <c r="G390" s="2"/>
      <c r="H390" s="2"/>
      <c r="I390" s="2"/>
    </row>
    <row r="391" spans="1:9" ht="12.75">
      <c r="A391" s="9"/>
      <c r="B391" s="1"/>
      <c r="C391" s="1"/>
      <c r="D391" s="93"/>
      <c r="E391" s="93"/>
      <c r="F391" s="2"/>
      <c r="G391" s="2"/>
      <c r="H391" s="2"/>
      <c r="I391" s="2"/>
    </row>
    <row r="392" spans="1:9" ht="12.75">
      <c r="A392" s="9"/>
      <c r="B392" s="1"/>
      <c r="C392" s="1"/>
      <c r="D392" s="93"/>
      <c r="E392" s="93"/>
      <c r="F392" s="2"/>
      <c r="G392" s="2"/>
      <c r="H392" s="2"/>
      <c r="I392" s="2"/>
    </row>
    <row r="393" spans="1:9" ht="12.75">
      <c r="A393" s="9"/>
      <c r="B393" s="1"/>
      <c r="C393" s="1"/>
      <c r="D393" s="93"/>
      <c r="E393" s="93"/>
      <c r="F393" s="2"/>
      <c r="G393" s="2"/>
      <c r="H393" s="2"/>
      <c r="I393" s="2"/>
    </row>
    <row r="394" spans="1:9" ht="12.75">
      <c r="A394" s="9"/>
      <c r="B394" s="1"/>
      <c r="C394" s="1"/>
      <c r="D394" s="93"/>
      <c r="E394" s="93"/>
      <c r="F394" s="2"/>
      <c r="G394" s="2"/>
      <c r="H394" s="2"/>
      <c r="I394" s="2"/>
    </row>
    <row r="395" spans="1:9" ht="12.75">
      <c r="A395" s="9"/>
      <c r="B395" s="1"/>
      <c r="C395" s="1"/>
      <c r="D395" s="93"/>
      <c r="E395" s="93"/>
      <c r="F395" s="2"/>
      <c r="G395" s="2"/>
      <c r="H395" s="2"/>
      <c r="I395" s="2"/>
    </row>
    <row r="396" spans="1:9" ht="12.75">
      <c r="A396" s="9"/>
      <c r="B396" s="1"/>
      <c r="C396" s="1"/>
      <c r="D396" s="93"/>
      <c r="E396" s="93"/>
      <c r="F396" s="2"/>
      <c r="G396" s="2"/>
      <c r="H396" s="2"/>
      <c r="I396" s="2"/>
    </row>
    <row r="397" spans="1:9" ht="12.75">
      <c r="A397" s="9"/>
      <c r="B397" s="1"/>
      <c r="C397" s="1"/>
      <c r="D397" s="93"/>
      <c r="E397" s="93"/>
      <c r="F397" s="2"/>
      <c r="G397" s="2"/>
      <c r="H397" s="2"/>
      <c r="I397" s="2"/>
    </row>
    <row r="398" spans="1:9" ht="12.75">
      <c r="A398" s="9"/>
      <c r="B398" s="1"/>
      <c r="C398" s="1"/>
      <c r="D398" s="93"/>
      <c r="E398" s="93"/>
      <c r="F398" s="2"/>
      <c r="G398" s="2"/>
      <c r="H398" s="2"/>
      <c r="I398" s="2"/>
    </row>
    <row r="399" spans="1:9" ht="12.75">
      <c r="A399" s="9"/>
      <c r="B399" s="1"/>
      <c r="C399" s="1"/>
      <c r="D399" s="93"/>
      <c r="E399" s="93"/>
      <c r="F399" s="2"/>
      <c r="G399" s="2"/>
      <c r="H399" s="2"/>
      <c r="I399" s="2"/>
    </row>
    <row r="400" spans="1:9" ht="12.75">
      <c r="A400" s="9"/>
      <c r="B400" s="1"/>
      <c r="C400" s="1"/>
      <c r="D400" s="93"/>
      <c r="E400" s="93"/>
      <c r="F400" s="2"/>
      <c r="G400" s="2"/>
      <c r="H400" s="2"/>
      <c r="I400" s="2"/>
    </row>
    <row r="401" spans="1:9" ht="12.75">
      <c r="A401" s="9"/>
      <c r="B401" s="1"/>
      <c r="C401" s="1"/>
      <c r="D401" s="93"/>
      <c r="E401" s="93"/>
      <c r="F401" s="2"/>
      <c r="G401" s="2"/>
      <c r="H401" s="2"/>
      <c r="I401" s="2"/>
    </row>
    <row r="402" spans="1:9" ht="12.75">
      <c r="A402" s="9"/>
      <c r="B402" s="1"/>
      <c r="C402" s="1"/>
      <c r="D402" s="93"/>
      <c r="E402" s="93"/>
      <c r="F402" s="2"/>
      <c r="G402" s="2"/>
      <c r="H402" s="2"/>
      <c r="I402" s="2"/>
    </row>
    <row r="403" spans="1:9" ht="12.75">
      <c r="A403" s="9"/>
      <c r="B403" s="1"/>
      <c r="C403" s="1"/>
      <c r="D403" s="93"/>
      <c r="E403" s="93"/>
      <c r="F403" s="2"/>
      <c r="G403" s="2"/>
      <c r="H403" s="2"/>
      <c r="I403" s="2"/>
    </row>
    <row r="404" spans="1:9" ht="12.75">
      <c r="A404" s="9"/>
      <c r="B404" s="1"/>
      <c r="C404" s="1"/>
      <c r="D404" s="93"/>
      <c r="E404" s="93"/>
      <c r="F404" s="2"/>
      <c r="G404" s="2"/>
      <c r="H404" s="2"/>
      <c r="I404" s="2"/>
    </row>
    <row r="405" spans="1:9" ht="12.75">
      <c r="A405" s="9"/>
      <c r="B405" s="1"/>
      <c r="C405" s="1"/>
      <c r="D405" s="93"/>
      <c r="E405" s="93"/>
      <c r="F405" s="2"/>
      <c r="G405" s="2"/>
      <c r="H405" s="2"/>
      <c r="I405" s="2"/>
    </row>
    <row r="406" spans="1:9" ht="12.75">
      <c r="A406" s="9"/>
      <c r="B406" s="1"/>
      <c r="C406" s="1"/>
      <c r="D406" s="93"/>
      <c r="E406" s="93"/>
      <c r="F406" s="2"/>
      <c r="G406" s="2"/>
      <c r="H406" s="2"/>
      <c r="I406" s="2"/>
    </row>
    <row r="407" spans="1:9" ht="12.75">
      <c r="A407" s="9"/>
      <c r="B407" s="1"/>
      <c r="C407" s="1"/>
      <c r="D407" s="93"/>
      <c r="E407" s="93"/>
      <c r="F407" s="2"/>
      <c r="G407" s="2"/>
      <c r="H407" s="2"/>
      <c r="I407" s="2"/>
    </row>
    <row r="408" spans="1:9" ht="12.75">
      <c r="A408" s="9"/>
      <c r="B408" s="1"/>
      <c r="C408" s="1"/>
      <c r="D408" s="93"/>
      <c r="E408" s="93"/>
      <c r="F408" s="2"/>
      <c r="G408" s="2"/>
      <c r="H408" s="2"/>
      <c r="I408" s="2"/>
    </row>
    <row r="409" spans="1:9" ht="12.75">
      <c r="A409" s="9"/>
      <c r="B409" s="1"/>
      <c r="C409" s="1"/>
      <c r="D409" s="93"/>
      <c r="E409" s="93"/>
      <c r="F409" s="2"/>
      <c r="G409" s="2"/>
      <c r="H409" s="2"/>
      <c r="I409" s="2"/>
    </row>
    <row r="410" spans="1:9" ht="12.75">
      <c r="A410" s="9"/>
      <c r="B410" s="1"/>
      <c r="C410" s="1"/>
      <c r="D410" s="93"/>
      <c r="E410" s="93"/>
      <c r="F410" s="2"/>
      <c r="G410" s="2"/>
      <c r="H410" s="2"/>
      <c r="I410" s="2"/>
    </row>
    <row r="411" spans="1:9" ht="12.75">
      <c r="A411" s="9"/>
      <c r="B411" s="1"/>
      <c r="C411" s="1"/>
      <c r="D411" s="93"/>
      <c r="E411" s="93"/>
      <c r="F411" s="2"/>
      <c r="G411" s="2"/>
      <c r="H411" s="2"/>
      <c r="I411" s="2"/>
    </row>
    <row r="412" spans="1:9" ht="12.75">
      <c r="A412" s="9"/>
      <c r="B412" s="1"/>
      <c r="C412" s="1"/>
      <c r="D412" s="93"/>
      <c r="E412" s="93"/>
      <c r="F412" s="2"/>
      <c r="G412" s="2"/>
      <c r="H412" s="2"/>
      <c r="I412" s="2"/>
    </row>
    <row r="413" spans="1:9" ht="12.75">
      <c r="A413" s="9"/>
      <c r="B413" s="1"/>
      <c r="C413" s="1"/>
      <c r="D413" s="93"/>
      <c r="E413" s="93"/>
      <c r="F413" s="2"/>
      <c r="G413" s="2"/>
      <c r="H413" s="2"/>
      <c r="I413" s="2"/>
    </row>
    <row r="414" spans="1:9" ht="12.75">
      <c r="A414" s="9"/>
      <c r="B414" s="1"/>
      <c r="C414" s="1"/>
      <c r="D414" s="93"/>
      <c r="E414" s="93"/>
      <c r="F414" s="2"/>
      <c r="G414" s="2"/>
      <c r="H414" s="2"/>
      <c r="I414" s="2"/>
    </row>
    <row r="415" spans="1:9" ht="12.75">
      <c r="A415" s="9"/>
      <c r="B415" s="1"/>
      <c r="C415" s="1"/>
      <c r="D415" s="93"/>
      <c r="E415" s="93"/>
      <c r="F415" s="2"/>
      <c r="G415" s="2"/>
      <c r="H415" s="2"/>
      <c r="I415" s="2"/>
    </row>
    <row r="416" spans="1:9" ht="12.75">
      <c r="A416" s="9"/>
      <c r="B416" s="1"/>
      <c r="C416" s="1"/>
      <c r="D416" s="93"/>
      <c r="E416" s="93"/>
      <c r="F416" s="2"/>
      <c r="G416" s="2"/>
      <c r="H416" s="2"/>
      <c r="I416" s="2"/>
    </row>
    <row r="417" spans="1:9" ht="12.75">
      <c r="A417" s="9"/>
      <c r="B417" s="1"/>
      <c r="C417" s="1"/>
      <c r="D417" s="93"/>
      <c r="E417" s="93"/>
      <c r="F417" s="2"/>
      <c r="G417" s="2"/>
      <c r="H417" s="2"/>
      <c r="I417" s="2"/>
    </row>
    <row r="418" spans="1:9" ht="12.75">
      <c r="A418" s="9"/>
      <c r="B418" s="1"/>
      <c r="C418" s="1"/>
      <c r="D418" s="93"/>
      <c r="E418" s="93"/>
      <c r="F418" s="2"/>
      <c r="G418" s="2"/>
      <c r="H418" s="2"/>
      <c r="I418" s="2"/>
    </row>
    <row r="419" spans="1:9" ht="12.75">
      <c r="A419" s="9"/>
      <c r="B419" s="1"/>
      <c r="C419" s="1"/>
      <c r="D419" s="93"/>
      <c r="E419" s="93"/>
      <c r="F419" s="2"/>
      <c r="G419" s="2"/>
      <c r="H419" s="2"/>
      <c r="I419" s="2"/>
    </row>
    <row r="420" spans="1:9" ht="12.75">
      <c r="A420" s="9"/>
      <c r="B420" s="1"/>
      <c r="C420" s="1"/>
      <c r="D420" s="93"/>
      <c r="E420" s="93"/>
      <c r="F420" s="2"/>
      <c r="G420" s="2"/>
      <c r="H420" s="2"/>
      <c r="I420" s="2"/>
    </row>
    <row r="421" spans="1:9" ht="12.75">
      <c r="A421" s="9"/>
      <c r="B421" s="1"/>
      <c r="C421" s="1"/>
      <c r="D421" s="93"/>
      <c r="E421" s="93"/>
      <c r="F421" s="2"/>
      <c r="G421" s="2"/>
      <c r="H421" s="2"/>
      <c r="I421" s="2"/>
    </row>
    <row r="422" spans="1:9" ht="12.75">
      <c r="A422" s="9"/>
      <c r="B422" s="1"/>
      <c r="C422" s="1"/>
      <c r="D422" s="93"/>
      <c r="E422" s="93"/>
      <c r="F422" s="2"/>
      <c r="G422" s="2"/>
      <c r="H422" s="2"/>
      <c r="I422" s="2"/>
    </row>
    <row r="423" spans="1:9" ht="12.75">
      <c r="A423" s="9"/>
      <c r="B423" s="1"/>
      <c r="C423" s="1"/>
      <c r="D423" s="93"/>
      <c r="E423" s="93"/>
      <c r="F423" s="2"/>
      <c r="G423" s="2"/>
      <c r="H423" s="2"/>
      <c r="I423" s="2"/>
    </row>
    <row r="424" spans="1:9" ht="12.75">
      <c r="A424" s="9"/>
      <c r="B424" s="1"/>
      <c r="C424" s="1"/>
      <c r="D424" s="93"/>
      <c r="E424" s="93"/>
      <c r="F424" s="2"/>
      <c r="G424" s="2"/>
      <c r="H424" s="2"/>
      <c r="I424" s="2"/>
    </row>
    <row r="425" spans="1:9" ht="12.75">
      <c r="A425" s="9"/>
      <c r="B425" s="1"/>
      <c r="C425" s="1"/>
      <c r="D425" s="93"/>
      <c r="E425" s="93"/>
      <c r="F425" s="2"/>
      <c r="G425" s="2"/>
      <c r="H425" s="2"/>
      <c r="I425" s="2"/>
    </row>
    <row r="426" spans="1:9" ht="12.75">
      <c r="A426" s="9"/>
      <c r="B426" s="1"/>
      <c r="C426" s="1"/>
      <c r="D426" s="93"/>
      <c r="E426" s="93"/>
      <c r="F426" s="2"/>
      <c r="G426" s="2"/>
      <c r="H426" s="2"/>
      <c r="I426" s="2"/>
    </row>
    <row r="427" spans="1:9" ht="12.75">
      <c r="A427" s="9"/>
      <c r="B427" s="1"/>
      <c r="C427" s="1"/>
      <c r="D427" s="93"/>
      <c r="E427" s="93"/>
      <c r="F427" s="2"/>
      <c r="G427" s="2"/>
      <c r="H427" s="2"/>
      <c r="I427" s="2"/>
    </row>
    <row r="428" spans="1:9" ht="12.75">
      <c r="A428" s="9"/>
      <c r="B428" s="1"/>
      <c r="C428" s="1"/>
      <c r="D428" s="93"/>
      <c r="E428" s="93"/>
      <c r="F428" s="2"/>
      <c r="G428" s="2"/>
      <c r="H428" s="2"/>
      <c r="I428" s="2"/>
    </row>
    <row r="429" spans="1:9" ht="12.75">
      <c r="A429" s="9"/>
      <c r="B429" s="1"/>
      <c r="C429" s="1"/>
      <c r="D429" s="93"/>
      <c r="E429" s="93"/>
      <c r="F429" s="2"/>
      <c r="G429" s="2"/>
      <c r="H429" s="2"/>
      <c r="I429" s="2"/>
    </row>
    <row r="430" spans="1:9" ht="12.75">
      <c r="A430" s="9"/>
      <c r="B430" s="1"/>
      <c r="C430" s="1"/>
      <c r="D430" s="93"/>
      <c r="E430" s="93"/>
      <c r="F430" s="2"/>
      <c r="G430" s="2"/>
      <c r="H430" s="2"/>
      <c r="I430" s="2"/>
    </row>
    <row r="431" spans="1:9" ht="12.75">
      <c r="A431" s="9"/>
      <c r="B431" s="1"/>
      <c r="C431" s="1"/>
      <c r="D431" s="93"/>
      <c r="E431" s="93"/>
      <c r="F431" s="2"/>
      <c r="G431" s="2"/>
      <c r="H431" s="2"/>
      <c r="I431" s="2"/>
    </row>
    <row r="432" spans="1:9" ht="12.75">
      <c r="A432" s="9"/>
      <c r="B432" s="1"/>
      <c r="C432" s="1"/>
      <c r="D432" s="93"/>
      <c r="E432" s="93"/>
      <c r="F432" s="2"/>
      <c r="G432" s="2"/>
      <c r="H432" s="2"/>
      <c r="I432" s="2"/>
    </row>
    <row r="433" spans="1:9" ht="12.75">
      <c r="A433" s="9"/>
      <c r="B433" s="1"/>
      <c r="C433" s="1"/>
      <c r="D433" s="93"/>
      <c r="E433" s="93"/>
      <c r="F433" s="2"/>
      <c r="G433" s="2"/>
      <c r="H433" s="2"/>
      <c r="I433" s="2"/>
    </row>
    <row r="434" spans="1:9" ht="12.75">
      <c r="A434" s="9"/>
      <c r="B434" s="1"/>
      <c r="C434" s="1"/>
      <c r="D434" s="93"/>
      <c r="E434" s="93"/>
      <c r="F434" s="2"/>
      <c r="G434" s="2"/>
      <c r="H434" s="2"/>
      <c r="I434" s="2"/>
    </row>
    <row r="435" spans="1:9" ht="12.75">
      <c r="A435" s="9"/>
      <c r="B435" s="1"/>
      <c r="C435" s="1"/>
      <c r="D435" s="93"/>
      <c r="E435" s="93"/>
      <c r="F435" s="2"/>
      <c r="G435" s="2"/>
      <c r="H435" s="2"/>
      <c r="I435" s="2"/>
    </row>
    <row r="436" spans="1:9" ht="12.75">
      <c r="A436" s="9"/>
      <c r="B436" s="1"/>
      <c r="C436" s="1"/>
      <c r="D436" s="93"/>
      <c r="E436" s="93"/>
      <c r="F436" s="2"/>
      <c r="G436" s="2"/>
      <c r="H436" s="2"/>
      <c r="I436" s="2"/>
    </row>
    <row r="437" spans="1:9" ht="12.75">
      <c r="A437" s="9"/>
      <c r="B437" s="1"/>
      <c r="C437" s="1"/>
      <c r="D437" s="93"/>
      <c r="E437" s="93"/>
      <c r="F437" s="2"/>
      <c r="G437" s="2"/>
      <c r="H437" s="2"/>
      <c r="I437" s="2"/>
    </row>
    <row r="438" spans="1:9" ht="12.75">
      <c r="A438" s="9"/>
      <c r="B438" s="1"/>
      <c r="C438" s="1"/>
      <c r="D438" s="93"/>
      <c r="E438" s="93"/>
      <c r="F438" s="2"/>
      <c r="G438" s="2"/>
      <c r="H438" s="2"/>
      <c r="I438" s="2"/>
    </row>
    <row r="439" spans="1:9" ht="12.75">
      <c r="A439" s="9"/>
      <c r="B439" s="1"/>
      <c r="C439" s="1"/>
      <c r="D439" s="93"/>
      <c r="E439" s="93"/>
      <c r="F439" s="2"/>
      <c r="G439" s="2"/>
      <c r="H439" s="2"/>
      <c r="I439" s="2"/>
    </row>
    <row r="440" spans="1:9" ht="12.75">
      <c r="A440" s="9"/>
      <c r="B440" s="1"/>
      <c r="C440" s="1"/>
      <c r="D440" s="93"/>
      <c r="E440" s="93"/>
      <c r="F440" s="2"/>
      <c r="G440" s="2"/>
      <c r="H440" s="2"/>
      <c r="I440" s="2"/>
    </row>
    <row r="441" spans="1:9" ht="12.75">
      <c r="A441" s="9"/>
      <c r="B441" s="1"/>
      <c r="C441" s="1"/>
      <c r="D441" s="93"/>
      <c r="E441" s="93"/>
      <c r="F441" s="2"/>
      <c r="G441" s="2"/>
      <c r="H441" s="2"/>
      <c r="I441" s="2"/>
    </row>
    <row r="442" spans="1:9" ht="12.75">
      <c r="A442" s="9"/>
      <c r="B442" s="1"/>
      <c r="C442" s="1"/>
      <c r="D442" s="93"/>
      <c r="E442" s="93"/>
      <c r="F442" s="2"/>
      <c r="G442" s="2"/>
      <c r="H442" s="2"/>
      <c r="I442" s="2"/>
    </row>
    <row r="443" spans="1:9" ht="12.75">
      <c r="A443" s="9"/>
      <c r="B443" s="1"/>
      <c r="C443" s="1"/>
      <c r="D443" s="93"/>
      <c r="E443" s="93"/>
      <c r="F443" s="2"/>
      <c r="G443" s="2"/>
      <c r="H443" s="2"/>
      <c r="I443" s="2"/>
    </row>
    <row r="444" spans="1:9" ht="12.75">
      <c r="A444" s="9"/>
      <c r="B444" s="1"/>
      <c r="C444" s="1"/>
      <c r="D444" s="93"/>
      <c r="E444" s="93"/>
      <c r="F444" s="2"/>
      <c r="G444" s="2"/>
      <c r="H444" s="2"/>
      <c r="I444" s="2"/>
    </row>
    <row r="445" spans="1:9" ht="12.75">
      <c r="A445" s="9"/>
      <c r="B445" s="1"/>
      <c r="C445" s="1"/>
      <c r="D445" s="93"/>
      <c r="E445" s="93"/>
      <c r="F445" s="2"/>
      <c r="G445" s="2"/>
      <c r="H445" s="2"/>
      <c r="I445" s="2"/>
    </row>
    <row r="446" spans="1:9" ht="12.75">
      <c r="A446" s="9"/>
      <c r="B446" s="1"/>
      <c r="C446" s="1"/>
      <c r="D446" s="93"/>
      <c r="E446" s="93"/>
      <c r="F446" s="2"/>
      <c r="G446" s="2"/>
      <c r="H446" s="2"/>
      <c r="I446" s="2"/>
    </row>
    <row r="447" spans="1:9" ht="12.75">
      <c r="A447" s="9"/>
      <c r="B447" s="1"/>
      <c r="C447" s="1"/>
      <c r="D447" s="93"/>
      <c r="E447" s="93"/>
      <c r="F447" s="2"/>
      <c r="G447" s="2"/>
      <c r="H447" s="2"/>
      <c r="I447" s="2"/>
    </row>
    <row r="448" spans="1:9" ht="12.75">
      <c r="A448" s="9"/>
      <c r="B448" s="1"/>
      <c r="C448" s="1"/>
      <c r="D448" s="93"/>
      <c r="E448" s="93"/>
      <c r="F448" s="2"/>
      <c r="G448" s="2"/>
      <c r="H448" s="2"/>
      <c r="I448" s="2"/>
    </row>
    <row r="449" spans="1:9" ht="12.75">
      <c r="A449" s="9"/>
      <c r="B449" s="1"/>
      <c r="C449" s="1"/>
      <c r="D449" s="93"/>
      <c r="E449" s="93"/>
      <c r="F449" s="2"/>
      <c r="G449" s="2"/>
      <c r="H449" s="2"/>
      <c r="I449" s="2"/>
    </row>
    <row r="450" spans="1:9" ht="12.75">
      <c r="A450" s="9"/>
      <c r="B450" s="1"/>
      <c r="C450" s="1"/>
      <c r="D450" s="93"/>
      <c r="E450" s="93"/>
      <c r="F450" s="2"/>
      <c r="G450" s="2"/>
      <c r="H450" s="2"/>
      <c r="I450" s="2"/>
    </row>
    <row r="451" spans="1:9" ht="12.75">
      <c r="A451" s="9"/>
      <c r="B451" s="1"/>
      <c r="C451" s="1"/>
      <c r="D451" s="93"/>
      <c r="E451" s="93"/>
      <c r="F451" s="2"/>
      <c r="G451" s="2"/>
      <c r="H451" s="2"/>
      <c r="I451" s="2"/>
    </row>
    <row r="452" spans="1:9" ht="12.75">
      <c r="A452" s="9"/>
      <c r="B452" s="1"/>
      <c r="C452" s="1"/>
      <c r="D452" s="93"/>
      <c r="E452" s="93"/>
      <c r="F452" s="2"/>
      <c r="G452" s="2"/>
      <c r="H452" s="2"/>
      <c r="I452" s="2"/>
    </row>
    <row r="453" spans="1:9" ht="12.75">
      <c r="A453" s="9"/>
      <c r="B453" s="1"/>
      <c r="C453" s="1"/>
      <c r="D453" s="93"/>
      <c r="E453" s="93"/>
      <c r="F453" s="2"/>
      <c r="G453" s="2"/>
      <c r="H453" s="2"/>
      <c r="I453" s="2"/>
    </row>
    <row r="454" spans="1:9" ht="12.75">
      <c r="A454" s="9"/>
      <c r="B454" s="1"/>
      <c r="C454" s="1"/>
      <c r="D454" s="93"/>
      <c r="E454" s="93"/>
      <c r="F454" s="2"/>
      <c r="G454" s="2"/>
      <c r="H454" s="2"/>
      <c r="I454" s="2"/>
    </row>
    <row r="455" spans="1:9" ht="12.75">
      <c r="A455" s="9"/>
      <c r="B455" s="1"/>
      <c r="C455" s="1"/>
      <c r="D455" s="93"/>
      <c r="E455" s="93"/>
      <c r="F455" s="2"/>
      <c r="G455" s="2"/>
      <c r="H455" s="2"/>
      <c r="I455" s="2"/>
    </row>
    <row r="456" spans="1:9" ht="12.75">
      <c r="A456" s="9"/>
      <c r="B456" s="1"/>
      <c r="C456" s="1"/>
      <c r="D456" s="93"/>
      <c r="E456" s="93"/>
      <c r="F456" s="2"/>
      <c r="G456" s="2"/>
      <c r="H456" s="2"/>
      <c r="I456" s="2"/>
    </row>
    <row r="457" spans="1:9" ht="12.75">
      <c r="A457" s="9"/>
      <c r="B457" s="1"/>
      <c r="C457" s="1"/>
      <c r="D457" s="93"/>
      <c r="E457" s="93"/>
      <c r="F457" s="2"/>
      <c r="G457" s="2"/>
      <c r="H457" s="2"/>
      <c r="I457" s="2"/>
    </row>
    <row r="458" spans="1:9" ht="12.75">
      <c r="A458" s="9"/>
      <c r="B458" s="1"/>
      <c r="C458" s="1"/>
      <c r="D458" s="93"/>
      <c r="E458" s="93"/>
      <c r="F458" s="2"/>
      <c r="G458" s="2"/>
      <c r="H458" s="2"/>
      <c r="I458" s="2"/>
    </row>
    <row r="459" spans="1:9" ht="12.75">
      <c r="A459" s="9"/>
      <c r="B459" s="1"/>
      <c r="C459" s="1"/>
      <c r="D459" s="93"/>
      <c r="E459" s="93"/>
      <c r="F459" s="2"/>
      <c r="G459" s="2"/>
      <c r="H459" s="2"/>
      <c r="I459" s="2"/>
    </row>
    <row r="460" spans="1:9" ht="12.75">
      <c r="A460" s="9"/>
      <c r="B460" s="1"/>
      <c r="C460" s="1"/>
      <c r="D460" s="93"/>
      <c r="E460" s="93"/>
      <c r="F460" s="2"/>
      <c r="G460" s="2"/>
      <c r="H460" s="2"/>
      <c r="I460" s="2"/>
    </row>
    <row r="461" spans="1:9" ht="12.75">
      <c r="A461" s="9"/>
      <c r="B461" s="1"/>
      <c r="C461" s="1"/>
      <c r="D461" s="93"/>
      <c r="E461" s="93"/>
      <c r="F461" s="2"/>
      <c r="G461" s="2"/>
      <c r="H461" s="2"/>
      <c r="I461" s="2"/>
    </row>
    <row r="462" spans="1:9" ht="12.75">
      <c r="A462" s="9"/>
      <c r="B462" s="1"/>
      <c r="C462" s="1"/>
      <c r="D462" s="93"/>
      <c r="E462" s="93"/>
      <c r="F462" s="2"/>
      <c r="G462" s="2"/>
      <c r="H462" s="2"/>
      <c r="I462" s="2"/>
    </row>
    <row r="463" spans="1:9" ht="12.75">
      <c r="A463" s="9"/>
      <c r="B463" s="1"/>
      <c r="C463" s="1"/>
      <c r="D463" s="93"/>
      <c r="E463" s="93"/>
      <c r="F463" s="2"/>
      <c r="G463" s="2"/>
      <c r="H463" s="2"/>
      <c r="I463" s="2"/>
    </row>
    <row r="464" spans="1:9" ht="12.75">
      <c r="A464" s="9"/>
      <c r="B464" s="1"/>
      <c r="C464" s="1"/>
      <c r="D464" s="93"/>
      <c r="E464" s="93"/>
      <c r="F464" s="2"/>
      <c r="G464" s="2"/>
      <c r="H464" s="2"/>
      <c r="I464" s="2"/>
    </row>
    <row r="465" spans="1:9" ht="12.75">
      <c r="A465" s="9"/>
      <c r="B465" s="1"/>
      <c r="C465" s="1"/>
      <c r="D465" s="93"/>
      <c r="E465" s="93"/>
      <c r="F465" s="2"/>
      <c r="G465" s="2"/>
      <c r="H465" s="2"/>
      <c r="I465" s="2"/>
    </row>
    <row r="466" spans="1:9" ht="12.75">
      <c r="A466" s="9"/>
      <c r="B466" s="1"/>
      <c r="C466" s="1"/>
      <c r="D466" s="93"/>
      <c r="E466" s="93"/>
      <c r="F466" s="2"/>
      <c r="G466" s="2"/>
      <c r="H466" s="2"/>
      <c r="I466" s="2"/>
    </row>
    <row r="467" spans="1:9" ht="12.75">
      <c r="A467" s="9"/>
      <c r="B467" s="1"/>
      <c r="C467" s="1"/>
      <c r="D467" s="93"/>
      <c r="E467" s="93"/>
      <c r="F467" s="2"/>
      <c r="G467" s="2"/>
      <c r="H467" s="2"/>
      <c r="I467" s="2"/>
    </row>
    <row r="468" spans="1:9" ht="12.75">
      <c r="A468" s="9"/>
      <c r="B468" s="1"/>
      <c r="C468" s="1"/>
      <c r="D468" s="93"/>
      <c r="E468" s="93"/>
      <c r="F468" s="2"/>
      <c r="G468" s="2"/>
      <c r="H468" s="2"/>
      <c r="I468" s="2"/>
    </row>
    <row r="469" spans="1:9" ht="12.75">
      <c r="A469" s="9"/>
      <c r="B469" s="1"/>
      <c r="C469" s="1"/>
      <c r="D469" s="93"/>
      <c r="E469" s="93"/>
      <c r="F469" s="2"/>
      <c r="G469" s="2"/>
      <c r="H469" s="2"/>
      <c r="I469" s="2"/>
    </row>
    <row r="470" spans="1:9" ht="12.75">
      <c r="A470" s="9"/>
      <c r="B470" s="1"/>
      <c r="C470" s="1"/>
      <c r="D470" s="93"/>
      <c r="E470" s="93"/>
      <c r="F470" s="2"/>
      <c r="G470" s="2"/>
      <c r="H470" s="2"/>
      <c r="I470" s="2"/>
    </row>
    <row r="471" spans="1:9" ht="12.75">
      <c r="A471" s="9"/>
      <c r="B471" s="1"/>
      <c r="C471" s="1"/>
      <c r="D471" s="93"/>
      <c r="E471" s="93"/>
      <c r="F471" s="2"/>
      <c r="G471" s="2"/>
      <c r="H471" s="2"/>
      <c r="I471" s="2"/>
    </row>
    <row r="472" spans="1:9" ht="12.75">
      <c r="A472" s="9"/>
      <c r="B472" s="1"/>
      <c r="C472" s="1"/>
      <c r="D472" s="93"/>
      <c r="E472" s="93"/>
      <c r="F472" s="2"/>
      <c r="G472" s="2"/>
      <c r="H472" s="2"/>
      <c r="I472" s="2"/>
    </row>
    <row r="473" spans="1:9" ht="12.75">
      <c r="A473" s="9"/>
      <c r="B473" s="1"/>
      <c r="C473" s="1"/>
      <c r="D473" s="93"/>
      <c r="E473" s="93"/>
      <c r="F473" s="2"/>
      <c r="G473" s="2"/>
      <c r="H473" s="2"/>
      <c r="I473" s="2"/>
    </row>
    <row r="474" spans="1:9" ht="12.75">
      <c r="A474" s="9"/>
      <c r="B474" s="1"/>
      <c r="C474" s="1"/>
      <c r="D474" s="93"/>
      <c r="E474" s="93"/>
      <c r="F474" s="2"/>
      <c r="G474" s="2"/>
      <c r="H474" s="2"/>
      <c r="I474" s="2"/>
    </row>
    <row r="475" spans="1:9" ht="12.75">
      <c r="A475" s="9"/>
      <c r="B475" s="1"/>
      <c r="C475" s="1"/>
      <c r="D475" s="93"/>
      <c r="E475" s="93"/>
      <c r="F475" s="2"/>
      <c r="G475" s="2"/>
      <c r="H475" s="2"/>
      <c r="I475" s="2"/>
    </row>
    <row r="476" spans="1:9" ht="12.75">
      <c r="A476" s="9"/>
      <c r="B476" s="1"/>
      <c r="C476" s="1"/>
      <c r="D476" s="93"/>
      <c r="E476" s="93"/>
      <c r="F476" s="2"/>
      <c r="G476" s="2"/>
      <c r="H476" s="2"/>
      <c r="I476" s="2"/>
    </row>
    <row r="477" spans="1:9" ht="12.75">
      <c r="A477" s="9"/>
      <c r="B477" s="1"/>
      <c r="C477" s="1"/>
      <c r="D477" s="93"/>
      <c r="E477" s="93"/>
      <c r="F477" s="2"/>
      <c r="G477" s="2"/>
      <c r="H477" s="2"/>
      <c r="I477" s="2"/>
    </row>
    <row r="478" spans="1:9" ht="12.75">
      <c r="A478" s="9"/>
      <c r="B478" s="1"/>
      <c r="C478" s="1"/>
      <c r="D478" s="93"/>
      <c r="E478" s="93"/>
      <c r="F478" s="2"/>
      <c r="G478" s="2"/>
      <c r="H478" s="2"/>
      <c r="I478" s="2"/>
    </row>
    <row r="479" spans="1:9" ht="12.75">
      <c r="A479" s="9"/>
      <c r="B479" s="1"/>
      <c r="C479" s="1"/>
      <c r="D479" s="93"/>
      <c r="E479" s="93"/>
      <c r="F479" s="2"/>
      <c r="G479" s="2"/>
      <c r="H479" s="2"/>
      <c r="I479" s="2"/>
    </row>
    <row r="480" spans="1:9" ht="12.75">
      <c r="A480" s="9"/>
      <c r="B480" s="1"/>
      <c r="C480" s="1"/>
      <c r="D480" s="93"/>
      <c r="E480" s="93"/>
      <c r="F480" s="2"/>
      <c r="G480" s="2"/>
      <c r="H480" s="2"/>
      <c r="I480" s="2"/>
    </row>
    <row r="481" spans="1:9" ht="12.75">
      <c r="A481" s="9"/>
      <c r="B481" s="1"/>
      <c r="C481" s="1"/>
      <c r="D481" s="93"/>
      <c r="E481" s="93"/>
      <c r="F481" s="2"/>
      <c r="G481" s="2"/>
      <c r="H481" s="2"/>
      <c r="I481" s="2"/>
    </row>
    <row r="482" spans="1:9" ht="12.75">
      <c r="A482" s="9"/>
      <c r="B482" s="1"/>
      <c r="C482" s="1"/>
      <c r="D482" s="93"/>
      <c r="E482" s="93"/>
      <c r="F482" s="2"/>
      <c r="G482" s="2"/>
      <c r="H482" s="2"/>
      <c r="I482" s="2"/>
    </row>
    <row r="483" spans="1:9" ht="12.75">
      <c r="A483" s="9"/>
      <c r="B483" s="1"/>
      <c r="C483" s="1"/>
      <c r="D483" s="93"/>
      <c r="E483" s="93"/>
      <c r="F483" s="2"/>
      <c r="G483" s="2"/>
      <c r="H483" s="2"/>
      <c r="I483" s="2"/>
    </row>
    <row r="484" spans="1:9" ht="12.75">
      <c r="A484" s="9"/>
      <c r="B484" s="1"/>
      <c r="C484" s="1"/>
      <c r="D484" s="93"/>
      <c r="E484" s="93"/>
      <c r="F484" s="2"/>
      <c r="G484" s="2"/>
      <c r="H484" s="2"/>
      <c r="I484" s="2"/>
    </row>
    <row r="485" spans="1:9" ht="12.75">
      <c r="A485" s="9"/>
      <c r="B485" s="1"/>
      <c r="C485" s="1"/>
      <c r="D485" s="93"/>
      <c r="E485" s="93"/>
      <c r="F485" s="2"/>
      <c r="G485" s="2"/>
      <c r="H485" s="2"/>
      <c r="I485" s="2"/>
    </row>
    <row r="486" spans="1:9" ht="12.75">
      <c r="A486" s="9"/>
      <c r="B486" s="1"/>
      <c r="C486" s="1"/>
      <c r="D486" s="93"/>
      <c r="E486" s="93"/>
      <c r="F486" s="2"/>
      <c r="G486" s="2"/>
      <c r="H486" s="2"/>
      <c r="I486" s="2"/>
    </row>
    <row r="487" spans="1:9" ht="12.75">
      <c r="A487" s="9"/>
      <c r="B487" s="1"/>
      <c r="C487" s="1"/>
      <c r="D487" s="93"/>
      <c r="E487" s="93"/>
      <c r="F487" s="2"/>
      <c r="G487" s="2"/>
      <c r="H487" s="2"/>
      <c r="I487" s="2"/>
    </row>
    <row r="488" spans="1:9" ht="12.75">
      <c r="A488" s="9"/>
      <c r="B488" s="1"/>
      <c r="C488" s="1"/>
      <c r="D488" s="93"/>
      <c r="E488" s="93"/>
      <c r="F488" s="2"/>
      <c r="G488" s="2"/>
      <c r="H488" s="2"/>
      <c r="I488" s="2"/>
    </row>
    <row r="489" spans="1:9" ht="12.75">
      <c r="A489" s="9"/>
      <c r="B489" s="1"/>
      <c r="C489" s="1"/>
      <c r="D489" s="93"/>
      <c r="E489" s="93"/>
      <c r="F489" s="2"/>
      <c r="G489" s="2"/>
      <c r="H489" s="2"/>
      <c r="I489" s="2"/>
    </row>
    <row r="490" spans="1:9" ht="12.75">
      <c r="A490" s="9"/>
      <c r="B490" s="1"/>
      <c r="C490" s="1"/>
      <c r="D490" s="93"/>
      <c r="E490" s="93"/>
      <c r="F490" s="2"/>
      <c r="G490" s="2"/>
      <c r="H490" s="2"/>
      <c r="I490" s="2"/>
    </row>
    <row r="491" spans="1:9" ht="12.75">
      <c r="A491" s="9"/>
      <c r="B491" s="1"/>
      <c r="C491" s="1"/>
      <c r="D491" s="93"/>
      <c r="E491" s="93"/>
      <c r="F491" s="2"/>
      <c r="G491" s="2"/>
      <c r="H491" s="2"/>
      <c r="I491" s="2"/>
    </row>
    <row r="492" spans="1:9" ht="12.75">
      <c r="A492" s="9"/>
      <c r="B492" s="1"/>
      <c r="C492" s="1"/>
      <c r="D492" s="93"/>
      <c r="E492" s="93"/>
      <c r="F492" s="2"/>
      <c r="G492" s="2"/>
      <c r="H492" s="2"/>
      <c r="I492" s="2"/>
    </row>
    <row r="493" spans="1:9" ht="12.75">
      <c r="A493" s="9"/>
      <c r="B493" s="1"/>
      <c r="C493" s="1"/>
      <c r="D493" s="93"/>
      <c r="E493" s="93"/>
      <c r="F493" s="2"/>
      <c r="G493" s="2"/>
      <c r="H493" s="2"/>
      <c r="I493" s="2"/>
    </row>
    <row r="494" spans="1:9" ht="12.75">
      <c r="A494" s="9"/>
      <c r="B494" s="1"/>
      <c r="C494" s="1"/>
      <c r="D494" s="93"/>
      <c r="E494" s="93"/>
      <c r="F494" s="2"/>
      <c r="G494" s="2"/>
      <c r="H494" s="2"/>
      <c r="I494" s="2"/>
    </row>
    <row r="495" spans="1:9" ht="12.75">
      <c r="A495" s="9"/>
      <c r="B495" s="1"/>
      <c r="C495" s="1"/>
      <c r="D495" s="93"/>
      <c r="E495" s="93"/>
      <c r="F495" s="2"/>
      <c r="G495" s="2"/>
      <c r="H495" s="2"/>
      <c r="I495" s="2"/>
    </row>
    <row r="496" spans="1:9" ht="12.75">
      <c r="A496" s="9"/>
      <c r="B496" s="1"/>
      <c r="C496" s="1"/>
      <c r="D496" s="93"/>
      <c r="E496" s="93"/>
      <c r="F496" s="2"/>
      <c r="G496" s="2"/>
      <c r="H496" s="2"/>
      <c r="I496" s="2"/>
    </row>
    <row r="497" spans="1:9" ht="12.75">
      <c r="A497" s="9"/>
      <c r="B497" s="1"/>
      <c r="C497" s="1"/>
      <c r="D497" s="93"/>
      <c r="E497" s="93"/>
      <c r="F497" s="2"/>
      <c r="G497" s="2"/>
      <c r="H497" s="2"/>
      <c r="I497" s="2"/>
    </row>
    <row r="498" spans="1:9" ht="12.75">
      <c r="A498" s="9"/>
      <c r="B498" s="1"/>
      <c r="C498" s="1"/>
      <c r="D498" s="93"/>
      <c r="E498" s="93"/>
      <c r="F498" s="2"/>
      <c r="G498" s="2"/>
      <c r="H498" s="2"/>
      <c r="I498" s="2"/>
    </row>
    <row r="499" spans="1:9" ht="12.75">
      <c r="A499" s="9"/>
      <c r="B499" s="1"/>
      <c r="C499" s="1"/>
      <c r="D499" s="93"/>
      <c r="E499" s="93"/>
      <c r="F499" s="2"/>
      <c r="G499" s="2"/>
      <c r="H499" s="2"/>
      <c r="I499" s="2"/>
    </row>
    <row r="500" spans="1:9" ht="12.75">
      <c r="A500" s="9"/>
      <c r="B500" s="1"/>
      <c r="C500" s="1"/>
      <c r="D500" s="93"/>
      <c r="E500" s="93"/>
      <c r="F500" s="2"/>
      <c r="G500" s="2"/>
      <c r="H500" s="2"/>
      <c r="I500" s="2"/>
    </row>
    <row r="501" spans="1:9" ht="12.75">
      <c r="A501" s="9"/>
      <c r="B501" s="1"/>
      <c r="C501" s="1"/>
      <c r="D501" s="93"/>
      <c r="E501" s="93"/>
      <c r="F501" s="2"/>
      <c r="G501" s="2"/>
      <c r="H501" s="2"/>
      <c r="I501" s="2"/>
    </row>
    <row r="502" spans="1:9" ht="12.75">
      <c r="A502" s="9"/>
      <c r="B502" s="1"/>
      <c r="C502" s="1"/>
      <c r="D502" s="93"/>
      <c r="E502" s="93"/>
      <c r="F502" s="2"/>
      <c r="G502" s="2"/>
      <c r="H502" s="2"/>
      <c r="I502" s="2"/>
    </row>
    <row r="503" spans="1:9" ht="12.75">
      <c r="A503" s="9"/>
      <c r="B503" s="1"/>
      <c r="C503" s="1"/>
      <c r="D503" s="93"/>
      <c r="E503" s="93"/>
      <c r="F503" s="2"/>
      <c r="G503" s="2"/>
      <c r="H503" s="2"/>
      <c r="I503" s="2"/>
    </row>
    <row r="504" spans="1:9" ht="12.75">
      <c r="A504" s="9"/>
      <c r="B504" s="1"/>
      <c r="C504" s="1"/>
      <c r="D504" s="93"/>
      <c r="E504" s="93"/>
      <c r="F504" s="2"/>
      <c r="G504" s="2"/>
      <c r="H504" s="2"/>
      <c r="I504" s="2"/>
    </row>
    <row r="505" spans="1:9" ht="12.75">
      <c r="A505" s="9"/>
      <c r="B505" s="1"/>
      <c r="C505" s="1"/>
      <c r="D505" s="93"/>
      <c r="E505" s="93"/>
      <c r="F505" s="2"/>
      <c r="G505" s="2"/>
      <c r="H505" s="2"/>
      <c r="I505" s="2"/>
    </row>
    <row r="506" spans="1:9" ht="12.75">
      <c r="A506" s="9"/>
      <c r="B506" s="1"/>
      <c r="C506" s="1"/>
      <c r="D506" s="93"/>
      <c r="E506" s="93"/>
      <c r="F506" s="2"/>
      <c r="G506" s="2"/>
      <c r="H506" s="2"/>
      <c r="I506" s="2"/>
    </row>
    <row r="507" spans="1:9" ht="12.75">
      <c r="A507" s="9"/>
      <c r="B507" s="1"/>
      <c r="C507" s="1"/>
      <c r="D507" s="93"/>
      <c r="E507" s="93"/>
      <c r="F507" s="2"/>
      <c r="G507" s="2"/>
      <c r="H507" s="2"/>
      <c r="I507" s="2"/>
    </row>
    <row r="508" spans="1:9" ht="12.75">
      <c r="A508" s="9"/>
      <c r="B508" s="1"/>
      <c r="C508" s="1"/>
      <c r="D508" s="93"/>
      <c r="E508" s="93"/>
      <c r="F508" s="2"/>
      <c r="G508" s="2"/>
      <c r="H508" s="2"/>
      <c r="I508" s="2"/>
    </row>
    <row r="509" spans="1:9" ht="12.75">
      <c r="A509" s="9"/>
      <c r="B509" s="1"/>
      <c r="C509" s="1"/>
      <c r="D509" s="93"/>
      <c r="E509" s="93"/>
      <c r="F509" s="2"/>
      <c r="G509" s="2"/>
      <c r="H509" s="2"/>
      <c r="I509" s="2"/>
    </row>
    <row r="510" spans="1:9" ht="12.75">
      <c r="A510" s="9"/>
      <c r="B510" s="1"/>
      <c r="C510" s="1"/>
      <c r="D510" s="93"/>
      <c r="E510" s="93"/>
      <c r="F510" s="2"/>
      <c r="G510" s="2"/>
      <c r="H510" s="2"/>
      <c r="I510" s="2"/>
    </row>
    <row r="511" spans="1:9" ht="12.75">
      <c r="A511" s="9"/>
      <c r="B511" s="1"/>
      <c r="C511" s="1"/>
      <c r="D511" s="93"/>
      <c r="E511" s="93"/>
      <c r="F511" s="2"/>
      <c r="G511" s="2"/>
      <c r="H511" s="2"/>
      <c r="I511" s="2"/>
    </row>
    <row r="512" spans="1:9" ht="12.75">
      <c r="A512" s="9"/>
      <c r="B512" s="1"/>
      <c r="C512" s="1"/>
      <c r="D512" s="93"/>
      <c r="E512" s="93"/>
      <c r="F512" s="2"/>
      <c r="G512" s="2"/>
      <c r="H512" s="2"/>
      <c r="I512" s="2"/>
    </row>
    <row r="513" spans="1:9" ht="12.75">
      <c r="A513" s="9"/>
      <c r="B513" s="1"/>
      <c r="C513" s="1"/>
      <c r="D513" s="93"/>
      <c r="E513" s="93"/>
      <c r="F513" s="2"/>
      <c r="G513" s="2"/>
      <c r="H513" s="2"/>
      <c r="I513" s="2"/>
    </row>
    <row r="514" spans="1:9" ht="12.75">
      <c r="A514" s="9"/>
      <c r="B514" s="1"/>
      <c r="C514" s="1"/>
      <c r="D514" s="93"/>
      <c r="E514" s="93"/>
      <c r="F514" s="2"/>
      <c r="G514" s="2"/>
      <c r="H514" s="2"/>
      <c r="I514" s="2"/>
    </row>
    <row r="515" spans="1:9" ht="12.75">
      <c r="A515" s="9"/>
      <c r="B515" s="1"/>
      <c r="C515" s="1"/>
      <c r="D515" s="93"/>
      <c r="E515" s="93"/>
      <c r="F515" s="2"/>
      <c r="G515" s="2"/>
      <c r="H515" s="2"/>
      <c r="I515" s="2"/>
    </row>
    <row r="516" spans="1:9" ht="12.75">
      <c r="A516" s="9"/>
      <c r="B516" s="1"/>
      <c r="C516" s="1"/>
      <c r="D516" s="93"/>
      <c r="E516" s="93"/>
      <c r="F516" s="2"/>
      <c r="G516" s="2"/>
      <c r="H516" s="2"/>
      <c r="I516" s="2"/>
    </row>
    <row r="517" spans="1:9" ht="12.75">
      <c r="A517" s="9"/>
      <c r="B517" s="1"/>
      <c r="C517" s="1"/>
      <c r="D517" s="93"/>
      <c r="E517" s="93"/>
      <c r="F517" s="2"/>
      <c r="G517" s="2"/>
      <c r="H517" s="2"/>
      <c r="I517" s="2"/>
    </row>
    <row r="518" spans="1:9" ht="12.75">
      <c r="A518" s="9"/>
      <c r="B518" s="1"/>
      <c r="C518" s="1"/>
      <c r="D518" s="93"/>
      <c r="E518" s="93"/>
      <c r="F518" s="2"/>
      <c r="G518" s="2"/>
      <c r="H518" s="2"/>
      <c r="I518" s="2"/>
    </row>
    <row r="519" spans="1:9" ht="12.75">
      <c r="A519" s="9"/>
      <c r="B519" s="1"/>
      <c r="C519" s="1"/>
      <c r="D519" s="93"/>
      <c r="E519" s="93"/>
      <c r="F519" s="2"/>
      <c r="G519" s="2"/>
      <c r="H519" s="2"/>
      <c r="I519" s="2"/>
    </row>
    <row r="520" spans="1:9" ht="12.75">
      <c r="A520" s="9"/>
      <c r="B520" s="1"/>
      <c r="C520" s="1"/>
      <c r="D520" s="93"/>
      <c r="E520" s="93"/>
      <c r="F520" s="2"/>
      <c r="G520" s="2"/>
      <c r="H520" s="2"/>
      <c r="I520" s="2"/>
    </row>
    <row r="521" spans="1:9" ht="12.75">
      <c r="A521" s="9"/>
      <c r="B521" s="1"/>
      <c r="C521" s="1"/>
      <c r="D521" s="93"/>
      <c r="E521" s="93"/>
      <c r="F521" s="2"/>
      <c r="G521" s="2"/>
      <c r="H521" s="2"/>
      <c r="I521" s="2"/>
    </row>
    <row r="522" spans="1:9" ht="12.75">
      <c r="A522" s="9"/>
      <c r="B522" s="1"/>
      <c r="C522" s="1"/>
      <c r="D522" s="93"/>
      <c r="E522" s="93"/>
      <c r="F522" s="2"/>
      <c r="G522" s="2"/>
      <c r="H522" s="2"/>
      <c r="I522" s="2"/>
    </row>
    <row r="523" spans="1:9" ht="12.75">
      <c r="A523" s="9"/>
      <c r="B523" s="1"/>
      <c r="C523" s="1"/>
      <c r="D523" s="93"/>
      <c r="E523" s="93"/>
      <c r="F523" s="2"/>
      <c r="G523" s="2"/>
      <c r="H523" s="2"/>
      <c r="I523" s="2"/>
    </row>
    <row r="524" spans="1:9" ht="12.75">
      <c r="A524" s="9"/>
      <c r="B524" s="1"/>
      <c r="C524" s="1"/>
      <c r="D524" s="93"/>
      <c r="E524" s="93"/>
      <c r="F524" s="2"/>
      <c r="G524" s="2"/>
      <c r="H524" s="2"/>
      <c r="I524" s="2"/>
    </row>
    <row r="525" spans="1:9" ht="12.75">
      <c r="A525" s="9"/>
      <c r="B525" s="1"/>
      <c r="C525" s="1"/>
      <c r="D525" s="93"/>
      <c r="E525" s="93"/>
      <c r="F525" s="2"/>
      <c r="G525" s="2"/>
      <c r="H525" s="2"/>
      <c r="I525" s="2"/>
    </row>
    <row r="526" spans="1:9" ht="12.75">
      <c r="A526" s="9"/>
      <c r="B526" s="1"/>
      <c r="C526" s="1"/>
      <c r="D526" s="93"/>
      <c r="E526" s="93"/>
      <c r="F526" s="2"/>
      <c r="G526" s="2"/>
      <c r="H526" s="2"/>
      <c r="I526" s="2"/>
    </row>
    <row r="527" spans="1:9" ht="12.75">
      <c r="A527" s="9"/>
      <c r="B527" s="1"/>
      <c r="C527" s="1"/>
      <c r="D527" s="93"/>
      <c r="E527" s="93"/>
      <c r="F527" s="2"/>
      <c r="G527" s="2"/>
      <c r="H527" s="2"/>
      <c r="I527" s="2"/>
    </row>
    <row r="528" spans="1:9" ht="12.75">
      <c r="A528" s="9"/>
      <c r="B528" s="1"/>
      <c r="C528" s="1"/>
      <c r="D528" s="93"/>
      <c r="E528" s="93"/>
      <c r="F528" s="2"/>
      <c r="G528" s="2"/>
      <c r="H528" s="2"/>
      <c r="I528" s="2"/>
    </row>
    <row r="529" spans="1:9" ht="12.75">
      <c r="A529" s="9"/>
      <c r="B529" s="1"/>
      <c r="C529" s="1"/>
      <c r="D529" s="93"/>
      <c r="E529" s="93"/>
      <c r="F529" s="2"/>
      <c r="G529" s="2"/>
      <c r="H529" s="2"/>
      <c r="I529" s="2"/>
    </row>
    <row r="530" spans="1:9" ht="12.75">
      <c r="A530" s="9"/>
      <c r="B530" s="1"/>
      <c r="C530" s="1"/>
      <c r="D530" s="93"/>
      <c r="E530" s="93"/>
      <c r="F530" s="2"/>
      <c r="G530" s="2"/>
      <c r="H530" s="2"/>
      <c r="I530" s="2"/>
    </row>
    <row r="531" spans="1:9" ht="12.75">
      <c r="A531" s="9"/>
      <c r="B531" s="1"/>
      <c r="C531" s="1"/>
      <c r="D531" s="93"/>
      <c r="E531" s="93"/>
      <c r="F531" s="2"/>
      <c r="G531" s="2"/>
      <c r="H531" s="2"/>
      <c r="I531" s="2"/>
    </row>
    <row r="532" spans="1:9" ht="12.75">
      <c r="A532" s="9"/>
      <c r="B532" s="1"/>
      <c r="C532" s="1"/>
      <c r="D532" s="93"/>
      <c r="E532" s="93"/>
      <c r="F532" s="2"/>
      <c r="G532" s="2"/>
      <c r="H532" s="2"/>
      <c r="I532" s="2"/>
    </row>
    <row r="533" spans="1:9" ht="12.75">
      <c r="A533" s="9"/>
      <c r="B533" s="1"/>
      <c r="C533" s="1"/>
      <c r="D533" s="93"/>
      <c r="E533" s="93"/>
      <c r="F533" s="2"/>
      <c r="G533" s="2"/>
      <c r="H533" s="2"/>
      <c r="I533" s="2"/>
    </row>
    <row r="534" spans="1:9" ht="12.75">
      <c r="A534" s="9"/>
      <c r="B534" s="1"/>
      <c r="C534" s="1"/>
      <c r="D534" s="93"/>
      <c r="E534" s="93"/>
      <c r="F534" s="2"/>
      <c r="G534" s="2"/>
      <c r="H534" s="2"/>
      <c r="I534" s="2"/>
    </row>
    <row r="535" spans="1:9" ht="12.75">
      <c r="A535" s="9"/>
      <c r="B535" s="1"/>
      <c r="C535" s="1"/>
      <c r="D535" s="93"/>
      <c r="E535" s="93"/>
      <c r="F535" s="2"/>
      <c r="G535" s="2"/>
      <c r="H535" s="2"/>
      <c r="I535" s="2"/>
    </row>
    <row r="536" spans="1:9" ht="12.75">
      <c r="A536" s="9"/>
      <c r="B536" s="1"/>
      <c r="C536" s="1"/>
      <c r="D536" s="93"/>
      <c r="E536" s="93"/>
      <c r="F536" s="2"/>
      <c r="G536" s="2"/>
      <c r="H536" s="2"/>
      <c r="I536" s="2"/>
    </row>
    <row r="537" spans="1:9" ht="12.75">
      <c r="A537" s="9"/>
      <c r="B537" s="1"/>
      <c r="C537" s="1"/>
      <c r="D537" s="93"/>
      <c r="E537" s="93"/>
      <c r="F537" s="2"/>
      <c r="G537" s="2"/>
      <c r="H537" s="2"/>
      <c r="I537" s="2"/>
    </row>
    <row r="538" spans="1:9" ht="12.75">
      <c r="A538" s="9"/>
      <c r="B538" s="1"/>
      <c r="C538" s="1"/>
      <c r="D538" s="93"/>
      <c r="E538" s="93"/>
      <c r="F538" s="2"/>
      <c r="G538" s="2"/>
      <c r="H538" s="2"/>
      <c r="I538" s="2"/>
    </row>
    <row r="539" spans="1:9" ht="12.75">
      <c r="A539" s="9"/>
      <c r="B539" s="1"/>
      <c r="C539" s="1"/>
      <c r="D539" s="93"/>
      <c r="E539" s="93"/>
      <c r="F539" s="2"/>
      <c r="G539" s="2"/>
      <c r="H539" s="2"/>
      <c r="I539" s="2"/>
    </row>
    <row r="540" spans="1:9" ht="12.75">
      <c r="A540" s="9"/>
      <c r="B540" s="1"/>
      <c r="C540" s="1"/>
      <c r="D540" s="93"/>
      <c r="E540" s="93"/>
      <c r="F540" s="2"/>
      <c r="G540" s="2"/>
      <c r="H540" s="2"/>
      <c r="I540" s="2"/>
    </row>
    <row r="541" spans="1:9" ht="12.75">
      <c r="A541" s="9"/>
      <c r="B541" s="1"/>
      <c r="C541" s="1"/>
      <c r="D541" s="93"/>
      <c r="E541" s="93"/>
      <c r="F541" s="2"/>
      <c r="G541" s="2"/>
      <c r="H541" s="2"/>
      <c r="I541" s="2"/>
    </row>
    <row r="542" spans="1:9" ht="12.75">
      <c r="A542" s="9"/>
      <c r="B542" s="1"/>
      <c r="C542" s="1"/>
      <c r="D542" s="93"/>
      <c r="E542" s="93"/>
      <c r="F542" s="2"/>
      <c r="G542" s="2"/>
      <c r="H542" s="2"/>
      <c r="I542" s="2"/>
    </row>
    <row r="543" spans="1:9" ht="12.75">
      <c r="A543" s="9"/>
      <c r="B543" s="1"/>
      <c r="C543" s="1"/>
      <c r="D543" s="93"/>
      <c r="E543" s="93"/>
      <c r="F543" s="2"/>
      <c r="G543" s="2"/>
      <c r="H543" s="2"/>
      <c r="I543" s="2"/>
    </row>
    <row r="544" spans="1:9" ht="12.75">
      <c r="A544" s="9"/>
      <c r="B544" s="1"/>
      <c r="C544" s="1"/>
      <c r="D544" s="93"/>
      <c r="E544" s="93"/>
      <c r="F544" s="2"/>
      <c r="G544" s="2"/>
      <c r="H544" s="2"/>
      <c r="I544" s="2"/>
    </row>
    <row r="545" spans="1:9" ht="12.75">
      <c r="A545" s="9"/>
      <c r="B545" s="1"/>
      <c r="C545" s="1"/>
      <c r="D545" s="93"/>
      <c r="E545" s="93"/>
      <c r="F545" s="2"/>
      <c r="G545" s="2"/>
      <c r="H545" s="2"/>
      <c r="I545" s="2"/>
    </row>
    <row r="546" spans="1:9" ht="12.75">
      <c r="A546" s="9"/>
      <c r="B546" s="1"/>
      <c r="C546" s="1"/>
      <c r="D546" s="93"/>
      <c r="E546" s="93"/>
      <c r="F546" s="2"/>
      <c r="G546" s="2"/>
      <c r="H546" s="2"/>
      <c r="I546" s="2"/>
    </row>
    <row r="547" spans="1:9" ht="12.75">
      <c r="A547" s="9"/>
      <c r="B547" s="1"/>
      <c r="C547" s="1"/>
      <c r="D547" s="93"/>
      <c r="E547" s="93"/>
      <c r="F547" s="2"/>
      <c r="G547" s="2"/>
      <c r="H547" s="2"/>
      <c r="I547" s="2"/>
    </row>
    <row r="548" spans="1:9" ht="12.75">
      <c r="A548" s="9"/>
      <c r="B548" s="1"/>
      <c r="C548" s="1"/>
      <c r="D548" s="93"/>
      <c r="E548" s="93"/>
      <c r="F548" s="2"/>
      <c r="G548" s="2"/>
      <c r="H548" s="2"/>
      <c r="I548" s="2"/>
    </row>
    <row r="549" spans="1:9" ht="12.75">
      <c r="A549" s="9"/>
      <c r="B549" s="1"/>
      <c r="C549" s="1"/>
      <c r="D549" s="93"/>
      <c r="E549" s="93"/>
      <c r="F549" s="2"/>
      <c r="G549" s="2"/>
      <c r="H549" s="2"/>
      <c r="I549" s="2"/>
    </row>
    <row r="550" spans="1:9" ht="12.75">
      <c r="A550" s="9"/>
      <c r="B550" s="1"/>
      <c r="C550" s="1"/>
      <c r="D550" s="93"/>
      <c r="E550" s="93"/>
      <c r="F550" s="2"/>
      <c r="G550" s="2"/>
      <c r="H550" s="2"/>
      <c r="I550" s="2"/>
    </row>
    <row r="551" spans="1:9" ht="12.75">
      <c r="A551" s="9"/>
      <c r="B551" s="1"/>
      <c r="C551" s="1"/>
      <c r="D551" s="93"/>
      <c r="E551" s="93"/>
      <c r="F551" s="2"/>
      <c r="G551" s="2"/>
      <c r="H551" s="2"/>
      <c r="I551" s="2"/>
    </row>
    <row r="552" spans="1:9" ht="12.75">
      <c r="A552" s="9"/>
      <c r="B552" s="1"/>
      <c r="C552" s="1"/>
      <c r="D552" s="93"/>
      <c r="E552" s="93"/>
      <c r="F552" s="2"/>
      <c r="G552" s="2"/>
      <c r="H552" s="2"/>
      <c r="I552" s="2"/>
    </row>
    <row r="553" spans="1:9" ht="12.75">
      <c r="A553" s="9"/>
      <c r="B553" s="1"/>
      <c r="C553" s="1"/>
      <c r="D553" s="93"/>
      <c r="E553" s="93"/>
      <c r="F553" s="2"/>
      <c r="G553" s="2"/>
      <c r="H553" s="2"/>
      <c r="I553" s="2"/>
    </row>
    <row r="554" spans="1:9" ht="12.75">
      <c r="A554" s="9"/>
      <c r="B554" s="1"/>
      <c r="C554" s="1"/>
      <c r="D554" s="93"/>
      <c r="E554" s="93"/>
      <c r="F554" s="2"/>
      <c r="G554" s="2"/>
      <c r="H554" s="2"/>
      <c r="I554" s="2"/>
    </row>
    <row r="555" spans="1:9" ht="12.75">
      <c r="A555" s="9"/>
      <c r="B555" s="1"/>
      <c r="C555" s="1"/>
      <c r="D555" s="93"/>
      <c r="E555" s="93"/>
      <c r="F555" s="2"/>
      <c r="G555" s="2"/>
      <c r="H555" s="2"/>
      <c r="I555" s="2"/>
    </row>
    <row r="556" spans="1:9" ht="12.75">
      <c r="A556" s="9"/>
      <c r="B556" s="1"/>
      <c r="C556" s="1"/>
      <c r="D556" s="93"/>
      <c r="E556" s="93"/>
      <c r="F556" s="2"/>
      <c r="G556" s="2"/>
      <c r="H556" s="2"/>
      <c r="I556" s="2"/>
    </row>
    <row r="557" spans="1:9" ht="12.75">
      <c r="A557" s="9"/>
      <c r="B557" s="1"/>
      <c r="C557" s="1"/>
      <c r="D557" s="93"/>
      <c r="E557" s="93"/>
      <c r="F557" s="2"/>
      <c r="G557" s="2"/>
      <c r="H557" s="2"/>
      <c r="I557" s="2"/>
    </row>
    <row r="558" spans="1:9" ht="12.75">
      <c r="A558" s="9"/>
      <c r="B558" s="1"/>
      <c r="C558" s="1"/>
      <c r="D558" s="93"/>
      <c r="E558" s="93"/>
      <c r="F558" s="2"/>
      <c r="G558" s="2"/>
      <c r="H558" s="2"/>
      <c r="I558" s="2"/>
    </row>
    <row r="559" spans="1:9" ht="12.75">
      <c r="A559" s="9"/>
      <c r="B559" s="1"/>
      <c r="C559" s="1"/>
      <c r="D559" s="93"/>
      <c r="E559" s="93"/>
      <c r="F559" s="2"/>
      <c r="G559" s="2"/>
      <c r="H559" s="2"/>
      <c r="I559" s="2"/>
    </row>
    <row r="560" spans="1:9" ht="12.75">
      <c r="A560" s="9"/>
      <c r="B560" s="1"/>
      <c r="C560" s="1"/>
      <c r="D560" s="93"/>
      <c r="E560" s="93"/>
      <c r="F560" s="2"/>
      <c r="G560" s="2"/>
      <c r="H560" s="2"/>
      <c r="I560" s="2"/>
    </row>
    <row r="561" spans="1:9" ht="12.75">
      <c r="A561" s="9"/>
      <c r="B561" s="1"/>
      <c r="C561" s="1"/>
      <c r="D561" s="93"/>
      <c r="E561" s="93"/>
      <c r="F561" s="2"/>
      <c r="G561" s="2"/>
      <c r="H561" s="2"/>
      <c r="I561" s="2"/>
    </row>
    <row r="562" spans="1:9" ht="12.75">
      <c r="A562" s="9"/>
      <c r="B562" s="1"/>
      <c r="C562" s="1"/>
      <c r="D562" s="93"/>
      <c r="E562" s="93"/>
      <c r="F562" s="2"/>
      <c r="G562" s="2"/>
      <c r="H562" s="2"/>
      <c r="I562" s="2"/>
    </row>
    <row r="563" spans="1:9" ht="12.75">
      <c r="A563" s="9"/>
      <c r="B563" s="1"/>
      <c r="C563" s="1"/>
      <c r="D563" s="93"/>
      <c r="E563" s="93"/>
      <c r="F563" s="2"/>
      <c r="G563" s="2"/>
      <c r="H563" s="2"/>
      <c r="I563" s="2"/>
    </row>
    <row r="564" spans="1:9" ht="12.75">
      <c r="A564" s="9"/>
      <c r="B564" s="1"/>
      <c r="C564" s="1"/>
      <c r="D564" s="93"/>
      <c r="E564" s="93"/>
      <c r="F564" s="2"/>
      <c r="G564" s="2"/>
      <c r="H564" s="2"/>
      <c r="I564" s="2"/>
    </row>
    <row r="565" spans="1:9" ht="12.75">
      <c r="A565" s="9"/>
      <c r="B565" s="1"/>
      <c r="C565" s="1"/>
      <c r="D565" s="93"/>
      <c r="E565" s="93"/>
      <c r="F565" s="2"/>
      <c r="G565" s="2"/>
      <c r="H565" s="2"/>
      <c r="I565" s="2"/>
    </row>
    <row r="566" spans="1:9" ht="12.75">
      <c r="A566" s="9"/>
      <c r="B566" s="1"/>
      <c r="C566" s="1"/>
      <c r="D566" s="93"/>
      <c r="E566" s="93"/>
      <c r="F566" s="2"/>
      <c r="G566" s="2"/>
      <c r="H566" s="2"/>
      <c r="I566" s="2"/>
    </row>
    <row r="567" spans="1:9" ht="12.75">
      <c r="A567" s="9"/>
      <c r="B567" s="1"/>
      <c r="C567" s="1"/>
      <c r="D567" s="93"/>
      <c r="E567" s="93"/>
      <c r="F567" s="2"/>
      <c r="G567" s="2"/>
      <c r="H567" s="2"/>
      <c r="I567" s="2"/>
    </row>
    <row r="568" spans="1:9" ht="12.75">
      <c r="A568" s="9"/>
      <c r="B568" s="1"/>
      <c r="C568" s="1"/>
      <c r="D568" s="93"/>
      <c r="E568" s="93"/>
      <c r="F568" s="2"/>
      <c r="G568" s="2"/>
      <c r="H568" s="2"/>
      <c r="I568" s="2"/>
    </row>
    <row r="569" spans="1:9" ht="12.75">
      <c r="A569" s="9"/>
      <c r="B569" s="1"/>
      <c r="C569" s="1"/>
      <c r="D569" s="93"/>
      <c r="E569" s="93"/>
      <c r="F569" s="2"/>
      <c r="G569" s="2"/>
      <c r="H569" s="2"/>
      <c r="I569" s="2"/>
    </row>
    <row r="570" spans="1:9" ht="12.75">
      <c r="A570" s="9"/>
      <c r="B570" s="1"/>
      <c r="C570" s="1"/>
      <c r="D570" s="93"/>
      <c r="E570" s="93"/>
      <c r="F570" s="2"/>
      <c r="G570" s="2"/>
      <c r="H570" s="2"/>
      <c r="I570" s="2"/>
    </row>
    <row r="571" spans="1:9" ht="12.75">
      <c r="A571" s="9"/>
      <c r="B571" s="1"/>
      <c r="C571" s="1"/>
      <c r="D571" s="93"/>
      <c r="E571" s="93"/>
      <c r="F571" s="2"/>
      <c r="G571" s="2"/>
      <c r="H571" s="2"/>
      <c r="I571" s="2"/>
    </row>
    <row r="572" spans="1:9" ht="12.75">
      <c r="A572" s="9"/>
      <c r="B572" s="1"/>
      <c r="C572" s="1"/>
      <c r="D572" s="93"/>
      <c r="E572" s="93"/>
      <c r="F572" s="2"/>
      <c r="G572" s="2"/>
      <c r="H572" s="2"/>
      <c r="I572" s="2"/>
    </row>
    <row r="573" spans="1:9" ht="12.75">
      <c r="A573" s="9"/>
      <c r="B573" s="1"/>
      <c r="C573" s="1"/>
      <c r="D573" s="93"/>
      <c r="E573" s="93"/>
      <c r="F573" s="2"/>
      <c r="G573" s="2"/>
      <c r="H573" s="2"/>
      <c r="I573" s="2"/>
    </row>
    <row r="574" spans="1:9" ht="12.75">
      <c r="A574" s="9"/>
      <c r="B574" s="1"/>
      <c r="C574" s="1"/>
      <c r="D574" s="93"/>
      <c r="E574" s="93"/>
      <c r="F574" s="2"/>
      <c r="G574" s="2"/>
      <c r="H574" s="2"/>
      <c r="I574" s="2"/>
    </row>
    <row r="575" spans="1:9" ht="12.75">
      <c r="A575" s="9"/>
      <c r="B575" s="1"/>
      <c r="C575" s="1"/>
      <c r="D575" s="93"/>
      <c r="E575" s="93"/>
      <c r="F575" s="2"/>
      <c r="G575" s="2"/>
      <c r="H575" s="2"/>
      <c r="I575" s="2"/>
    </row>
    <row r="576" spans="1:9" ht="12.75">
      <c r="A576" s="9"/>
      <c r="B576" s="1"/>
      <c r="C576" s="1"/>
      <c r="D576" s="93"/>
      <c r="E576" s="93"/>
      <c r="F576" s="2"/>
      <c r="G576" s="2"/>
      <c r="H576" s="2"/>
      <c r="I576" s="2"/>
    </row>
    <row r="577" spans="1:9" ht="12.75">
      <c r="A577" s="9"/>
      <c r="B577" s="1"/>
      <c r="C577" s="1"/>
      <c r="D577" s="93"/>
      <c r="E577" s="93"/>
      <c r="F577" s="2"/>
      <c r="G577" s="2"/>
      <c r="H577" s="2"/>
      <c r="I577" s="2"/>
    </row>
    <row r="578" spans="1:9" ht="12.75">
      <c r="A578" s="9"/>
      <c r="B578" s="1"/>
      <c r="C578" s="1"/>
      <c r="D578" s="93"/>
      <c r="E578" s="93"/>
      <c r="F578" s="2"/>
      <c r="G578" s="2"/>
      <c r="H578" s="2"/>
      <c r="I578" s="2"/>
    </row>
    <row r="579" spans="1:9" ht="12.75">
      <c r="A579" s="9"/>
      <c r="B579" s="1"/>
      <c r="C579" s="1"/>
      <c r="D579" s="93"/>
      <c r="E579" s="93"/>
      <c r="F579" s="2"/>
      <c r="G579" s="2"/>
      <c r="H579" s="2"/>
      <c r="I579" s="2"/>
    </row>
    <row r="580" spans="1:9" ht="12.75">
      <c r="A580" s="9"/>
      <c r="B580" s="1"/>
      <c r="C580" s="1"/>
      <c r="D580" s="93"/>
      <c r="E580" s="93"/>
      <c r="F580" s="2"/>
      <c r="G580" s="2"/>
      <c r="H580" s="2"/>
      <c r="I580" s="2"/>
    </row>
    <row r="581" spans="1:9" ht="12.75">
      <c r="A581" s="9"/>
      <c r="B581" s="1"/>
      <c r="C581" s="1"/>
      <c r="D581" s="93"/>
      <c r="E581" s="93"/>
      <c r="F581" s="2"/>
      <c r="G581" s="2"/>
      <c r="H581" s="2"/>
      <c r="I581" s="2"/>
    </row>
    <row r="582" spans="1:9" ht="12.75">
      <c r="A582" s="9"/>
      <c r="B582" s="1"/>
      <c r="C582" s="1"/>
      <c r="D582" s="93"/>
      <c r="E582" s="93"/>
      <c r="F582" s="2"/>
      <c r="G582" s="2"/>
      <c r="H582" s="2"/>
      <c r="I582" s="2"/>
    </row>
    <row r="583" spans="1:9" ht="12.75">
      <c r="A583" s="9"/>
      <c r="B583" s="1"/>
      <c r="C583" s="1"/>
      <c r="D583" s="93"/>
      <c r="E583" s="93"/>
      <c r="F583" s="2"/>
      <c r="G583" s="2"/>
      <c r="H583" s="2"/>
      <c r="I583" s="2"/>
    </row>
    <row r="584" spans="1:9" ht="12.75">
      <c r="A584" s="9"/>
      <c r="B584" s="1"/>
      <c r="C584" s="1"/>
      <c r="D584" s="93"/>
      <c r="E584" s="93"/>
      <c r="F584" s="2"/>
      <c r="G584" s="2"/>
      <c r="H584" s="2"/>
      <c r="I584" s="2"/>
    </row>
    <row r="585" spans="1:9" ht="12.75">
      <c r="A585" s="9"/>
      <c r="B585" s="1"/>
      <c r="C585" s="1"/>
      <c r="D585" s="93"/>
      <c r="E585" s="93"/>
      <c r="F585" s="2"/>
      <c r="G585" s="2"/>
      <c r="H585" s="2"/>
      <c r="I585" s="2"/>
    </row>
    <row r="586" spans="1:9" ht="12.75">
      <c r="A586" s="9"/>
      <c r="B586" s="1"/>
      <c r="C586" s="1"/>
      <c r="D586" s="93"/>
      <c r="E586" s="93"/>
      <c r="F586" s="2"/>
      <c r="G586" s="2"/>
      <c r="H586" s="2"/>
      <c r="I586" s="2"/>
    </row>
    <row r="587" spans="1:9" ht="12.75">
      <c r="A587" s="9"/>
      <c r="B587" s="1"/>
      <c r="C587" s="1"/>
      <c r="D587" s="93"/>
      <c r="E587" s="93"/>
      <c r="F587" s="2"/>
      <c r="G587" s="2"/>
      <c r="H587" s="2"/>
      <c r="I587" s="2"/>
    </row>
    <row r="588" spans="1:9" ht="12.75">
      <c r="A588" s="9"/>
      <c r="B588" s="1"/>
      <c r="C588" s="1"/>
      <c r="D588" s="93"/>
      <c r="E588" s="93"/>
      <c r="F588" s="2"/>
      <c r="G588" s="2"/>
      <c r="H588" s="2"/>
      <c r="I588" s="2"/>
    </row>
    <row r="589" spans="1:9" ht="12.75">
      <c r="A589" s="9"/>
      <c r="B589" s="1"/>
      <c r="C589" s="1"/>
      <c r="D589" s="93"/>
      <c r="E589" s="93"/>
      <c r="F589" s="2"/>
      <c r="G589" s="2"/>
      <c r="H589" s="2"/>
      <c r="I589" s="2"/>
    </row>
    <row r="590" spans="1:9" ht="12.75">
      <c r="A590" s="9"/>
      <c r="B590" s="1"/>
      <c r="C590" s="1"/>
      <c r="D590" s="93"/>
      <c r="E590" s="93"/>
      <c r="F590" s="2"/>
      <c r="G590" s="2"/>
      <c r="H590" s="2"/>
      <c r="I590" s="2"/>
    </row>
    <row r="591" spans="1:9" ht="12.75">
      <c r="A591" s="9"/>
      <c r="B591" s="1"/>
      <c r="C591" s="1"/>
      <c r="D591" s="93"/>
      <c r="E591" s="93"/>
      <c r="F591" s="2"/>
      <c r="G591" s="2"/>
      <c r="H591" s="2"/>
      <c r="I591" s="2"/>
    </row>
    <row r="592" spans="1:9" ht="12.75">
      <c r="A592" s="9"/>
      <c r="B592" s="1"/>
      <c r="C592" s="1"/>
      <c r="D592" s="93"/>
      <c r="E592" s="93"/>
      <c r="F592" s="2"/>
      <c r="G592" s="2"/>
      <c r="H592" s="2"/>
      <c r="I592" s="2"/>
    </row>
    <row r="593" spans="1:9" ht="12.75">
      <c r="A593" s="9"/>
      <c r="B593" s="1"/>
      <c r="C593" s="1"/>
      <c r="D593" s="93"/>
      <c r="E593" s="93"/>
      <c r="F593" s="2"/>
      <c r="G593" s="2"/>
      <c r="H593" s="2"/>
      <c r="I593" s="2"/>
    </row>
    <row r="594" spans="1:9" ht="12.75">
      <c r="A594" s="9"/>
      <c r="B594" s="1"/>
      <c r="C594" s="1"/>
      <c r="D594" s="93"/>
      <c r="E594" s="93"/>
      <c r="F594" s="2"/>
      <c r="G594" s="2"/>
      <c r="H594" s="2"/>
      <c r="I594" s="2"/>
    </row>
    <row r="595" spans="1:9" ht="12.75">
      <c r="A595" s="9"/>
      <c r="B595" s="1"/>
      <c r="C595" s="1"/>
      <c r="D595" s="93"/>
      <c r="E595" s="93"/>
      <c r="F595" s="2"/>
      <c r="G595" s="2"/>
      <c r="H595" s="2"/>
      <c r="I595" s="2"/>
    </row>
    <row r="596" spans="1:9" ht="12.75">
      <c r="A596" s="9"/>
      <c r="B596" s="1"/>
      <c r="C596" s="1"/>
      <c r="D596" s="93"/>
      <c r="E596" s="93"/>
      <c r="F596" s="2"/>
      <c r="G596" s="2"/>
      <c r="H596" s="2"/>
      <c r="I596" s="2"/>
    </row>
    <row r="597" spans="1:9" ht="12.75">
      <c r="A597" s="9"/>
      <c r="B597" s="1"/>
      <c r="C597" s="1"/>
      <c r="D597" s="93"/>
      <c r="E597" s="93"/>
      <c r="F597" s="2"/>
      <c r="G597" s="2"/>
      <c r="H597" s="2"/>
      <c r="I597" s="2"/>
    </row>
    <row r="598" spans="1:9" ht="12.75">
      <c r="A598" s="9"/>
      <c r="B598" s="1"/>
      <c r="C598" s="1"/>
      <c r="D598" s="93"/>
      <c r="E598" s="93"/>
      <c r="F598" s="2"/>
      <c r="G598" s="2"/>
      <c r="H598" s="2"/>
      <c r="I598" s="2"/>
    </row>
    <row r="599" spans="1:9" ht="12.75">
      <c r="A599" s="9"/>
      <c r="B599" s="1"/>
      <c r="C599" s="1"/>
      <c r="D599" s="93"/>
      <c r="E599" s="93"/>
      <c r="F599" s="2"/>
      <c r="G599" s="2"/>
      <c r="H599" s="2"/>
      <c r="I599" s="2"/>
    </row>
    <row r="600" spans="1:9" ht="12.75">
      <c r="A600" s="9"/>
      <c r="B600" s="1"/>
      <c r="C600" s="1"/>
      <c r="D600" s="93"/>
      <c r="E600" s="93"/>
      <c r="F600" s="2"/>
      <c r="G600" s="2"/>
      <c r="H600" s="2"/>
      <c r="I600" s="2"/>
    </row>
    <row r="601" spans="1:9" ht="12.75">
      <c r="A601" s="9"/>
      <c r="B601" s="1"/>
      <c r="C601" s="1"/>
      <c r="D601" s="93"/>
      <c r="E601" s="93"/>
      <c r="F601" s="2"/>
      <c r="G601" s="2"/>
      <c r="H601" s="2"/>
      <c r="I601" s="2"/>
    </row>
    <row r="602" spans="1:9" ht="12.75">
      <c r="A602" s="9"/>
      <c r="B602" s="1"/>
      <c r="C602" s="1"/>
      <c r="D602" s="93"/>
      <c r="E602" s="93"/>
      <c r="F602" s="2"/>
      <c r="G602" s="2"/>
      <c r="H602" s="2"/>
      <c r="I602" s="2"/>
    </row>
    <row r="603" spans="1:9" ht="12.75">
      <c r="A603" s="9"/>
      <c r="B603" s="1"/>
      <c r="C603" s="1"/>
      <c r="D603" s="93"/>
      <c r="E603" s="93"/>
      <c r="F603" s="2"/>
      <c r="G603" s="2"/>
      <c r="H603" s="2"/>
      <c r="I603" s="2"/>
    </row>
    <row r="604" spans="1:9" ht="12.75">
      <c r="A604" s="9"/>
      <c r="B604" s="1"/>
      <c r="C604" s="1"/>
      <c r="D604" s="93"/>
      <c r="E604" s="93"/>
      <c r="F604" s="2"/>
      <c r="G604" s="2"/>
      <c r="H604" s="2"/>
      <c r="I604" s="2"/>
    </row>
    <row r="605" spans="1:9" ht="12.75">
      <c r="A605" s="9"/>
      <c r="B605" s="1"/>
      <c r="C605" s="1"/>
      <c r="D605" s="93"/>
      <c r="E605" s="93"/>
      <c r="F605" s="2"/>
      <c r="G605" s="2"/>
      <c r="H605" s="2"/>
      <c r="I605" s="2"/>
    </row>
    <row r="606" spans="1:9" ht="12.75">
      <c r="A606" s="9"/>
      <c r="B606" s="1"/>
      <c r="C606" s="1"/>
      <c r="D606" s="93"/>
      <c r="E606" s="93"/>
      <c r="F606" s="2"/>
      <c r="G606" s="2"/>
      <c r="H606" s="2"/>
      <c r="I606" s="2"/>
    </row>
    <row r="607" spans="1:9" ht="12.75">
      <c r="A607" s="9"/>
      <c r="B607" s="1"/>
      <c r="C607" s="1"/>
      <c r="D607" s="93"/>
      <c r="E607" s="93"/>
      <c r="F607" s="2"/>
      <c r="G607" s="2"/>
      <c r="H607" s="2"/>
      <c r="I607" s="2"/>
    </row>
    <row r="608" spans="1:9" ht="12.75">
      <c r="A608" s="9"/>
      <c r="B608" s="1"/>
      <c r="C608" s="1"/>
      <c r="D608" s="93"/>
      <c r="E608" s="93"/>
      <c r="F608" s="2"/>
      <c r="G608" s="2"/>
      <c r="H608" s="2"/>
      <c r="I608" s="2"/>
    </row>
    <row r="609" spans="1:9" ht="12.75">
      <c r="A609" s="9"/>
      <c r="B609" s="1"/>
      <c r="C609" s="1"/>
      <c r="D609" s="93"/>
      <c r="E609" s="93"/>
      <c r="F609" s="2"/>
      <c r="G609" s="2"/>
      <c r="H609" s="2"/>
      <c r="I609" s="2"/>
    </row>
    <row r="610" spans="1:9" ht="12.75">
      <c r="A610" s="9"/>
      <c r="B610" s="1"/>
      <c r="C610" s="1"/>
      <c r="D610" s="93"/>
      <c r="E610" s="93"/>
      <c r="F610" s="2"/>
      <c r="G610" s="2"/>
      <c r="H610" s="2"/>
      <c r="I610" s="2"/>
    </row>
    <row r="611" spans="1:9" ht="12.75">
      <c r="A611" s="9"/>
      <c r="B611" s="1"/>
      <c r="C611" s="1"/>
      <c r="D611" s="93"/>
      <c r="E611" s="93"/>
      <c r="F611" s="2"/>
      <c r="G611" s="2"/>
      <c r="H611" s="2"/>
      <c r="I611" s="2"/>
    </row>
    <row r="612" spans="1:9" ht="12.75">
      <c r="A612" s="9"/>
      <c r="B612" s="1"/>
      <c r="C612" s="1"/>
      <c r="D612" s="93"/>
      <c r="E612" s="93"/>
      <c r="F612" s="2"/>
      <c r="G612" s="2"/>
      <c r="H612" s="2"/>
      <c r="I612" s="2"/>
    </row>
    <row r="613" spans="1:9" ht="12.75">
      <c r="A613" s="9"/>
      <c r="B613" s="1"/>
      <c r="C613" s="1"/>
      <c r="D613" s="93"/>
      <c r="E613" s="93"/>
      <c r="F613" s="2"/>
      <c r="G613" s="2"/>
      <c r="H613" s="2"/>
      <c r="I613" s="2"/>
    </row>
    <row r="614" spans="1:9" ht="12.75">
      <c r="A614" s="9"/>
      <c r="B614" s="1"/>
      <c r="C614" s="1"/>
      <c r="D614" s="93"/>
      <c r="E614" s="93"/>
      <c r="F614" s="2"/>
      <c r="G614" s="2"/>
      <c r="H614" s="2"/>
      <c r="I614" s="2"/>
    </row>
    <row r="615" spans="1:9" ht="12.75">
      <c r="A615" s="9"/>
      <c r="B615" s="1"/>
      <c r="C615" s="1"/>
      <c r="D615" s="93"/>
      <c r="E615" s="93"/>
      <c r="F615" s="2"/>
      <c r="G615" s="2"/>
      <c r="H615" s="2"/>
      <c r="I615" s="2"/>
    </row>
    <row r="616" spans="1:9" ht="12.75">
      <c r="A616" s="9"/>
      <c r="B616" s="1"/>
      <c r="C616" s="1"/>
      <c r="D616" s="93"/>
      <c r="E616" s="93"/>
      <c r="F616" s="2"/>
      <c r="G616" s="2"/>
      <c r="H616" s="2"/>
      <c r="I616" s="2"/>
    </row>
    <row r="617" spans="1:9" ht="12.75">
      <c r="A617" s="9"/>
      <c r="B617" s="1"/>
      <c r="C617" s="1"/>
      <c r="D617" s="93"/>
      <c r="E617" s="93"/>
      <c r="F617" s="2"/>
      <c r="G617" s="2"/>
      <c r="H617" s="2"/>
      <c r="I617" s="2"/>
    </row>
    <row r="618" spans="1:9" ht="12.75">
      <c r="A618" s="9"/>
      <c r="B618" s="1"/>
      <c r="C618" s="1"/>
      <c r="D618" s="93"/>
      <c r="E618" s="93"/>
      <c r="F618" s="2"/>
      <c r="G618" s="2"/>
      <c r="H618" s="2"/>
      <c r="I618" s="2"/>
    </row>
    <row r="619" spans="1:9" ht="12.75">
      <c r="A619" s="9"/>
      <c r="B619" s="1"/>
      <c r="C619" s="1"/>
      <c r="D619" s="93"/>
      <c r="E619" s="93"/>
      <c r="F619" s="2"/>
      <c r="G619" s="2"/>
      <c r="H619" s="2"/>
      <c r="I619" s="2"/>
    </row>
    <row r="620" spans="1:9" ht="12.75">
      <c r="A620" s="9"/>
      <c r="B620" s="1"/>
      <c r="C620" s="1"/>
      <c r="D620" s="93"/>
      <c r="E620" s="93"/>
      <c r="F620" s="2"/>
      <c r="G620" s="2"/>
      <c r="H620" s="2"/>
      <c r="I620" s="2"/>
    </row>
    <row r="621" spans="1:9" ht="12.75">
      <c r="A621" s="9"/>
      <c r="B621" s="1"/>
      <c r="C621" s="1"/>
      <c r="D621" s="93"/>
      <c r="E621" s="93"/>
      <c r="F621" s="2"/>
      <c r="G621" s="2"/>
      <c r="H621" s="2"/>
      <c r="I621" s="2"/>
    </row>
    <row r="622" spans="1:9" ht="12.75">
      <c r="A622" s="9"/>
      <c r="B622" s="1"/>
      <c r="C622" s="1"/>
      <c r="D622" s="93"/>
      <c r="E622" s="93"/>
      <c r="F622" s="2"/>
      <c r="G622" s="2"/>
      <c r="H622" s="2"/>
      <c r="I622" s="2"/>
    </row>
    <row r="623" spans="1:9" ht="12.75">
      <c r="A623" s="9"/>
      <c r="B623" s="1"/>
      <c r="C623" s="1"/>
      <c r="D623" s="93"/>
      <c r="E623" s="93"/>
      <c r="F623" s="2"/>
      <c r="G623" s="2"/>
      <c r="H623" s="2"/>
      <c r="I623" s="2"/>
    </row>
    <row r="624" spans="1:9" ht="12.75">
      <c r="A624" s="9"/>
      <c r="B624" s="1"/>
      <c r="C624" s="1"/>
      <c r="D624" s="93"/>
      <c r="E624" s="93"/>
      <c r="F624" s="2"/>
      <c r="G624" s="2"/>
      <c r="H624" s="2"/>
      <c r="I624" s="2"/>
    </row>
    <row r="625" spans="1:9" ht="12.75">
      <c r="A625" s="9"/>
      <c r="B625" s="1"/>
      <c r="C625" s="1"/>
      <c r="D625" s="93"/>
      <c r="E625" s="93"/>
      <c r="F625" s="2"/>
      <c r="G625" s="2"/>
      <c r="H625" s="2"/>
      <c r="I625" s="2"/>
    </row>
    <row r="626" spans="1:9" ht="12.75">
      <c r="A626" s="9"/>
      <c r="B626" s="1"/>
      <c r="C626" s="1"/>
      <c r="D626" s="93"/>
      <c r="E626" s="93"/>
      <c r="F626" s="2"/>
      <c r="G626" s="2"/>
      <c r="H626" s="2"/>
      <c r="I626" s="2"/>
    </row>
    <row r="627" spans="1:9" ht="12.75">
      <c r="A627" s="9"/>
      <c r="B627" s="1"/>
      <c r="C627" s="1"/>
      <c r="D627" s="93"/>
      <c r="E627" s="93"/>
      <c r="F627" s="2"/>
      <c r="G627" s="2"/>
      <c r="H627" s="2"/>
      <c r="I627" s="2"/>
    </row>
    <row r="628" spans="1:9" ht="12.75">
      <c r="A628" s="9"/>
      <c r="B628" s="1"/>
      <c r="C628" s="1"/>
      <c r="D628" s="93"/>
      <c r="E628" s="93"/>
      <c r="F628" s="2"/>
      <c r="G628" s="2"/>
      <c r="H628" s="2"/>
      <c r="I628" s="2"/>
    </row>
    <row r="629" spans="1:9" ht="12.75">
      <c r="A629" s="9"/>
      <c r="B629" s="1"/>
      <c r="C629" s="1"/>
      <c r="D629" s="93"/>
      <c r="E629" s="93"/>
      <c r="F629" s="2"/>
      <c r="G629" s="2"/>
      <c r="H629" s="2"/>
      <c r="I629" s="2"/>
    </row>
    <row r="630" spans="1:9" ht="12.75">
      <c r="A630" s="9"/>
      <c r="B630" s="1"/>
      <c r="C630" s="1"/>
      <c r="D630" s="93"/>
      <c r="E630" s="93"/>
      <c r="F630" s="2"/>
      <c r="G630" s="2"/>
      <c r="H630" s="2"/>
      <c r="I630" s="2"/>
    </row>
    <row r="631" spans="1:9" ht="12.75">
      <c r="A631" s="9"/>
      <c r="B631" s="1"/>
      <c r="C631" s="1"/>
      <c r="D631" s="93"/>
      <c r="E631" s="93"/>
      <c r="F631" s="2"/>
      <c r="G631" s="2"/>
      <c r="H631" s="2"/>
      <c r="I631" s="2"/>
    </row>
    <row r="632" spans="1:9" ht="12.75">
      <c r="A632" s="9"/>
      <c r="B632" s="1"/>
      <c r="C632" s="1"/>
      <c r="D632" s="93"/>
      <c r="E632" s="93"/>
      <c r="F632" s="2"/>
      <c r="G632" s="2"/>
      <c r="H632" s="2"/>
      <c r="I632" s="2"/>
    </row>
    <row r="633" spans="1:9" ht="12.75">
      <c r="A633" s="9"/>
      <c r="B633" s="1"/>
      <c r="C633" s="1"/>
      <c r="D633" s="93"/>
      <c r="E633" s="93"/>
      <c r="F633" s="2"/>
      <c r="G633" s="2"/>
      <c r="H633" s="2"/>
      <c r="I633" s="2"/>
    </row>
    <row r="634" spans="1:9" ht="12.75">
      <c r="A634" s="9"/>
      <c r="B634" s="1"/>
      <c r="C634" s="1"/>
      <c r="D634" s="93"/>
      <c r="E634" s="93"/>
      <c r="F634" s="2"/>
      <c r="G634" s="2"/>
      <c r="H634" s="2"/>
      <c r="I634" s="2"/>
    </row>
    <row r="635" spans="1:9" ht="12.75">
      <c r="A635" s="9"/>
      <c r="B635" s="1"/>
      <c r="C635" s="1"/>
      <c r="D635" s="93"/>
      <c r="E635" s="93"/>
      <c r="F635" s="2"/>
      <c r="G635" s="2"/>
      <c r="H635" s="2"/>
      <c r="I635" s="2"/>
    </row>
    <row r="636" spans="1:9" ht="12.75">
      <c r="A636" s="9"/>
      <c r="B636" s="1"/>
      <c r="C636" s="1"/>
      <c r="D636" s="93"/>
      <c r="E636" s="93"/>
      <c r="F636" s="2"/>
      <c r="G636" s="2"/>
      <c r="H636" s="2"/>
      <c r="I636" s="2"/>
    </row>
    <row r="637" spans="1:9" ht="12.75">
      <c r="A637" s="9"/>
      <c r="B637" s="1"/>
      <c r="C637" s="1"/>
      <c r="D637" s="93"/>
      <c r="E637" s="93"/>
      <c r="F637" s="2"/>
      <c r="G637" s="2"/>
      <c r="H637" s="2"/>
      <c r="I637" s="2"/>
    </row>
    <row r="638" spans="1:9" ht="12.75">
      <c r="A638" s="9"/>
      <c r="B638" s="1"/>
      <c r="C638" s="1"/>
      <c r="D638" s="93"/>
      <c r="E638" s="93"/>
      <c r="F638" s="2"/>
      <c r="G638" s="2"/>
      <c r="H638" s="2"/>
      <c r="I638" s="2"/>
    </row>
    <row r="639" spans="1:9" ht="12.75">
      <c r="A639" s="9"/>
      <c r="B639" s="1"/>
      <c r="C639" s="1"/>
      <c r="D639" s="93"/>
      <c r="E639" s="93"/>
      <c r="F639" s="2"/>
      <c r="G639" s="2"/>
      <c r="H639" s="2"/>
      <c r="I639" s="2"/>
    </row>
    <row r="640" spans="1:9" ht="12.75">
      <c r="A640" s="9"/>
      <c r="B640" s="1"/>
      <c r="C640" s="1"/>
      <c r="D640" s="93"/>
      <c r="E640" s="93"/>
      <c r="F640" s="2"/>
      <c r="G640" s="2"/>
      <c r="H640" s="2"/>
      <c r="I640" s="2"/>
    </row>
    <row r="641" spans="1:9" ht="12.75">
      <c r="A641" s="9"/>
      <c r="B641" s="1"/>
      <c r="C641" s="1"/>
      <c r="D641" s="93"/>
      <c r="E641" s="93"/>
      <c r="F641" s="2"/>
      <c r="G641" s="2"/>
      <c r="H641" s="2"/>
      <c r="I641" s="2"/>
    </row>
    <row r="642" spans="1:9" ht="12.75">
      <c r="A642" s="9"/>
      <c r="B642" s="1"/>
      <c r="C642" s="1"/>
      <c r="D642" s="93"/>
      <c r="E642" s="93"/>
      <c r="F642" s="2"/>
      <c r="G642" s="2"/>
      <c r="H642" s="2"/>
      <c r="I642" s="2"/>
    </row>
    <row r="643" spans="1:9" ht="12.75">
      <c r="A643" s="9"/>
      <c r="B643" s="1"/>
      <c r="C643" s="1"/>
      <c r="D643" s="93"/>
      <c r="E643" s="93"/>
      <c r="F643" s="2"/>
      <c r="G643" s="2"/>
      <c r="H643" s="2"/>
      <c r="I643" s="2"/>
    </row>
    <row r="644" spans="1:9" ht="12.75">
      <c r="A644" s="9"/>
      <c r="B644" s="1"/>
      <c r="C644" s="1"/>
      <c r="D644" s="93"/>
      <c r="E644" s="93"/>
      <c r="F644" s="2"/>
      <c r="G644" s="2"/>
      <c r="H644" s="2"/>
      <c r="I644" s="2"/>
    </row>
    <row r="645" spans="1:9" ht="12.75">
      <c r="A645" s="9"/>
      <c r="B645" s="1"/>
      <c r="C645" s="1"/>
      <c r="D645" s="93"/>
      <c r="E645" s="93"/>
      <c r="F645" s="2"/>
      <c r="G645" s="2"/>
      <c r="H645" s="2"/>
      <c r="I645" s="2"/>
    </row>
    <row r="646" spans="1:9" ht="12.75">
      <c r="A646" s="9"/>
      <c r="B646" s="1"/>
      <c r="C646" s="1"/>
      <c r="D646" s="93"/>
      <c r="E646" s="93"/>
      <c r="F646" s="2"/>
      <c r="G646" s="2"/>
      <c r="H646" s="2"/>
      <c r="I646" s="2"/>
    </row>
    <row r="647" spans="1:9" ht="12.75">
      <c r="A647" s="9"/>
      <c r="B647" s="1"/>
      <c r="C647" s="1"/>
      <c r="D647" s="93"/>
      <c r="E647" s="93"/>
      <c r="F647" s="2"/>
      <c r="G647" s="2"/>
      <c r="H647" s="2"/>
      <c r="I647" s="2"/>
    </row>
    <row r="648" spans="1:9" ht="12.75">
      <c r="A648" s="9"/>
      <c r="B648" s="1"/>
      <c r="C648" s="1"/>
      <c r="D648" s="93"/>
      <c r="E648" s="93"/>
      <c r="F648" s="2"/>
      <c r="G648" s="2"/>
      <c r="H648" s="2"/>
      <c r="I648" s="2"/>
    </row>
    <row r="649" spans="1:9" ht="12.75">
      <c r="A649" s="9"/>
      <c r="B649" s="1"/>
      <c r="C649" s="1"/>
      <c r="D649" s="93"/>
      <c r="E649" s="93"/>
      <c r="F649" s="2"/>
      <c r="G649" s="2"/>
      <c r="H649" s="2"/>
      <c r="I649" s="2"/>
    </row>
    <row r="650" spans="1:9" ht="12.75">
      <c r="A650" s="9"/>
      <c r="B650" s="1"/>
      <c r="C650" s="1"/>
      <c r="D650" s="93"/>
      <c r="E650" s="93"/>
      <c r="F650" s="2"/>
      <c r="G650" s="2"/>
      <c r="H650" s="2"/>
      <c r="I650" s="2"/>
    </row>
    <row r="651" spans="1:9" ht="12.75">
      <c r="A651" s="9"/>
      <c r="B651" s="1"/>
      <c r="C651" s="1"/>
      <c r="D651" s="93"/>
      <c r="E651" s="93"/>
      <c r="F651" s="2"/>
      <c r="G651" s="2"/>
      <c r="H651" s="2"/>
      <c r="I651" s="2"/>
    </row>
    <row r="652" spans="1:9" ht="12.75">
      <c r="A652" s="9"/>
      <c r="B652" s="1"/>
      <c r="C652" s="1"/>
      <c r="D652" s="93"/>
      <c r="E652" s="93"/>
      <c r="F652" s="2"/>
      <c r="G652" s="2"/>
      <c r="H652" s="2"/>
      <c r="I652" s="2"/>
    </row>
    <row r="653" spans="1:9" ht="12.75">
      <c r="A653" s="9"/>
      <c r="B653" s="1"/>
      <c r="C653" s="1"/>
      <c r="D653" s="93"/>
      <c r="E653" s="93"/>
      <c r="F653" s="2"/>
      <c r="G653" s="2"/>
      <c r="H653" s="2"/>
      <c r="I653" s="2"/>
    </row>
    <row r="654" spans="1:9" ht="12.75">
      <c r="A654" s="9"/>
      <c r="B654" s="1"/>
      <c r="C654" s="1"/>
      <c r="D654" s="93"/>
      <c r="E654" s="93"/>
      <c r="F654" s="2"/>
      <c r="G654" s="2"/>
      <c r="H654" s="2"/>
      <c r="I654" s="2"/>
    </row>
    <row r="655" spans="1:9" ht="12.75">
      <c r="A655" s="9"/>
      <c r="B655" s="1"/>
      <c r="C655" s="1"/>
      <c r="D655" s="93"/>
      <c r="E655" s="93"/>
      <c r="F655" s="2"/>
      <c r="G655" s="2"/>
      <c r="H655" s="2"/>
      <c r="I655" s="2"/>
    </row>
    <row r="656" spans="1:9" ht="12.75">
      <c r="A656" s="9"/>
      <c r="B656" s="1"/>
      <c r="C656" s="1"/>
      <c r="D656" s="93"/>
      <c r="E656" s="93"/>
      <c r="F656" s="2"/>
      <c r="G656" s="2"/>
      <c r="H656" s="2"/>
      <c r="I656" s="2"/>
    </row>
    <row r="657" spans="1:9" ht="12.75">
      <c r="A657" s="9"/>
      <c r="B657" s="1"/>
      <c r="C657" s="1"/>
      <c r="D657" s="93"/>
      <c r="E657" s="93"/>
      <c r="F657" s="2"/>
      <c r="G657" s="2"/>
      <c r="H657" s="2"/>
      <c r="I657" s="2"/>
    </row>
    <row r="658" spans="1:9" ht="12.75">
      <c r="A658" s="9"/>
      <c r="B658" s="1"/>
      <c r="C658" s="1"/>
      <c r="D658" s="93"/>
      <c r="E658" s="93"/>
      <c r="F658" s="2"/>
      <c r="G658" s="2"/>
      <c r="H658" s="2"/>
      <c r="I658" s="2"/>
    </row>
    <row r="659" spans="1:9" ht="12.75">
      <c r="A659" s="9"/>
      <c r="B659" s="1"/>
      <c r="C659" s="1"/>
      <c r="D659" s="93"/>
      <c r="E659" s="93"/>
      <c r="F659" s="2"/>
      <c r="G659" s="2"/>
      <c r="H659" s="2"/>
      <c r="I659" s="2"/>
    </row>
    <row r="660" spans="1:9" ht="12.75">
      <c r="A660" s="9"/>
      <c r="B660" s="1"/>
      <c r="C660" s="1"/>
      <c r="D660" s="93"/>
      <c r="E660" s="93"/>
      <c r="F660" s="2"/>
      <c r="G660" s="2"/>
      <c r="H660" s="2"/>
      <c r="I660" s="2"/>
    </row>
    <row r="661" spans="1:9" ht="12.75">
      <c r="A661" s="9"/>
      <c r="B661" s="1"/>
      <c r="C661" s="1"/>
      <c r="D661" s="93"/>
      <c r="E661" s="93"/>
      <c r="F661" s="2"/>
      <c r="G661" s="2"/>
      <c r="H661" s="2"/>
      <c r="I661" s="2"/>
    </row>
    <row r="662" spans="1:9" ht="12.75">
      <c r="A662" s="9"/>
      <c r="B662" s="1"/>
      <c r="C662" s="1"/>
      <c r="D662" s="93"/>
      <c r="E662" s="93"/>
      <c r="F662" s="2"/>
      <c r="G662" s="2"/>
      <c r="H662" s="2"/>
      <c r="I662" s="2"/>
    </row>
    <row r="663" spans="1:9" ht="12.75">
      <c r="A663" s="9"/>
      <c r="B663" s="1"/>
      <c r="C663" s="1"/>
      <c r="D663" s="93"/>
      <c r="E663" s="93"/>
      <c r="F663" s="2"/>
      <c r="G663" s="2"/>
      <c r="H663" s="2"/>
      <c r="I663" s="2"/>
    </row>
    <row r="664" spans="1:9" ht="12.75">
      <c r="A664" s="9"/>
      <c r="B664" s="1"/>
      <c r="C664" s="1"/>
      <c r="D664" s="93"/>
      <c r="E664" s="93"/>
      <c r="F664" s="2"/>
      <c r="G664" s="2"/>
      <c r="H664" s="2"/>
      <c r="I664" s="2"/>
    </row>
    <row r="665" spans="1:9" ht="12.75">
      <c r="A665" s="9"/>
      <c r="B665" s="1"/>
      <c r="C665" s="1"/>
      <c r="D665" s="93"/>
      <c r="E665" s="93"/>
      <c r="F665" s="2"/>
      <c r="G665" s="2"/>
      <c r="H665" s="2"/>
      <c r="I665" s="2"/>
    </row>
    <row r="666" spans="1:9" ht="12.75">
      <c r="A666" s="9"/>
      <c r="B666" s="1"/>
      <c r="C666" s="1"/>
      <c r="D666" s="93"/>
      <c r="E666" s="93"/>
      <c r="F666" s="2"/>
      <c r="G666" s="2"/>
      <c r="H666" s="2"/>
      <c r="I666" s="2"/>
    </row>
    <row r="667" spans="1:9" ht="12.75">
      <c r="A667" s="9"/>
      <c r="B667" s="1"/>
      <c r="C667" s="1"/>
      <c r="D667" s="93"/>
      <c r="E667" s="93"/>
      <c r="F667" s="2"/>
      <c r="G667" s="2"/>
      <c r="H667" s="2"/>
      <c r="I667" s="2"/>
    </row>
    <row r="668" spans="1:9" ht="12.75">
      <c r="A668" s="9"/>
      <c r="B668" s="1"/>
      <c r="C668" s="1"/>
      <c r="D668" s="93"/>
      <c r="E668" s="93"/>
      <c r="F668" s="2"/>
      <c r="G668" s="2"/>
      <c r="H668" s="2"/>
      <c r="I668" s="2"/>
    </row>
    <row r="669" spans="1:9" ht="12.75">
      <c r="A669" s="9"/>
      <c r="B669" s="1"/>
      <c r="C669" s="1"/>
      <c r="D669" s="93"/>
      <c r="E669" s="93"/>
      <c r="F669" s="2"/>
      <c r="G669" s="2"/>
      <c r="H669" s="2"/>
      <c r="I669" s="2"/>
    </row>
    <row r="670" spans="1:9" ht="12.75">
      <c r="A670" s="9"/>
      <c r="B670" s="1"/>
      <c r="C670" s="1"/>
      <c r="D670" s="93"/>
      <c r="E670" s="93"/>
      <c r="F670" s="2"/>
      <c r="G670" s="2"/>
      <c r="H670" s="2"/>
      <c r="I670" s="2"/>
    </row>
    <row r="671" spans="1:9" ht="12.75">
      <c r="A671" s="9"/>
      <c r="B671" s="1"/>
      <c r="C671" s="1"/>
      <c r="D671" s="93"/>
      <c r="E671" s="93"/>
      <c r="F671" s="2"/>
      <c r="G671" s="2"/>
      <c r="H671" s="2"/>
      <c r="I671" s="2"/>
    </row>
    <row r="672" spans="1:9" ht="12.75">
      <c r="A672" s="9"/>
      <c r="B672" s="1"/>
      <c r="C672" s="1"/>
      <c r="D672" s="93"/>
      <c r="E672" s="93"/>
      <c r="F672" s="2"/>
      <c r="G672" s="2"/>
      <c r="H672" s="2"/>
      <c r="I672" s="2"/>
    </row>
    <row r="673" spans="1:9" ht="12.75">
      <c r="A673" s="9"/>
      <c r="B673" s="1"/>
      <c r="C673" s="1"/>
      <c r="D673" s="93"/>
      <c r="E673" s="93"/>
      <c r="F673" s="2"/>
      <c r="G673" s="2"/>
      <c r="H673" s="2"/>
      <c r="I673" s="2"/>
    </row>
    <row r="674" spans="1:9" ht="12.75">
      <c r="A674" s="9"/>
      <c r="B674" s="1"/>
      <c r="C674" s="1"/>
      <c r="D674" s="93"/>
      <c r="E674" s="93"/>
      <c r="F674" s="2"/>
      <c r="G674" s="2"/>
      <c r="H674" s="2"/>
      <c r="I674" s="2"/>
    </row>
    <row r="675" spans="1:9" ht="12.75">
      <c r="A675" s="9"/>
      <c r="B675" s="1"/>
      <c r="C675" s="1"/>
      <c r="D675" s="93"/>
      <c r="E675" s="93"/>
      <c r="F675" s="2"/>
      <c r="G675" s="2"/>
      <c r="H675" s="2"/>
      <c r="I675" s="2"/>
    </row>
    <row r="676" spans="1:9" ht="12.75">
      <c r="A676" s="9"/>
      <c r="B676" s="1"/>
      <c r="C676" s="1"/>
      <c r="D676" s="93"/>
      <c r="E676" s="93"/>
      <c r="F676" s="2"/>
      <c r="G676" s="2"/>
      <c r="H676" s="2"/>
      <c r="I676" s="2"/>
    </row>
    <row r="677" spans="1:9" ht="12.75">
      <c r="A677" s="9"/>
      <c r="B677" s="1"/>
      <c r="C677" s="1"/>
      <c r="D677" s="93"/>
      <c r="E677" s="93"/>
      <c r="F677" s="2"/>
      <c r="G677" s="2"/>
      <c r="H677" s="2"/>
      <c r="I677" s="2"/>
    </row>
    <row r="678" spans="1:9" ht="12.75">
      <c r="A678" s="9"/>
      <c r="B678" s="1"/>
      <c r="C678" s="1"/>
      <c r="D678" s="93"/>
      <c r="E678" s="93"/>
      <c r="F678" s="2"/>
      <c r="G678" s="2"/>
      <c r="H678" s="2"/>
      <c r="I678" s="2"/>
    </row>
    <row r="679" spans="1:9" ht="12.75">
      <c r="A679" s="9"/>
      <c r="B679" s="1"/>
      <c r="C679" s="1"/>
      <c r="D679" s="93"/>
      <c r="E679" s="93"/>
      <c r="F679" s="2"/>
      <c r="G679" s="2"/>
      <c r="H679" s="2"/>
      <c r="I679" s="2"/>
    </row>
    <row r="680" spans="1:9" ht="12.75">
      <c r="A680" s="9"/>
      <c r="B680" s="1"/>
      <c r="C680" s="1"/>
      <c r="D680" s="93"/>
      <c r="E680" s="93"/>
      <c r="F680" s="2"/>
      <c r="G680" s="2"/>
      <c r="H680" s="2"/>
      <c r="I680" s="2"/>
    </row>
    <row r="681" spans="1:9" ht="12.75">
      <c r="A681" s="9"/>
      <c r="B681" s="1"/>
      <c r="C681" s="1"/>
      <c r="D681" s="93"/>
      <c r="E681" s="93"/>
      <c r="F681" s="2"/>
      <c r="G681" s="2"/>
      <c r="H681" s="2"/>
      <c r="I681" s="2"/>
    </row>
    <row r="682" spans="1:9" ht="12.75">
      <c r="A682" s="9"/>
      <c r="B682" s="1"/>
      <c r="C682" s="1"/>
      <c r="D682" s="93"/>
      <c r="E682" s="93"/>
      <c r="F682" s="2"/>
      <c r="G682" s="2"/>
      <c r="H682" s="2"/>
      <c r="I682" s="2"/>
    </row>
    <row r="683" spans="1:9" ht="12.75">
      <c r="A683" s="9"/>
      <c r="B683" s="1"/>
      <c r="C683" s="1"/>
      <c r="D683" s="93"/>
      <c r="E683" s="93"/>
      <c r="F683" s="2"/>
      <c r="G683" s="2"/>
      <c r="H683" s="2"/>
      <c r="I683" s="2"/>
    </row>
    <row r="684" spans="1:9" ht="12.75">
      <c r="A684" s="9"/>
      <c r="B684" s="1"/>
      <c r="C684" s="1"/>
      <c r="D684" s="93"/>
      <c r="E684" s="93"/>
      <c r="F684" s="2"/>
      <c r="G684" s="2"/>
      <c r="H684" s="2"/>
      <c r="I684" s="2"/>
    </row>
    <row r="685" spans="1:9" ht="12.75">
      <c r="A685" s="9"/>
      <c r="B685" s="1"/>
      <c r="C685" s="1"/>
      <c r="D685" s="93"/>
      <c r="E685" s="93"/>
      <c r="F685" s="2"/>
      <c r="G685" s="2"/>
      <c r="H685" s="2"/>
      <c r="I685" s="2"/>
    </row>
    <row r="686" spans="1:9" ht="12.75">
      <c r="A686" s="9"/>
      <c r="B686" s="1"/>
      <c r="C686" s="1"/>
      <c r="D686" s="93"/>
      <c r="E686" s="93"/>
      <c r="F686" s="2"/>
      <c r="G686" s="2"/>
      <c r="H686" s="2"/>
      <c r="I686" s="2"/>
    </row>
    <row r="687" spans="1:9" ht="12.75">
      <c r="A687" s="9"/>
      <c r="B687" s="1"/>
      <c r="C687" s="1"/>
      <c r="D687" s="93"/>
      <c r="E687" s="93"/>
      <c r="F687" s="2"/>
      <c r="G687" s="2"/>
      <c r="H687" s="2"/>
      <c r="I687" s="2"/>
    </row>
    <row r="688" spans="1:9" ht="12.75">
      <c r="A688" s="9"/>
      <c r="B688" s="1"/>
      <c r="C688" s="1"/>
      <c r="D688" s="93"/>
      <c r="E688" s="93"/>
      <c r="F688" s="2"/>
      <c r="G688" s="2"/>
      <c r="H688" s="2"/>
      <c r="I688" s="2"/>
    </row>
    <row r="689" spans="1:9" ht="12.75">
      <c r="A689" s="9"/>
      <c r="B689" s="1"/>
      <c r="C689" s="1"/>
      <c r="D689" s="93"/>
      <c r="E689" s="93"/>
      <c r="F689" s="2"/>
      <c r="G689" s="2"/>
      <c r="H689" s="2"/>
      <c r="I689" s="2"/>
    </row>
    <row r="690" spans="1:9" ht="12.75">
      <c r="A690" s="9"/>
      <c r="B690" s="1"/>
      <c r="C690" s="1"/>
      <c r="D690" s="93"/>
      <c r="E690" s="93"/>
      <c r="F690" s="2"/>
      <c r="G690" s="2"/>
      <c r="H690" s="2"/>
      <c r="I690" s="2"/>
    </row>
    <row r="691" spans="1:9" ht="12.75">
      <c r="A691" s="9"/>
      <c r="B691" s="1"/>
      <c r="C691" s="1"/>
      <c r="D691" s="93"/>
      <c r="E691" s="93"/>
      <c r="F691" s="2"/>
      <c r="G691" s="2"/>
      <c r="H691" s="2"/>
      <c r="I691" s="2"/>
    </row>
    <row r="692" spans="1:9" ht="12.75">
      <c r="A692" s="9"/>
      <c r="B692" s="1"/>
      <c r="C692" s="1"/>
      <c r="D692" s="93"/>
      <c r="E692" s="93"/>
      <c r="F692" s="2"/>
      <c r="G692" s="2"/>
      <c r="H692" s="2"/>
      <c r="I692" s="2"/>
    </row>
    <row r="693" spans="1:9" ht="12.75">
      <c r="A693" s="9"/>
      <c r="B693" s="1"/>
      <c r="C693" s="1"/>
      <c r="D693" s="93"/>
      <c r="E693" s="93"/>
      <c r="F693" s="2"/>
      <c r="G693" s="2"/>
      <c r="H693" s="2"/>
      <c r="I693" s="2"/>
    </row>
    <row r="694" spans="1:9" ht="12.75">
      <c r="A694" s="9"/>
      <c r="B694" s="1"/>
      <c r="C694" s="1"/>
      <c r="D694" s="93"/>
      <c r="E694" s="93"/>
      <c r="F694" s="2"/>
      <c r="G694" s="2"/>
      <c r="H694" s="2"/>
      <c r="I694" s="2"/>
    </row>
    <row r="695" spans="1:9" ht="12.75">
      <c r="A695" s="9"/>
      <c r="B695" s="1"/>
      <c r="C695" s="1"/>
      <c r="D695" s="93"/>
      <c r="E695" s="93"/>
      <c r="F695" s="2"/>
      <c r="G695" s="2"/>
      <c r="H695" s="2"/>
      <c r="I695" s="2"/>
    </row>
    <row r="696" spans="1:9" ht="12.75">
      <c r="A696" s="9"/>
      <c r="B696" s="1"/>
      <c r="C696" s="1"/>
      <c r="D696" s="93"/>
      <c r="E696" s="93"/>
      <c r="F696" s="2"/>
      <c r="G696" s="2"/>
      <c r="H696" s="2"/>
      <c r="I696" s="2"/>
    </row>
    <row r="697" spans="1:9" ht="12.75">
      <c r="A697" s="9"/>
      <c r="B697" s="1"/>
      <c r="C697" s="1"/>
      <c r="D697" s="93"/>
      <c r="E697" s="93"/>
      <c r="F697" s="2"/>
      <c r="G697" s="2"/>
      <c r="H697" s="2"/>
      <c r="I697" s="2"/>
    </row>
    <row r="698" spans="1:9" ht="12.75">
      <c r="A698" s="9"/>
      <c r="B698" s="1"/>
      <c r="C698" s="1"/>
      <c r="D698" s="93"/>
      <c r="E698" s="93"/>
      <c r="F698" s="2"/>
      <c r="G698" s="2"/>
      <c r="H698" s="2"/>
      <c r="I698" s="2"/>
    </row>
    <row r="699" spans="1:9" ht="12.75">
      <c r="A699" s="9"/>
      <c r="B699" s="1"/>
      <c r="C699" s="1"/>
      <c r="D699" s="93"/>
      <c r="E699" s="93"/>
      <c r="F699" s="2"/>
      <c r="G699" s="2"/>
      <c r="H699" s="2"/>
      <c r="I699" s="2"/>
    </row>
    <row r="700" spans="1:9" ht="12.75">
      <c r="A700" s="9"/>
      <c r="B700" s="1"/>
      <c r="C700" s="1"/>
      <c r="D700" s="93"/>
      <c r="E700" s="93"/>
      <c r="F700" s="2"/>
      <c r="G700" s="2"/>
      <c r="H700" s="2"/>
      <c r="I700" s="2"/>
    </row>
    <row r="701" spans="1:9" ht="12.75">
      <c r="A701" s="9"/>
      <c r="B701" s="1"/>
      <c r="C701" s="1"/>
      <c r="D701" s="93"/>
      <c r="E701" s="93"/>
      <c r="F701" s="2"/>
      <c r="G701" s="2"/>
      <c r="H701" s="2"/>
      <c r="I701" s="2"/>
    </row>
    <row r="702" spans="1:9" ht="12.75">
      <c r="A702" s="9"/>
      <c r="B702" s="1"/>
      <c r="C702" s="1"/>
      <c r="D702" s="93"/>
      <c r="E702" s="93"/>
      <c r="F702" s="2"/>
      <c r="G702" s="2"/>
      <c r="H702" s="2"/>
      <c r="I702" s="2"/>
    </row>
    <row r="703" spans="1:9" ht="12.75">
      <c r="A703" s="9"/>
      <c r="B703" s="1"/>
      <c r="C703" s="1"/>
      <c r="D703" s="93"/>
      <c r="E703" s="93"/>
      <c r="F703" s="2"/>
      <c r="G703" s="2"/>
      <c r="H703" s="2"/>
      <c r="I703" s="2"/>
    </row>
    <row r="704" spans="1:9" ht="12.75">
      <c r="A704" s="9"/>
      <c r="B704" s="1"/>
      <c r="C704" s="1"/>
      <c r="D704" s="93"/>
      <c r="E704" s="93"/>
      <c r="F704" s="2"/>
      <c r="G704" s="2"/>
      <c r="H704" s="2"/>
      <c r="I704" s="2"/>
    </row>
    <row r="705" spans="1:9" ht="12.75">
      <c r="A705" s="9"/>
      <c r="B705" s="1"/>
      <c r="C705" s="1"/>
      <c r="D705" s="93"/>
      <c r="E705" s="93"/>
      <c r="F705" s="2"/>
      <c r="G705" s="2"/>
      <c r="H705" s="2"/>
      <c r="I705" s="2"/>
    </row>
    <row r="706" spans="1:9" ht="12.75">
      <c r="A706" s="9"/>
      <c r="B706" s="1"/>
      <c r="C706" s="1"/>
      <c r="D706" s="93"/>
      <c r="E706" s="93"/>
      <c r="F706" s="2"/>
      <c r="G706" s="2"/>
      <c r="H706" s="2"/>
      <c r="I706" s="2"/>
    </row>
    <row r="707" spans="1:9" ht="12.75">
      <c r="A707" s="9"/>
      <c r="B707" s="1"/>
      <c r="C707" s="1"/>
      <c r="D707" s="93"/>
      <c r="E707" s="93"/>
      <c r="F707" s="2"/>
      <c r="G707" s="2"/>
      <c r="H707" s="2"/>
      <c r="I707" s="2"/>
    </row>
    <row r="708" spans="1:9" ht="12.75">
      <c r="A708" s="9"/>
      <c r="B708" s="1"/>
      <c r="C708" s="1"/>
      <c r="D708" s="93"/>
      <c r="E708" s="93"/>
      <c r="F708" s="2"/>
      <c r="G708" s="2"/>
      <c r="H708" s="2"/>
      <c r="I708" s="2"/>
    </row>
    <row r="709" spans="1:9" ht="12.75">
      <c r="A709" s="9"/>
      <c r="B709" s="1"/>
      <c r="C709" s="1"/>
      <c r="D709" s="93"/>
      <c r="E709" s="93"/>
      <c r="F709" s="2"/>
      <c r="G709" s="2"/>
      <c r="H709" s="2"/>
      <c r="I709" s="2"/>
    </row>
    <row r="710" spans="1:9" ht="12.75">
      <c r="A710" s="9"/>
      <c r="B710" s="1"/>
      <c r="C710" s="1"/>
      <c r="D710" s="93"/>
      <c r="E710" s="93"/>
      <c r="F710" s="2"/>
      <c r="G710" s="2"/>
      <c r="H710" s="2"/>
      <c r="I710" s="2"/>
    </row>
    <row r="711" spans="1:9" ht="12.75">
      <c r="A711" s="9"/>
      <c r="B711" s="1"/>
      <c r="C711" s="1"/>
      <c r="D711" s="93"/>
      <c r="E711" s="93"/>
      <c r="F711" s="2"/>
      <c r="G711" s="2"/>
      <c r="H711" s="2"/>
      <c r="I711" s="2"/>
    </row>
    <row r="712" spans="1:9" ht="12.75">
      <c r="A712" s="9"/>
      <c r="B712" s="1"/>
      <c r="C712" s="1"/>
      <c r="D712" s="93"/>
      <c r="E712" s="93"/>
      <c r="F712" s="2"/>
      <c r="G712" s="2"/>
      <c r="H712" s="2"/>
      <c r="I712" s="2"/>
    </row>
    <row r="713" spans="1:9" ht="12.75">
      <c r="A713" s="9"/>
      <c r="B713" s="1"/>
      <c r="C713" s="1"/>
      <c r="D713" s="93"/>
      <c r="E713" s="93"/>
      <c r="F713" s="2"/>
      <c r="G713" s="2"/>
      <c r="H713" s="2"/>
      <c r="I713" s="2"/>
    </row>
    <row r="714" spans="1:9" ht="12.75">
      <c r="A714" s="9"/>
      <c r="B714" s="1"/>
      <c r="C714" s="1"/>
      <c r="D714" s="93"/>
      <c r="E714" s="93"/>
      <c r="F714" s="2"/>
      <c r="G714" s="2"/>
      <c r="H714" s="2"/>
      <c r="I714" s="2"/>
    </row>
    <row r="715" spans="1:9" ht="12.75">
      <c r="A715" s="9"/>
      <c r="B715" s="1"/>
      <c r="C715" s="1"/>
      <c r="D715" s="93"/>
      <c r="E715" s="93"/>
      <c r="F715" s="2"/>
      <c r="G715" s="2"/>
      <c r="H715" s="2"/>
      <c r="I715" s="2"/>
    </row>
    <row r="716" spans="1:9" ht="12.75">
      <c r="A716" s="9"/>
      <c r="B716" s="1"/>
      <c r="C716" s="1"/>
      <c r="D716" s="93"/>
      <c r="E716" s="93"/>
      <c r="F716" s="2"/>
      <c r="G716" s="2"/>
      <c r="H716" s="2"/>
      <c r="I716" s="2"/>
    </row>
    <row r="717" spans="1:9" ht="12.75">
      <c r="A717" s="9"/>
      <c r="B717" s="1"/>
      <c r="C717" s="1"/>
      <c r="D717" s="93"/>
      <c r="E717" s="93"/>
      <c r="F717" s="2"/>
      <c r="G717" s="2"/>
      <c r="H717" s="2"/>
      <c r="I717" s="2"/>
    </row>
    <row r="718" spans="1:9" ht="12.75">
      <c r="A718" s="9"/>
      <c r="B718" s="1"/>
      <c r="C718" s="1"/>
      <c r="D718" s="93"/>
      <c r="E718" s="93"/>
      <c r="F718" s="2"/>
      <c r="G718" s="2"/>
      <c r="H718" s="2"/>
      <c r="I718" s="2"/>
    </row>
    <row r="719" spans="1:9" ht="12.75">
      <c r="A719" s="9"/>
      <c r="B719" s="1"/>
      <c r="C719" s="1"/>
      <c r="D719" s="93"/>
      <c r="E719" s="93"/>
      <c r="F719" s="2"/>
      <c r="G719" s="2"/>
      <c r="H719" s="2"/>
      <c r="I719" s="2"/>
    </row>
    <row r="720" spans="1:9" ht="12.75">
      <c r="A720" s="9"/>
      <c r="B720" s="1"/>
      <c r="C720" s="1"/>
      <c r="D720" s="93"/>
      <c r="E720" s="93"/>
      <c r="F720" s="2"/>
      <c r="G720" s="2"/>
      <c r="H720" s="2"/>
      <c r="I720" s="2"/>
    </row>
    <row r="721" spans="1:9" ht="12.75">
      <c r="A721" s="9"/>
      <c r="B721" s="1"/>
      <c r="C721" s="1"/>
      <c r="D721" s="93"/>
      <c r="E721" s="93"/>
      <c r="F721" s="2"/>
      <c r="G721" s="2"/>
      <c r="H721" s="2"/>
      <c r="I721" s="2"/>
    </row>
    <row r="722" spans="1:9" ht="12.75">
      <c r="A722" s="9"/>
      <c r="B722" s="1"/>
      <c r="C722" s="1"/>
      <c r="D722" s="93"/>
      <c r="E722" s="93"/>
      <c r="F722" s="2"/>
      <c r="G722" s="2"/>
      <c r="H722" s="2"/>
      <c r="I722" s="2"/>
    </row>
    <row r="723" spans="1:9" ht="12.75">
      <c r="A723" s="9"/>
      <c r="B723" s="1"/>
      <c r="C723" s="1"/>
      <c r="D723" s="93"/>
      <c r="E723" s="93"/>
      <c r="F723" s="2"/>
      <c r="G723" s="2"/>
      <c r="H723" s="2"/>
      <c r="I723" s="2"/>
    </row>
    <row r="724" spans="1:9" ht="12.75">
      <c r="A724" s="9"/>
      <c r="B724" s="1"/>
      <c r="C724" s="1"/>
      <c r="D724" s="93"/>
      <c r="E724" s="93"/>
      <c r="F724" s="2"/>
      <c r="G724" s="2"/>
      <c r="H724" s="2"/>
      <c r="I724" s="2"/>
    </row>
    <row r="725" spans="1:9" ht="12.75">
      <c r="A725" s="9"/>
      <c r="B725" s="1"/>
      <c r="C725" s="1"/>
      <c r="D725" s="93"/>
      <c r="E725" s="93"/>
      <c r="F725" s="2"/>
      <c r="G725" s="2"/>
      <c r="H725" s="2"/>
      <c r="I725" s="2"/>
    </row>
    <row r="726" spans="1:9" ht="12.75">
      <c r="A726" s="9"/>
      <c r="B726" s="1"/>
      <c r="C726" s="1"/>
      <c r="D726" s="93"/>
      <c r="E726" s="93"/>
      <c r="F726" s="2"/>
      <c r="G726" s="2"/>
      <c r="H726" s="2"/>
      <c r="I726" s="2"/>
    </row>
    <row r="727" spans="1:9" ht="12.75">
      <c r="A727" s="9"/>
      <c r="B727" s="1"/>
      <c r="C727" s="1"/>
      <c r="D727" s="93"/>
      <c r="E727" s="93"/>
      <c r="F727" s="2"/>
      <c r="G727" s="2"/>
      <c r="H727" s="2"/>
      <c r="I727" s="2"/>
    </row>
    <row r="728" spans="1:9" ht="12.75">
      <c r="A728" s="9"/>
      <c r="B728" s="1"/>
      <c r="C728" s="1"/>
      <c r="D728" s="93"/>
      <c r="E728" s="93"/>
      <c r="F728" s="2"/>
      <c r="G728" s="2"/>
      <c r="H728" s="2"/>
      <c r="I728" s="2"/>
    </row>
    <row r="729" spans="1:9" ht="12.75">
      <c r="A729" s="9"/>
      <c r="B729" s="1"/>
      <c r="C729" s="1"/>
      <c r="D729" s="93"/>
      <c r="E729" s="93"/>
      <c r="F729" s="2"/>
      <c r="G729" s="2"/>
      <c r="H729" s="2"/>
      <c r="I729" s="2"/>
    </row>
    <row r="730" spans="1:9" ht="12.75">
      <c r="A730" s="9"/>
      <c r="B730" s="1"/>
      <c r="C730" s="1"/>
      <c r="D730" s="93"/>
      <c r="E730" s="93"/>
      <c r="F730" s="2"/>
      <c r="G730" s="2"/>
      <c r="H730" s="2"/>
      <c r="I730" s="2"/>
    </row>
    <row r="731" spans="1:9" ht="12.75">
      <c r="A731" s="9"/>
      <c r="B731" s="1"/>
      <c r="C731" s="1"/>
      <c r="D731" s="93"/>
      <c r="E731" s="93"/>
      <c r="F731" s="2"/>
      <c r="G731" s="2"/>
      <c r="H731" s="2"/>
      <c r="I731" s="2"/>
    </row>
    <row r="732" spans="1:9" ht="12.75">
      <c r="A732" s="9"/>
      <c r="B732" s="1"/>
      <c r="C732" s="1"/>
      <c r="D732" s="93"/>
      <c r="E732" s="93"/>
      <c r="F732" s="2"/>
      <c r="G732" s="2"/>
      <c r="H732" s="2"/>
      <c r="I732" s="2"/>
    </row>
    <row r="733" spans="1:9" ht="12.75">
      <c r="A733" s="9"/>
      <c r="B733" s="1"/>
      <c r="C733" s="1"/>
      <c r="D733" s="93"/>
      <c r="E733" s="93"/>
      <c r="F733" s="2"/>
      <c r="G733" s="2"/>
      <c r="H733" s="2"/>
      <c r="I733" s="2"/>
    </row>
    <row r="734" spans="1:9" ht="12.75">
      <c r="A734" s="9"/>
      <c r="B734" s="1"/>
      <c r="C734" s="1"/>
      <c r="D734" s="93"/>
      <c r="E734" s="93"/>
      <c r="F734" s="2"/>
      <c r="G734" s="2"/>
      <c r="H734" s="2"/>
      <c r="I734" s="2"/>
    </row>
    <row r="735" spans="1:9" ht="12.75">
      <c r="A735" s="9"/>
      <c r="B735" s="1"/>
      <c r="C735" s="1"/>
      <c r="D735" s="93"/>
      <c r="E735" s="93"/>
      <c r="F735" s="2"/>
      <c r="G735" s="2"/>
      <c r="H735" s="2"/>
      <c r="I735" s="2"/>
    </row>
    <row r="736" spans="1:9" ht="12.75">
      <c r="A736" s="9"/>
      <c r="B736" s="1"/>
      <c r="C736" s="1"/>
      <c r="D736" s="93"/>
      <c r="E736" s="93"/>
      <c r="F736" s="2"/>
      <c r="G736" s="2"/>
      <c r="H736" s="2"/>
      <c r="I736" s="2"/>
    </row>
    <row r="737" spans="1:9" ht="12.75">
      <c r="A737" s="9"/>
      <c r="B737" s="1"/>
      <c r="C737" s="1"/>
      <c r="D737" s="93"/>
      <c r="E737" s="93"/>
      <c r="F737" s="2"/>
      <c r="G737" s="2"/>
      <c r="H737" s="2"/>
      <c r="I737" s="2"/>
    </row>
    <row r="738" spans="1:9" ht="12.75">
      <c r="A738" s="9"/>
      <c r="B738" s="1"/>
      <c r="C738" s="1"/>
      <c r="D738" s="93"/>
      <c r="E738" s="93"/>
      <c r="F738" s="2"/>
      <c r="G738" s="2"/>
      <c r="H738" s="2"/>
      <c r="I738" s="2"/>
    </row>
    <row r="739" spans="1:9" ht="12.75">
      <c r="A739" s="9"/>
      <c r="B739" s="1"/>
      <c r="C739" s="1"/>
      <c r="D739" s="93"/>
      <c r="E739" s="93"/>
      <c r="F739" s="2"/>
      <c r="G739" s="2"/>
      <c r="H739" s="2"/>
      <c r="I739" s="2"/>
    </row>
    <row r="740" spans="1:9" ht="12.75">
      <c r="A740" s="9"/>
      <c r="B740" s="1"/>
      <c r="C740" s="1"/>
      <c r="D740" s="93"/>
      <c r="E740" s="93"/>
      <c r="F740" s="2"/>
      <c r="G740" s="2"/>
      <c r="H740" s="2"/>
      <c r="I740" s="2"/>
    </row>
    <row r="741" spans="1:9" ht="12.75">
      <c r="A741" s="9"/>
      <c r="B741" s="1"/>
      <c r="C741" s="1"/>
      <c r="D741" s="93"/>
      <c r="E741" s="93"/>
      <c r="F741" s="2"/>
      <c r="G741" s="2"/>
      <c r="H741" s="2"/>
      <c r="I741" s="2"/>
    </row>
    <row r="742" spans="1:9" ht="12.75">
      <c r="A742" s="9"/>
      <c r="B742" s="1"/>
      <c r="C742" s="1"/>
      <c r="D742" s="93"/>
      <c r="E742" s="93"/>
      <c r="F742" s="2"/>
      <c r="G742" s="2"/>
      <c r="H742" s="2"/>
      <c r="I742" s="2"/>
    </row>
    <row r="743" spans="1:9" ht="12.75">
      <c r="A743" s="9"/>
      <c r="B743" s="1"/>
      <c r="C743" s="1"/>
      <c r="D743" s="93"/>
      <c r="E743" s="93"/>
      <c r="F743" s="2"/>
      <c r="G743" s="2"/>
      <c r="H743" s="2"/>
      <c r="I743" s="2"/>
    </row>
    <row r="744" spans="1:9" ht="12.75">
      <c r="A744" s="9"/>
      <c r="B744" s="1"/>
      <c r="C744" s="1"/>
      <c r="D744" s="93"/>
      <c r="E744" s="93"/>
      <c r="F744" s="2"/>
      <c r="G744" s="2"/>
      <c r="H744" s="2"/>
      <c r="I744" s="2"/>
    </row>
    <row r="745" spans="1:9" ht="12.75">
      <c r="A745" s="9"/>
      <c r="B745" s="1"/>
      <c r="C745" s="1"/>
      <c r="D745" s="93"/>
      <c r="E745" s="93"/>
      <c r="F745" s="2"/>
      <c r="G745" s="2"/>
      <c r="H745" s="2"/>
      <c r="I745" s="2"/>
    </row>
    <row r="746" spans="1:9" ht="12.75">
      <c r="A746" s="9"/>
      <c r="B746" s="1"/>
      <c r="C746" s="1"/>
      <c r="D746" s="93"/>
      <c r="E746" s="93"/>
      <c r="F746" s="2"/>
      <c r="G746" s="2"/>
      <c r="H746" s="2"/>
      <c r="I746" s="2"/>
    </row>
    <row r="747" spans="1:9" ht="12.75">
      <c r="A747" s="9"/>
      <c r="B747" s="1"/>
      <c r="C747" s="1"/>
      <c r="D747" s="93"/>
      <c r="E747" s="93"/>
      <c r="F747" s="2"/>
      <c r="G747" s="2"/>
      <c r="H747" s="2"/>
      <c r="I747" s="2"/>
    </row>
    <row r="748" spans="1:9" ht="12.75">
      <c r="A748" s="9"/>
      <c r="B748" s="1"/>
      <c r="C748" s="1"/>
      <c r="D748" s="93"/>
      <c r="E748" s="93"/>
      <c r="F748" s="2"/>
      <c r="G748" s="2"/>
      <c r="H748" s="2"/>
      <c r="I748" s="2"/>
    </row>
    <row r="749" spans="1:9" ht="12.75">
      <c r="A749" s="9"/>
      <c r="B749" s="1"/>
      <c r="C749" s="1"/>
      <c r="D749" s="93"/>
      <c r="E749" s="93"/>
      <c r="F749" s="2"/>
      <c r="G749" s="2"/>
      <c r="H749" s="2"/>
      <c r="I749" s="2"/>
    </row>
    <row r="750" spans="1:9" ht="12.75">
      <c r="A750" s="9"/>
      <c r="B750" s="1"/>
      <c r="C750" s="1"/>
      <c r="D750" s="93"/>
      <c r="E750" s="93"/>
      <c r="F750" s="2"/>
      <c r="G750" s="2"/>
      <c r="H750" s="2"/>
      <c r="I750" s="2"/>
    </row>
    <row r="751" spans="1:9" ht="12.75">
      <c r="A751" s="9"/>
      <c r="B751" s="1"/>
      <c r="C751" s="1"/>
      <c r="D751" s="93"/>
      <c r="E751" s="93"/>
      <c r="F751" s="2"/>
      <c r="G751" s="2"/>
      <c r="H751" s="2"/>
      <c r="I751" s="2"/>
    </row>
    <row r="752" spans="1:9" ht="12.75">
      <c r="A752" s="9"/>
      <c r="B752" s="1"/>
      <c r="C752" s="1"/>
      <c r="D752" s="93"/>
      <c r="E752" s="93"/>
      <c r="F752" s="2"/>
      <c r="G752" s="2"/>
      <c r="H752" s="2"/>
      <c r="I752" s="2"/>
    </row>
    <row r="753" spans="1:9" ht="12.75">
      <c r="A753" s="9"/>
      <c r="B753" s="1"/>
      <c r="C753" s="1"/>
      <c r="D753" s="93"/>
      <c r="E753" s="93"/>
      <c r="F753" s="2"/>
      <c r="G753" s="2"/>
      <c r="H753" s="2"/>
      <c r="I753" s="2"/>
    </row>
    <row r="754" spans="1:9" ht="12.75">
      <c r="A754" s="9"/>
      <c r="B754" s="1"/>
      <c r="C754" s="1"/>
      <c r="D754" s="93"/>
      <c r="E754" s="93"/>
      <c r="F754" s="2"/>
      <c r="G754" s="2"/>
      <c r="H754" s="2"/>
      <c r="I754" s="2"/>
    </row>
    <row r="755" spans="1:9" ht="12.75">
      <c r="A755" s="9"/>
      <c r="B755" s="1"/>
      <c r="C755" s="1"/>
      <c r="D755" s="93"/>
      <c r="E755" s="93"/>
      <c r="F755" s="2"/>
      <c r="G755" s="2"/>
      <c r="H755" s="2"/>
      <c r="I755" s="2"/>
    </row>
    <row r="756" spans="1:9" ht="12.75">
      <c r="A756" s="9"/>
      <c r="B756" s="1"/>
      <c r="C756" s="1"/>
      <c r="D756" s="93"/>
      <c r="E756" s="93"/>
      <c r="F756" s="2"/>
      <c r="G756" s="2"/>
      <c r="H756" s="2"/>
      <c r="I756" s="2"/>
    </row>
    <row r="757" spans="1:9" ht="12.75">
      <c r="A757" s="9"/>
      <c r="B757" s="1"/>
      <c r="C757" s="1"/>
      <c r="D757" s="93"/>
      <c r="E757" s="93"/>
      <c r="F757" s="2"/>
      <c r="G757" s="2"/>
      <c r="H757" s="2"/>
      <c r="I757" s="2"/>
    </row>
    <row r="758" spans="1:9" ht="12.75">
      <c r="A758" s="9"/>
      <c r="B758" s="1"/>
      <c r="C758" s="1"/>
      <c r="D758" s="93"/>
      <c r="E758" s="93"/>
      <c r="F758" s="2"/>
      <c r="G758" s="2"/>
      <c r="H758" s="2"/>
      <c r="I758" s="2"/>
    </row>
    <row r="759" spans="1:9" ht="12.75">
      <c r="A759" s="9"/>
      <c r="B759" s="1"/>
      <c r="C759" s="1"/>
      <c r="D759" s="93"/>
      <c r="E759" s="93"/>
      <c r="F759" s="2"/>
      <c r="G759" s="2"/>
      <c r="H759" s="2"/>
      <c r="I759" s="2"/>
    </row>
    <row r="760" spans="1:9" ht="12.75">
      <c r="A760" s="9"/>
      <c r="B760" s="1"/>
      <c r="C760" s="1"/>
      <c r="D760" s="93"/>
      <c r="E760" s="93"/>
      <c r="F760" s="2"/>
      <c r="G760" s="2"/>
      <c r="H760" s="2"/>
      <c r="I760" s="2"/>
    </row>
    <row r="761" spans="1:9" ht="12.75">
      <c r="A761" s="9"/>
      <c r="B761" s="1"/>
      <c r="C761" s="1"/>
      <c r="D761" s="93"/>
      <c r="E761" s="93"/>
      <c r="F761" s="2"/>
      <c r="G761" s="2"/>
      <c r="H761" s="2"/>
      <c r="I761" s="2"/>
    </row>
    <row r="762" spans="1:9" ht="12.75">
      <c r="A762" s="9"/>
      <c r="B762" s="1"/>
      <c r="C762" s="1"/>
      <c r="D762" s="93"/>
      <c r="E762" s="93"/>
      <c r="F762" s="2"/>
      <c r="G762" s="2"/>
      <c r="H762" s="2"/>
      <c r="I762" s="2"/>
    </row>
    <row r="763" spans="1:9" ht="12.75">
      <c r="A763" s="9"/>
      <c r="B763" s="1"/>
      <c r="C763" s="1"/>
      <c r="D763" s="93"/>
      <c r="E763" s="93"/>
      <c r="F763" s="2"/>
      <c r="G763" s="2"/>
      <c r="H763" s="2"/>
      <c r="I763" s="2"/>
    </row>
    <row r="764" spans="1:9" ht="12.75">
      <c r="A764" s="9"/>
      <c r="B764" s="1"/>
      <c r="C764" s="1"/>
      <c r="D764" s="93"/>
      <c r="E764" s="93"/>
      <c r="F764" s="2"/>
      <c r="G764" s="2"/>
      <c r="H764" s="2"/>
      <c r="I764" s="2"/>
    </row>
    <row r="765" spans="1:9" ht="12.75">
      <c r="A765" s="9"/>
      <c r="B765" s="1"/>
      <c r="C765" s="1"/>
      <c r="D765" s="93"/>
      <c r="E765" s="93"/>
      <c r="F765" s="2"/>
      <c r="G765" s="2"/>
      <c r="H765" s="2"/>
      <c r="I765" s="2"/>
    </row>
    <row r="766" spans="1:9" ht="12.75">
      <c r="A766" s="9"/>
      <c r="B766" s="1"/>
      <c r="C766" s="1"/>
      <c r="D766" s="93"/>
      <c r="E766" s="93"/>
      <c r="F766" s="2"/>
      <c r="G766" s="2"/>
      <c r="H766" s="2"/>
      <c r="I766" s="2"/>
    </row>
    <row r="767" spans="1:9" ht="12.75">
      <c r="A767" s="9"/>
      <c r="B767" s="1"/>
      <c r="C767" s="1"/>
      <c r="D767" s="93"/>
      <c r="E767" s="93"/>
      <c r="F767" s="2"/>
      <c r="G767" s="2"/>
      <c r="H767" s="2"/>
      <c r="I767" s="2"/>
    </row>
    <row r="768" spans="1:9" ht="12.75">
      <c r="A768" s="9"/>
      <c r="B768" s="1"/>
      <c r="C768" s="1"/>
      <c r="D768" s="93"/>
      <c r="E768" s="93"/>
      <c r="F768" s="2"/>
      <c r="G768" s="2"/>
      <c r="H768" s="2"/>
      <c r="I768" s="2"/>
    </row>
    <row r="769" spans="1:9" ht="12.75">
      <c r="A769" s="9"/>
      <c r="B769" s="1"/>
      <c r="C769" s="1"/>
      <c r="D769" s="93"/>
      <c r="E769" s="93"/>
      <c r="F769" s="2"/>
      <c r="G769" s="2"/>
      <c r="H769" s="2"/>
      <c r="I769" s="2"/>
    </row>
    <row r="770" spans="1:9" ht="12.75">
      <c r="A770" s="9"/>
      <c r="B770" s="1"/>
      <c r="C770" s="1"/>
      <c r="D770" s="93"/>
      <c r="E770" s="93"/>
      <c r="F770" s="2"/>
      <c r="G770" s="2"/>
      <c r="H770" s="2"/>
      <c r="I770" s="2"/>
    </row>
    <row r="771" spans="1:9" ht="12.75">
      <c r="A771" s="9"/>
      <c r="B771" s="1"/>
      <c r="C771" s="1"/>
      <c r="D771" s="93"/>
      <c r="E771" s="93"/>
      <c r="F771" s="2"/>
      <c r="G771" s="2"/>
      <c r="H771" s="2"/>
      <c r="I771" s="2"/>
    </row>
    <row r="772" spans="1:9" ht="12.75">
      <c r="A772" s="9"/>
      <c r="B772" s="1"/>
      <c r="C772" s="1"/>
      <c r="D772" s="93"/>
      <c r="E772" s="93"/>
      <c r="F772" s="2"/>
      <c r="G772" s="2"/>
      <c r="H772" s="2"/>
      <c r="I772" s="2"/>
    </row>
    <row r="773" spans="1:9" ht="12.75">
      <c r="A773" s="9"/>
      <c r="B773" s="1"/>
      <c r="C773" s="1"/>
      <c r="D773" s="93"/>
      <c r="E773" s="93"/>
      <c r="F773" s="2"/>
      <c r="G773" s="2"/>
      <c r="H773" s="2"/>
      <c r="I773" s="2"/>
    </row>
    <row r="774" spans="1:9" ht="12.75">
      <c r="A774" s="9"/>
      <c r="B774" s="1"/>
      <c r="C774" s="1"/>
      <c r="D774" s="93"/>
      <c r="E774" s="93"/>
      <c r="F774" s="2"/>
      <c r="G774" s="2"/>
      <c r="H774" s="2"/>
      <c r="I774" s="2"/>
    </row>
    <row r="775" spans="1:9" ht="12.75">
      <c r="A775" s="9"/>
      <c r="B775" s="1"/>
      <c r="C775" s="1"/>
      <c r="D775" s="93"/>
      <c r="E775" s="93"/>
      <c r="F775" s="2"/>
      <c r="G775" s="2"/>
      <c r="H775" s="2"/>
      <c r="I775" s="2"/>
    </row>
    <row r="776" spans="1:9" ht="12.75">
      <c r="A776" s="9"/>
      <c r="B776" s="1"/>
      <c r="C776" s="1"/>
      <c r="D776" s="93"/>
      <c r="E776" s="93"/>
      <c r="F776" s="2"/>
      <c r="G776" s="2"/>
      <c r="H776" s="2"/>
      <c r="I776" s="2"/>
    </row>
    <row r="777" spans="1:9" ht="12.75">
      <c r="A777" s="9"/>
      <c r="B777" s="1"/>
      <c r="C777" s="1"/>
      <c r="D777" s="93"/>
      <c r="E777" s="93"/>
      <c r="F777" s="2"/>
      <c r="G777" s="2"/>
      <c r="H777" s="2"/>
      <c r="I777" s="2"/>
    </row>
    <row r="778" spans="1:9" ht="12.75">
      <c r="A778" s="9"/>
      <c r="B778" s="1"/>
      <c r="C778" s="1"/>
      <c r="D778" s="93"/>
      <c r="E778" s="93"/>
      <c r="F778" s="2"/>
      <c r="G778" s="2"/>
      <c r="H778" s="2"/>
      <c r="I778" s="2"/>
    </row>
    <row r="779" spans="1:9" ht="12.75">
      <c r="A779" s="9"/>
      <c r="B779" s="1"/>
      <c r="C779" s="1"/>
      <c r="D779" s="93"/>
      <c r="E779" s="93"/>
      <c r="F779" s="2"/>
      <c r="G779" s="2"/>
      <c r="H779" s="2"/>
      <c r="I779" s="2"/>
    </row>
    <row r="780" spans="1:9" ht="12.75">
      <c r="A780" s="9"/>
      <c r="B780" s="1"/>
      <c r="C780" s="1"/>
      <c r="D780" s="93"/>
      <c r="E780" s="93"/>
      <c r="F780" s="2"/>
      <c r="G780" s="2"/>
      <c r="H780" s="2"/>
      <c r="I780" s="2"/>
    </row>
    <row r="781" spans="1:9" ht="12.75">
      <c r="A781" s="9"/>
      <c r="B781" s="1"/>
      <c r="C781" s="1"/>
      <c r="D781" s="93"/>
      <c r="E781" s="93"/>
      <c r="F781" s="2"/>
      <c r="G781" s="2"/>
      <c r="H781" s="2"/>
      <c r="I781" s="2"/>
    </row>
    <row r="782" spans="1:9" ht="12.75">
      <c r="A782" s="9"/>
      <c r="B782" s="1"/>
      <c r="C782" s="1"/>
      <c r="D782" s="93"/>
      <c r="E782" s="93"/>
      <c r="F782" s="2"/>
      <c r="G782" s="2"/>
      <c r="H782" s="2"/>
      <c r="I782" s="2"/>
    </row>
    <row r="783" spans="1:9" ht="12.75">
      <c r="A783" s="9"/>
      <c r="B783" s="1"/>
      <c r="C783" s="1"/>
      <c r="D783" s="93"/>
      <c r="E783" s="93"/>
      <c r="F783" s="2"/>
      <c r="G783" s="2"/>
      <c r="H783" s="2"/>
      <c r="I783" s="2"/>
    </row>
    <row r="784" spans="1:9" ht="12.75">
      <c r="A784" s="9"/>
      <c r="B784" s="1"/>
      <c r="C784" s="1"/>
      <c r="D784" s="93"/>
      <c r="E784" s="93"/>
      <c r="F784" s="2"/>
      <c r="G784" s="2"/>
      <c r="H784" s="2"/>
      <c r="I784" s="2"/>
    </row>
    <row r="785" spans="1:9" ht="12.75">
      <c r="A785" s="9"/>
      <c r="B785" s="1"/>
      <c r="C785" s="1"/>
      <c r="D785" s="93"/>
      <c r="E785" s="93"/>
      <c r="F785" s="2"/>
      <c r="G785" s="2"/>
      <c r="H785" s="2"/>
      <c r="I785" s="2"/>
    </row>
    <row r="786" spans="1:9" ht="12.75">
      <c r="A786" s="9"/>
      <c r="B786" s="1"/>
      <c r="C786" s="1"/>
      <c r="D786" s="93"/>
      <c r="E786" s="93"/>
      <c r="F786" s="2"/>
      <c r="G786" s="2"/>
      <c r="H786" s="2"/>
      <c r="I786" s="2"/>
    </row>
    <row r="787" spans="1:9" ht="12.75">
      <c r="A787" s="9"/>
      <c r="B787" s="1"/>
      <c r="C787" s="1"/>
      <c r="D787" s="93"/>
      <c r="E787" s="93"/>
      <c r="F787" s="2"/>
      <c r="G787" s="2"/>
      <c r="H787" s="2"/>
      <c r="I787" s="2"/>
    </row>
    <row r="788" spans="1:9" ht="12.75">
      <c r="A788" s="9"/>
      <c r="B788" s="1"/>
      <c r="C788" s="1"/>
      <c r="D788" s="93"/>
      <c r="E788" s="93"/>
      <c r="F788" s="2"/>
      <c r="G788" s="2"/>
      <c r="H788" s="2"/>
      <c r="I788" s="2"/>
    </row>
    <row r="789" spans="1:9" ht="12.75">
      <c r="A789" s="9"/>
      <c r="B789" s="1"/>
      <c r="C789" s="1"/>
      <c r="D789" s="93"/>
      <c r="E789" s="93"/>
      <c r="F789" s="2"/>
      <c r="G789" s="2"/>
      <c r="H789" s="2"/>
      <c r="I789" s="2"/>
    </row>
    <row r="790" spans="1:9" ht="12.75">
      <c r="A790" s="9"/>
      <c r="B790" s="1"/>
      <c r="C790" s="1"/>
      <c r="D790" s="93"/>
      <c r="E790" s="93"/>
      <c r="F790" s="2"/>
      <c r="G790" s="2"/>
      <c r="H790" s="2"/>
      <c r="I790" s="2"/>
    </row>
    <row r="791" spans="1:9" ht="12.75">
      <c r="A791" s="9"/>
      <c r="B791" s="1"/>
      <c r="C791" s="1"/>
      <c r="D791" s="93"/>
      <c r="E791" s="93"/>
      <c r="F791" s="2"/>
      <c r="G791" s="2"/>
      <c r="H791" s="2"/>
      <c r="I791" s="2"/>
    </row>
    <row r="792" spans="1:9" ht="12.75">
      <c r="A792" s="9"/>
      <c r="B792" s="1"/>
      <c r="C792" s="1"/>
      <c r="D792" s="93"/>
      <c r="E792" s="93"/>
      <c r="F792" s="2"/>
      <c r="G792" s="2"/>
      <c r="H792" s="2"/>
      <c r="I792" s="2"/>
    </row>
    <row r="793" spans="1:9" ht="12.75">
      <c r="A793" s="9"/>
      <c r="B793" s="1"/>
      <c r="C793" s="1"/>
      <c r="D793" s="93"/>
      <c r="E793" s="93"/>
      <c r="F793" s="2"/>
      <c r="G793" s="2"/>
      <c r="H793" s="2"/>
      <c r="I793" s="2"/>
    </row>
    <row r="794" spans="1:9" ht="12.75">
      <c r="A794" s="9"/>
      <c r="B794" s="1"/>
      <c r="C794" s="1"/>
      <c r="D794" s="93"/>
      <c r="E794" s="93"/>
      <c r="F794" s="2"/>
      <c r="G794" s="2"/>
      <c r="H794" s="2"/>
      <c r="I794" s="2"/>
    </row>
    <row r="795" spans="1:9" ht="12.75">
      <c r="A795" s="9"/>
      <c r="B795" s="1"/>
      <c r="C795" s="1"/>
      <c r="D795" s="93"/>
      <c r="E795" s="93"/>
      <c r="F795" s="2"/>
      <c r="G795" s="2"/>
      <c r="H795" s="2"/>
      <c r="I795" s="2"/>
    </row>
    <row r="796" spans="1:9" ht="12.75">
      <c r="A796" s="9"/>
      <c r="B796" s="1"/>
      <c r="C796" s="1"/>
      <c r="D796" s="93"/>
      <c r="E796" s="93"/>
      <c r="F796" s="2"/>
      <c r="G796" s="2"/>
      <c r="H796" s="2"/>
      <c r="I796" s="2"/>
    </row>
    <row r="797" spans="1:9" ht="12.75">
      <c r="A797" s="9"/>
      <c r="B797" s="1"/>
      <c r="C797" s="1"/>
      <c r="D797" s="93"/>
      <c r="E797" s="93"/>
      <c r="F797" s="2"/>
      <c r="G797" s="2"/>
      <c r="H797" s="2"/>
      <c r="I797" s="2"/>
    </row>
    <row r="798" spans="1:9" ht="12.75">
      <c r="A798" s="9"/>
      <c r="B798" s="1"/>
      <c r="C798" s="1"/>
      <c r="D798" s="93"/>
      <c r="E798" s="93"/>
      <c r="F798" s="2"/>
      <c r="G798" s="2"/>
      <c r="H798" s="2"/>
      <c r="I798" s="2"/>
    </row>
    <row r="799" spans="1:9" ht="12.75">
      <c r="A799" s="9"/>
      <c r="B799" s="1"/>
      <c r="C799" s="1"/>
      <c r="D799" s="93"/>
      <c r="E799" s="93"/>
      <c r="F799" s="2"/>
      <c r="G799" s="2"/>
      <c r="H799" s="2"/>
      <c r="I799" s="2"/>
    </row>
    <row r="800" spans="1:9" ht="12.75">
      <c r="A800" s="9"/>
      <c r="B800" s="1"/>
      <c r="C800" s="1"/>
      <c r="D800" s="93"/>
      <c r="E800" s="93"/>
      <c r="F800" s="2"/>
      <c r="G800" s="2"/>
      <c r="H800" s="2"/>
      <c r="I800" s="2"/>
    </row>
    <row r="801" spans="1:9" ht="12.75">
      <c r="A801" s="9"/>
      <c r="B801" s="1"/>
      <c r="C801" s="1"/>
      <c r="D801" s="93"/>
      <c r="E801" s="93"/>
      <c r="F801" s="2"/>
      <c r="G801" s="2"/>
      <c r="H801" s="2"/>
      <c r="I801" s="2"/>
    </row>
    <row r="802" spans="1:9" ht="12.75">
      <c r="A802" s="9"/>
      <c r="B802" s="1"/>
      <c r="C802" s="1"/>
      <c r="D802" s="93"/>
      <c r="E802" s="93"/>
      <c r="F802" s="2"/>
      <c r="G802" s="2"/>
      <c r="H802" s="2"/>
      <c r="I802" s="2"/>
    </row>
    <row r="803" spans="1:9" ht="12.75">
      <c r="A803" s="9"/>
      <c r="B803" s="1"/>
      <c r="C803" s="1"/>
      <c r="D803" s="93"/>
      <c r="E803" s="93"/>
      <c r="F803" s="2"/>
      <c r="G803" s="2"/>
      <c r="H803" s="2"/>
      <c r="I803" s="2"/>
    </row>
    <row r="804" spans="1:9" ht="12.75">
      <c r="A804" s="9"/>
      <c r="B804" s="1"/>
      <c r="C804" s="1"/>
      <c r="D804" s="93"/>
      <c r="E804" s="93"/>
      <c r="F804" s="2"/>
      <c r="G804" s="2"/>
      <c r="H804" s="2"/>
      <c r="I804" s="2"/>
    </row>
    <row r="805" spans="1:9" ht="12.75">
      <c r="A805" s="9"/>
      <c r="B805" s="1"/>
      <c r="C805" s="1"/>
      <c r="D805" s="93"/>
      <c r="E805" s="93"/>
      <c r="F805" s="2"/>
      <c r="G805" s="2"/>
      <c r="H805" s="2"/>
      <c r="I805" s="2"/>
    </row>
    <row r="806" spans="1:9" ht="12.75">
      <c r="A806" s="9"/>
      <c r="B806" s="1"/>
      <c r="C806" s="1"/>
      <c r="D806" s="93"/>
      <c r="E806" s="93"/>
      <c r="F806" s="2"/>
      <c r="G806" s="2"/>
      <c r="H806" s="2"/>
      <c r="I806" s="2"/>
    </row>
    <row r="807" spans="1:9" ht="12.75">
      <c r="A807" s="9"/>
      <c r="B807" s="1"/>
      <c r="C807" s="1"/>
      <c r="D807" s="93"/>
      <c r="E807" s="93"/>
      <c r="F807" s="2"/>
      <c r="G807" s="2"/>
      <c r="H807" s="2"/>
      <c r="I807" s="2"/>
    </row>
    <row r="808" spans="1:9" ht="12.75">
      <c r="A808" s="9"/>
      <c r="B808" s="1"/>
      <c r="C808" s="1"/>
      <c r="D808" s="93"/>
      <c r="E808" s="93"/>
      <c r="F808" s="2"/>
      <c r="G808" s="2"/>
      <c r="H808" s="2"/>
      <c r="I808" s="2"/>
    </row>
    <row r="809" spans="1:9" ht="12.75">
      <c r="A809" s="9"/>
      <c r="B809" s="1"/>
      <c r="C809" s="1"/>
      <c r="D809" s="93"/>
      <c r="E809" s="93"/>
      <c r="F809" s="2"/>
      <c r="G809" s="2"/>
      <c r="H809" s="2"/>
      <c r="I809" s="2"/>
    </row>
    <row r="810" spans="1:9" ht="12.75">
      <c r="A810" s="9"/>
      <c r="B810" s="1"/>
      <c r="C810" s="1"/>
      <c r="D810" s="93"/>
      <c r="E810" s="93"/>
      <c r="F810" s="2"/>
      <c r="G810" s="2"/>
      <c r="H810" s="2"/>
      <c r="I810" s="2"/>
    </row>
    <row r="811" spans="1:9" ht="12.75">
      <c r="A811" s="9"/>
      <c r="B811" s="1"/>
      <c r="C811" s="1"/>
      <c r="D811" s="93"/>
      <c r="E811" s="93"/>
      <c r="F811" s="2"/>
      <c r="G811" s="2"/>
      <c r="H811" s="2"/>
      <c r="I811" s="2"/>
    </row>
    <row r="812" spans="1:9" ht="12.75">
      <c r="A812" s="9"/>
      <c r="B812" s="1"/>
      <c r="C812" s="1"/>
      <c r="D812" s="93"/>
      <c r="E812" s="93"/>
      <c r="F812" s="2"/>
      <c r="G812" s="2"/>
      <c r="H812" s="2"/>
      <c r="I812" s="2"/>
    </row>
    <row r="813" spans="1:9" ht="12.75">
      <c r="A813" s="9"/>
      <c r="B813" s="1"/>
      <c r="C813" s="1"/>
      <c r="D813" s="93"/>
      <c r="E813" s="93"/>
      <c r="F813" s="2"/>
      <c r="G813" s="2"/>
      <c r="H813" s="2"/>
      <c r="I813" s="2"/>
    </row>
    <row r="814" spans="1:9" ht="12.75">
      <c r="A814" s="9"/>
      <c r="B814" s="1"/>
      <c r="C814" s="1"/>
      <c r="D814" s="93"/>
      <c r="E814" s="93"/>
      <c r="F814" s="2"/>
      <c r="G814" s="2"/>
      <c r="H814" s="2"/>
      <c r="I814" s="2"/>
    </row>
    <row r="815" spans="1:9" ht="12.75">
      <c r="A815" s="9"/>
      <c r="B815" s="1"/>
      <c r="C815" s="1"/>
      <c r="D815" s="93"/>
      <c r="E815" s="93"/>
      <c r="F815" s="2"/>
      <c r="G815" s="2"/>
      <c r="H815" s="2"/>
      <c r="I815" s="2"/>
    </row>
    <row r="816" spans="1:9" ht="12.75">
      <c r="A816" s="9"/>
      <c r="B816" s="1"/>
      <c r="C816" s="1"/>
      <c r="D816" s="93"/>
      <c r="E816" s="93"/>
      <c r="F816" s="2"/>
      <c r="G816" s="2"/>
      <c r="H816" s="2"/>
      <c r="I816" s="2"/>
    </row>
    <row r="817" spans="1:9" ht="12.75">
      <c r="A817" s="9"/>
      <c r="B817" s="1"/>
      <c r="C817" s="1"/>
      <c r="D817" s="93"/>
      <c r="E817" s="93"/>
      <c r="F817" s="2"/>
      <c r="G817" s="2"/>
      <c r="H817" s="2"/>
      <c r="I817" s="2"/>
    </row>
    <row r="818" spans="1:9" ht="12.75">
      <c r="A818" s="9"/>
      <c r="B818" s="1"/>
      <c r="C818" s="1"/>
      <c r="D818" s="93"/>
      <c r="E818" s="93"/>
      <c r="F818" s="2"/>
      <c r="G818" s="2"/>
      <c r="H818" s="2"/>
      <c r="I818" s="2"/>
    </row>
    <row r="819" spans="1:9" ht="12.75">
      <c r="A819" s="9"/>
      <c r="B819" s="1"/>
      <c r="C819" s="1"/>
      <c r="D819" s="93"/>
      <c r="E819" s="93"/>
      <c r="F819" s="2"/>
      <c r="G819" s="2"/>
      <c r="H819" s="2"/>
      <c r="I819" s="2"/>
    </row>
    <row r="820" spans="1:9" ht="12.75">
      <c r="A820" s="9"/>
      <c r="B820" s="1"/>
      <c r="C820" s="1"/>
      <c r="D820" s="93"/>
      <c r="E820" s="93"/>
      <c r="F820" s="2"/>
      <c r="G820" s="2"/>
      <c r="H820" s="2"/>
      <c r="I820" s="2"/>
    </row>
    <row r="821" spans="1:9" ht="12.75">
      <c r="A821" s="9"/>
      <c r="B821" s="1"/>
      <c r="C821" s="1"/>
      <c r="D821" s="93"/>
      <c r="E821" s="93"/>
      <c r="F821" s="2"/>
      <c r="G821" s="2"/>
      <c r="H821" s="2"/>
      <c r="I821" s="2"/>
    </row>
    <row r="822" spans="1:9" ht="12.75">
      <c r="A822" s="9"/>
      <c r="B822" s="1"/>
      <c r="C822" s="1"/>
      <c r="D822" s="93"/>
      <c r="E822" s="93"/>
      <c r="F822" s="2"/>
      <c r="G822" s="2"/>
      <c r="H822" s="2"/>
      <c r="I822" s="2"/>
    </row>
    <row r="823" spans="1:9" ht="12.75">
      <c r="A823" s="9"/>
      <c r="B823" s="1"/>
      <c r="C823" s="1"/>
      <c r="D823" s="93"/>
      <c r="E823" s="93"/>
      <c r="F823" s="2"/>
      <c r="G823" s="2"/>
      <c r="H823" s="2"/>
      <c r="I823" s="2"/>
    </row>
    <row r="824" spans="1:9" ht="12.75">
      <c r="A824" s="9"/>
      <c r="B824" s="1"/>
      <c r="C824" s="1"/>
      <c r="D824" s="93"/>
      <c r="E824" s="93"/>
      <c r="F824" s="2"/>
      <c r="G824" s="2"/>
      <c r="H824" s="2"/>
      <c r="I824" s="2"/>
    </row>
    <row r="825" spans="1:9" ht="12.75">
      <c r="A825" s="9"/>
      <c r="B825" s="1"/>
      <c r="C825" s="1"/>
      <c r="D825" s="93"/>
      <c r="E825" s="93"/>
      <c r="F825" s="2"/>
      <c r="G825" s="2"/>
      <c r="H825" s="2"/>
      <c r="I825" s="2"/>
    </row>
    <row r="826" spans="1:9" ht="12.75">
      <c r="A826" s="9"/>
      <c r="B826" s="1"/>
      <c r="C826" s="1"/>
      <c r="D826" s="93"/>
      <c r="E826" s="93"/>
      <c r="F826" s="2"/>
      <c r="G826" s="2"/>
      <c r="H826" s="2"/>
      <c r="I826" s="2"/>
    </row>
    <row r="827" spans="1:9" ht="12.75">
      <c r="A827" s="9"/>
      <c r="B827" s="1"/>
      <c r="C827" s="1"/>
      <c r="D827" s="93"/>
      <c r="E827" s="93"/>
      <c r="F827" s="2"/>
      <c r="G827" s="2"/>
      <c r="H827" s="2"/>
      <c r="I827" s="2"/>
    </row>
    <row r="828" spans="1:9" ht="12.75">
      <c r="A828" s="9"/>
      <c r="B828" s="1"/>
      <c r="C828" s="1"/>
      <c r="D828" s="93"/>
      <c r="E828" s="93"/>
      <c r="F828" s="2"/>
      <c r="G828" s="2"/>
      <c r="H828" s="2"/>
      <c r="I828" s="2"/>
    </row>
    <row r="829" spans="1:9" ht="12.75">
      <c r="A829" s="9"/>
      <c r="B829" s="1"/>
      <c r="C829" s="1"/>
      <c r="D829" s="93"/>
      <c r="E829" s="93"/>
      <c r="F829" s="2"/>
      <c r="G829" s="2"/>
      <c r="H829" s="2"/>
      <c r="I829" s="2"/>
    </row>
    <row r="830" spans="1:9" ht="12.75">
      <c r="A830" s="9"/>
      <c r="B830" s="1"/>
      <c r="C830" s="1"/>
      <c r="D830" s="93"/>
      <c r="E830" s="93"/>
      <c r="F830" s="2"/>
      <c r="G830" s="2"/>
      <c r="H830" s="2"/>
      <c r="I830" s="2"/>
    </row>
    <row r="831" spans="1:9" ht="12.75">
      <c r="A831" s="9"/>
      <c r="B831" s="1"/>
      <c r="C831" s="1"/>
      <c r="D831" s="93"/>
      <c r="E831" s="93"/>
      <c r="F831" s="2"/>
      <c r="G831" s="2"/>
      <c r="H831" s="2"/>
      <c r="I831" s="2"/>
    </row>
    <row r="832" spans="1:9" ht="12.75">
      <c r="A832" s="9"/>
      <c r="B832" s="1"/>
      <c r="C832" s="1"/>
      <c r="D832" s="93"/>
      <c r="E832" s="93"/>
      <c r="F832" s="2"/>
      <c r="G832" s="2"/>
      <c r="H832" s="2"/>
      <c r="I832" s="2"/>
    </row>
    <row r="833" spans="1:9" ht="12.75">
      <c r="A833" s="9"/>
      <c r="D833" s="93"/>
      <c r="E833" s="93"/>
      <c r="F833" s="2"/>
      <c r="G833" s="2"/>
      <c r="H833" s="2"/>
      <c r="I833" s="2"/>
    </row>
    <row r="834" spans="1:9" ht="12.75">
      <c r="A834" s="9"/>
      <c r="D834" s="93"/>
      <c r="E834" s="93"/>
      <c r="F834" s="2"/>
      <c r="G834" s="2"/>
      <c r="H834" s="2"/>
      <c r="I834" s="2"/>
    </row>
    <row r="835" spans="1:9" ht="12.75">
      <c r="A835" s="9"/>
      <c r="D835" s="93"/>
      <c r="E835" s="93"/>
      <c r="F835" s="2"/>
      <c r="G835" s="2"/>
      <c r="H835" s="2"/>
      <c r="I835" s="2"/>
    </row>
    <row r="836" spans="1:9" ht="12.75">
      <c r="A836" s="9"/>
      <c r="D836" s="93"/>
      <c r="E836" s="93"/>
      <c r="F836" s="2"/>
      <c r="G836" s="2"/>
      <c r="H836" s="2"/>
      <c r="I836" s="2"/>
    </row>
    <row r="837" spans="1:9" ht="12.75">
      <c r="A837" s="9"/>
      <c r="D837" s="93"/>
      <c r="E837" s="93"/>
      <c r="F837" s="2"/>
      <c r="G837" s="2"/>
      <c r="H837" s="2"/>
      <c r="I837" s="2"/>
    </row>
    <row r="838" spans="1:9" ht="12.75">
      <c r="A838" s="9"/>
      <c r="D838" s="93"/>
      <c r="E838" s="93"/>
      <c r="F838" s="2"/>
      <c r="G838" s="2"/>
      <c r="H838" s="2"/>
      <c r="I838" s="2"/>
    </row>
    <row r="839" spans="1:9" ht="12.75">
      <c r="A839" s="9"/>
      <c r="D839" s="93"/>
      <c r="E839" s="93"/>
      <c r="F839" s="2"/>
      <c r="G839" s="2"/>
      <c r="H839" s="2"/>
      <c r="I839" s="2"/>
    </row>
    <row r="840" spans="1:9" ht="12.75">
      <c r="A840" s="9"/>
      <c r="D840" s="93"/>
      <c r="E840" s="93"/>
      <c r="F840" s="2"/>
      <c r="G840" s="2"/>
      <c r="H840" s="2"/>
      <c r="I840" s="2"/>
    </row>
    <row r="841" spans="1:9" ht="12.75">
      <c r="A841" s="9"/>
      <c r="D841" s="93"/>
      <c r="E841" s="93"/>
      <c r="F841" s="2"/>
      <c r="G841" s="2"/>
      <c r="H841" s="2"/>
      <c r="I841" s="2"/>
    </row>
    <row r="842" spans="1:9" ht="12.75">
      <c r="A842" s="9"/>
      <c r="D842" s="93"/>
      <c r="E842" s="93"/>
      <c r="F842" s="2"/>
      <c r="G842" s="2"/>
      <c r="H842" s="2"/>
      <c r="I842" s="2"/>
    </row>
    <row r="843" spans="1:9" ht="12.75">
      <c r="A843" s="9"/>
      <c r="B843" s="9"/>
      <c r="C843" s="9"/>
      <c r="D843" s="93"/>
      <c r="E843" s="93"/>
      <c r="F843" s="2"/>
      <c r="G843" s="2"/>
      <c r="H843" s="2"/>
      <c r="I843" s="2"/>
    </row>
    <row r="844" spans="1:9" ht="12.75">
      <c r="A844" s="9"/>
      <c r="B844" s="9"/>
      <c r="C844" s="9"/>
      <c r="D844" s="93"/>
      <c r="E844" s="93"/>
      <c r="F844" s="2"/>
      <c r="G844" s="2"/>
      <c r="H844" s="2"/>
      <c r="I844" s="2"/>
    </row>
    <row r="845" spans="1:9" ht="12.75">
      <c r="A845" s="9"/>
      <c r="B845" s="9"/>
      <c r="C845" s="9"/>
      <c r="D845" s="93"/>
      <c r="E845" s="93"/>
      <c r="F845" s="2"/>
      <c r="G845" s="2"/>
      <c r="H845" s="2"/>
      <c r="I845" s="2"/>
    </row>
    <row r="846" spans="1:9" ht="12.75">
      <c r="A846" s="9"/>
      <c r="B846" s="9"/>
      <c r="C846" s="9"/>
      <c r="D846" s="93"/>
      <c r="E846" s="93"/>
      <c r="F846" s="2"/>
      <c r="G846" s="2"/>
      <c r="H846" s="2"/>
      <c r="I846" s="2"/>
    </row>
    <row r="847" spans="1:9" ht="12.75">
      <c r="A847" s="9"/>
      <c r="B847" s="9"/>
      <c r="C847" s="9"/>
      <c r="D847" s="93"/>
      <c r="E847" s="93"/>
      <c r="F847" s="2"/>
      <c r="G847" s="2"/>
      <c r="H847" s="2"/>
      <c r="I847" s="2"/>
    </row>
    <row r="848" spans="1:9" ht="12.75">
      <c r="A848" s="9"/>
      <c r="B848" s="9"/>
      <c r="C848" s="9"/>
      <c r="D848" s="93"/>
      <c r="E848" s="93"/>
      <c r="F848" s="2"/>
      <c r="G848" s="2"/>
      <c r="H848" s="2"/>
      <c r="I848" s="2"/>
    </row>
    <row r="849" spans="1:9" ht="12.75">
      <c r="A849" s="9"/>
      <c r="B849" s="9"/>
      <c r="C849" s="9"/>
      <c r="D849" s="93"/>
      <c r="E849" s="93"/>
      <c r="F849" s="2"/>
      <c r="G849" s="2"/>
      <c r="H849" s="2"/>
      <c r="I849" s="2"/>
    </row>
    <row r="850" spans="1:9" ht="12.75">
      <c r="A850" s="9"/>
      <c r="B850" s="9"/>
      <c r="C850" s="9"/>
      <c r="D850" s="93"/>
      <c r="E850" s="93"/>
      <c r="F850" s="2"/>
      <c r="G850" s="2"/>
      <c r="H850" s="2"/>
      <c r="I850" s="2"/>
    </row>
    <row r="851" spans="1:9" ht="12.75">
      <c r="A851" s="9"/>
      <c r="B851" s="9"/>
      <c r="C851" s="9"/>
      <c r="D851" s="93"/>
      <c r="E851" s="93"/>
      <c r="F851" s="2"/>
      <c r="G851" s="2"/>
      <c r="H851" s="2"/>
      <c r="I851" s="2"/>
    </row>
    <row r="852" spans="1:9" ht="12.75">
      <c r="A852" s="9"/>
      <c r="B852" s="9"/>
      <c r="C852" s="9"/>
      <c r="D852" s="93"/>
      <c r="E852" s="93"/>
      <c r="F852" s="2"/>
      <c r="G852" s="2"/>
      <c r="H852" s="2"/>
      <c r="I852" s="2"/>
    </row>
    <row r="853" spans="1:9" ht="12.75">
      <c r="A853" s="9"/>
      <c r="B853" s="9"/>
      <c r="C853" s="9"/>
      <c r="D853" s="93"/>
      <c r="E853" s="93"/>
      <c r="F853" s="2"/>
      <c r="G853" s="2"/>
      <c r="H853" s="2"/>
      <c r="I853" s="2"/>
    </row>
    <row r="854" spans="1:9" ht="12.75">
      <c r="A854" s="9"/>
      <c r="B854" s="9"/>
      <c r="C854" s="9"/>
      <c r="D854" s="93"/>
      <c r="E854" s="93"/>
      <c r="F854" s="2"/>
      <c r="G854" s="2"/>
      <c r="H854" s="2"/>
      <c r="I854" s="2"/>
    </row>
    <row r="855" spans="1:9" ht="12.75">
      <c r="A855" s="9"/>
      <c r="B855" s="9"/>
      <c r="C855" s="9"/>
      <c r="D855" s="93"/>
      <c r="E855" s="93"/>
      <c r="F855" s="2"/>
      <c r="G855" s="2"/>
      <c r="H855" s="2"/>
      <c r="I855" s="2"/>
    </row>
    <row r="856" spans="1:9" ht="12.75">
      <c r="A856" s="9"/>
      <c r="B856" s="9"/>
      <c r="C856" s="9"/>
      <c r="D856" s="93"/>
      <c r="E856" s="93"/>
      <c r="F856" s="2"/>
      <c r="G856" s="2"/>
      <c r="H856" s="2"/>
      <c r="I856" s="2"/>
    </row>
    <row r="857" spans="1:9" ht="12.75">
      <c r="A857" s="9"/>
      <c r="B857" s="9"/>
      <c r="C857" s="9"/>
      <c r="D857" s="93"/>
      <c r="E857" s="93"/>
      <c r="F857" s="2"/>
      <c r="G857" s="2"/>
      <c r="H857" s="2"/>
      <c r="I857" s="2"/>
    </row>
    <row r="858" spans="1:9" ht="12.75">
      <c r="A858" s="9"/>
      <c r="B858" s="9"/>
      <c r="C858" s="9"/>
      <c r="D858" s="93"/>
      <c r="E858" s="93"/>
      <c r="F858" s="2"/>
      <c r="G858" s="2"/>
      <c r="H858" s="2"/>
      <c r="I858" s="2"/>
    </row>
    <row r="859" spans="1:9" ht="12.75">
      <c r="A859" s="9"/>
      <c r="B859" s="9"/>
      <c r="C859" s="9"/>
      <c r="D859" s="93"/>
      <c r="E859" s="93"/>
      <c r="F859" s="2"/>
      <c r="G859" s="2"/>
      <c r="H859" s="2"/>
      <c r="I859" s="2"/>
    </row>
    <row r="860" spans="1:9" ht="12.75">
      <c r="A860" s="9"/>
      <c r="B860" s="9"/>
      <c r="C860" s="9"/>
      <c r="D860" s="93"/>
      <c r="E860" s="93"/>
      <c r="F860" s="2"/>
      <c r="G860" s="2"/>
      <c r="H860" s="2"/>
      <c r="I860" s="2"/>
    </row>
    <row r="861" spans="1:9" ht="12.75">
      <c r="A861" s="9"/>
      <c r="B861" s="9"/>
      <c r="C861" s="9"/>
      <c r="D861" s="93"/>
      <c r="E861" s="93"/>
      <c r="F861" s="2"/>
      <c r="G861" s="2"/>
      <c r="H861" s="2"/>
      <c r="I861" s="2"/>
    </row>
    <row r="862" spans="1:9" ht="12.75">
      <c r="A862" s="9"/>
      <c r="B862" s="9"/>
      <c r="C862" s="9"/>
      <c r="D862" s="93"/>
      <c r="E862" s="93"/>
      <c r="F862" s="2"/>
      <c r="G862" s="2"/>
      <c r="H862" s="2"/>
      <c r="I862" s="2"/>
    </row>
    <row r="863" spans="1:9" ht="12.75">
      <c r="A863" s="9"/>
      <c r="B863" s="9"/>
      <c r="C863" s="9"/>
      <c r="D863" s="93"/>
      <c r="E863" s="93"/>
      <c r="F863" s="2"/>
      <c r="G863" s="2"/>
      <c r="H863" s="2"/>
      <c r="I863" s="2"/>
    </row>
    <row r="864" spans="1:9" ht="12.75">
      <c r="A864" s="9"/>
      <c r="B864" s="9"/>
      <c r="C864" s="9"/>
      <c r="D864" s="93"/>
      <c r="E864" s="93"/>
      <c r="F864" s="2"/>
      <c r="G864" s="2"/>
      <c r="H864" s="2"/>
      <c r="I864" s="2"/>
    </row>
    <row r="865" spans="1:9" ht="12.75">
      <c r="A865" s="9"/>
      <c r="B865" s="9"/>
      <c r="C865" s="9"/>
      <c r="D865" s="93"/>
      <c r="E865" s="93"/>
      <c r="F865" s="2"/>
      <c r="G865" s="2"/>
      <c r="H865" s="2"/>
      <c r="I865" s="2"/>
    </row>
    <row r="866" spans="1:9" ht="12.75">
      <c r="A866" s="9"/>
      <c r="B866" s="9"/>
      <c r="C866" s="9"/>
      <c r="D866" s="93"/>
      <c r="E866" s="93"/>
      <c r="F866" s="2"/>
      <c r="G866" s="2"/>
      <c r="H866" s="2"/>
      <c r="I866" s="2"/>
    </row>
    <row r="867" spans="1:9" ht="12.75">
      <c r="A867" s="9"/>
      <c r="B867" s="9"/>
      <c r="C867" s="9"/>
      <c r="D867" s="93"/>
      <c r="E867" s="93"/>
      <c r="F867" s="2"/>
      <c r="G867" s="2"/>
      <c r="H867" s="2"/>
      <c r="I867" s="2"/>
    </row>
    <row r="868" spans="1:9" ht="12.75">
      <c r="A868" s="9"/>
      <c r="B868" s="9"/>
      <c r="C868" s="9"/>
      <c r="D868" s="93"/>
      <c r="E868" s="93"/>
      <c r="F868" s="2"/>
      <c r="G868" s="2"/>
      <c r="H868" s="2"/>
      <c r="I868" s="2"/>
    </row>
    <row r="869" spans="1:9" ht="12.75">
      <c r="A869" s="9"/>
      <c r="B869" s="9"/>
      <c r="C869" s="9"/>
      <c r="D869" s="93"/>
      <c r="E869" s="93"/>
      <c r="F869" s="2"/>
      <c r="G869" s="2"/>
      <c r="H869" s="2"/>
      <c r="I869" s="2"/>
    </row>
    <row r="870" spans="1:9" ht="12.75">
      <c r="A870" s="9"/>
      <c r="B870" s="9"/>
      <c r="C870" s="9"/>
      <c r="D870" s="93"/>
      <c r="E870" s="93"/>
      <c r="F870" s="2"/>
      <c r="G870" s="2"/>
      <c r="H870" s="2"/>
      <c r="I870" s="2"/>
    </row>
    <row r="871" spans="1:9" ht="12.75">
      <c r="A871" s="9"/>
      <c r="B871" s="9"/>
      <c r="C871" s="9"/>
      <c r="D871" s="93"/>
      <c r="E871" s="93"/>
      <c r="F871" s="2"/>
      <c r="G871" s="2"/>
      <c r="H871" s="2"/>
      <c r="I871" s="2"/>
    </row>
    <row r="872" spans="1:9" ht="12.75">
      <c r="A872" s="9"/>
      <c r="B872" s="9"/>
      <c r="C872" s="9"/>
      <c r="D872" s="93"/>
      <c r="E872" s="93"/>
      <c r="F872" s="2"/>
      <c r="G872" s="2"/>
      <c r="H872" s="2"/>
      <c r="I872" s="2"/>
    </row>
    <row r="873" spans="1:9" ht="12.75">
      <c r="A873" s="9"/>
      <c r="B873" s="9"/>
      <c r="C873" s="9"/>
      <c r="D873" s="93"/>
      <c r="E873" s="93"/>
      <c r="F873" s="2"/>
      <c r="G873" s="2"/>
      <c r="H873" s="2"/>
      <c r="I873" s="2"/>
    </row>
    <row r="874" spans="1:9" ht="12.75">
      <c r="A874" s="9"/>
      <c r="B874" s="9"/>
      <c r="C874" s="9"/>
      <c r="D874" s="93"/>
      <c r="E874" s="93"/>
      <c r="F874" s="2"/>
      <c r="G874" s="2"/>
      <c r="H874" s="2"/>
      <c r="I874" s="2"/>
    </row>
    <row r="875" spans="1:9" ht="12.75">
      <c r="A875" s="9"/>
      <c r="B875" s="9"/>
      <c r="C875" s="9"/>
      <c r="D875" s="93"/>
      <c r="E875" s="93"/>
      <c r="F875" s="2"/>
      <c r="G875" s="2"/>
      <c r="H875" s="2"/>
      <c r="I875" s="2"/>
    </row>
    <row r="876" spans="1:9" ht="12.75">
      <c r="A876" s="9"/>
      <c r="B876" s="9"/>
      <c r="C876" s="9"/>
      <c r="D876" s="93"/>
      <c r="E876" s="93"/>
      <c r="F876" s="2"/>
      <c r="G876" s="2"/>
      <c r="H876" s="2"/>
      <c r="I876" s="2"/>
    </row>
    <row r="877" spans="1:9" ht="12.75">
      <c r="A877" s="9"/>
      <c r="B877" s="9"/>
      <c r="C877" s="9"/>
      <c r="D877" s="93"/>
      <c r="E877" s="93"/>
      <c r="F877" s="2"/>
      <c r="G877" s="2"/>
      <c r="H877" s="2"/>
      <c r="I877" s="2"/>
    </row>
    <row r="878" spans="1:9" ht="12.75">
      <c r="A878" s="9"/>
      <c r="B878" s="9"/>
      <c r="C878" s="9"/>
      <c r="D878" s="93"/>
      <c r="E878" s="93"/>
      <c r="F878" s="2"/>
      <c r="G878" s="2"/>
      <c r="H878" s="2"/>
      <c r="I878" s="2"/>
    </row>
    <row r="879" spans="1:9" ht="12.75">
      <c r="A879" s="9"/>
      <c r="B879" s="9"/>
      <c r="C879" s="9"/>
      <c r="D879" s="93"/>
      <c r="E879" s="93"/>
      <c r="F879" s="2"/>
      <c r="G879" s="2"/>
      <c r="H879" s="2"/>
      <c r="I879" s="2"/>
    </row>
    <row r="880" spans="1:9" ht="12.75">
      <c r="A880" s="9"/>
      <c r="B880" s="9"/>
      <c r="C880" s="9"/>
      <c r="D880" s="93"/>
      <c r="E880" s="93"/>
      <c r="F880" s="2"/>
      <c r="G880" s="2"/>
      <c r="H880" s="2"/>
      <c r="I880" s="2"/>
    </row>
    <row r="881" spans="1:9" ht="12.75">
      <c r="A881" s="9"/>
      <c r="B881" s="9"/>
      <c r="C881" s="9"/>
      <c r="D881" s="93"/>
      <c r="E881" s="93"/>
      <c r="F881" s="2"/>
      <c r="G881" s="2"/>
      <c r="H881" s="2"/>
      <c r="I881" s="2"/>
    </row>
    <row r="882" spans="1:9" ht="12.75">
      <c r="A882" s="9"/>
      <c r="B882" s="9"/>
      <c r="C882" s="9"/>
      <c r="D882" s="93"/>
      <c r="E882" s="93"/>
      <c r="F882" s="2"/>
      <c r="G882" s="2"/>
      <c r="H882" s="2"/>
      <c r="I882" s="2"/>
    </row>
    <row r="883" spans="1:9" ht="12.75">
      <c r="A883" s="9"/>
      <c r="B883" s="9"/>
      <c r="C883" s="9"/>
      <c r="D883" s="93"/>
      <c r="E883" s="93"/>
      <c r="F883" s="2"/>
      <c r="G883" s="2"/>
      <c r="H883" s="2"/>
      <c r="I883" s="2"/>
    </row>
    <row r="884" spans="1:9" ht="12.75">
      <c r="A884" s="9"/>
      <c r="B884" s="9"/>
      <c r="C884" s="9"/>
      <c r="D884" s="93"/>
      <c r="E884" s="93"/>
      <c r="F884" s="2"/>
      <c r="G884" s="2"/>
      <c r="H884" s="2"/>
      <c r="I884" s="2"/>
    </row>
    <row r="885" spans="1:9" ht="12.75">
      <c r="A885" s="9"/>
      <c r="B885" s="9"/>
      <c r="C885" s="9"/>
      <c r="D885" s="93"/>
      <c r="E885" s="93"/>
      <c r="F885" s="2"/>
      <c r="G885" s="2"/>
      <c r="H885" s="2"/>
      <c r="I885" s="2"/>
    </row>
    <row r="886" spans="1:9" ht="12.75">
      <c r="A886" s="9"/>
      <c r="B886" s="9"/>
      <c r="C886" s="9"/>
      <c r="D886" s="93"/>
      <c r="E886" s="93"/>
      <c r="F886" s="2"/>
      <c r="G886" s="2"/>
      <c r="H886" s="2"/>
      <c r="I886" s="2"/>
    </row>
    <row r="887" spans="1:9" ht="12.75">
      <c r="A887" s="9"/>
      <c r="B887" s="9"/>
      <c r="C887" s="9"/>
      <c r="D887" s="93"/>
      <c r="E887" s="93"/>
      <c r="F887" s="2"/>
      <c r="G887" s="2"/>
      <c r="H887" s="2"/>
      <c r="I887" s="2"/>
    </row>
    <row r="888" spans="1:9" ht="12.75">
      <c r="A888" s="9"/>
      <c r="B888" s="9"/>
      <c r="C888" s="9"/>
      <c r="D888" s="93"/>
      <c r="E888" s="93"/>
      <c r="F888" s="2"/>
      <c r="G888" s="2"/>
      <c r="H888" s="2"/>
      <c r="I888" s="2"/>
    </row>
    <row r="889" spans="1:9" ht="12.75">
      <c r="A889" s="9"/>
      <c r="B889" s="9"/>
      <c r="C889" s="9"/>
      <c r="D889" s="93"/>
      <c r="E889" s="93"/>
      <c r="F889" s="2"/>
      <c r="G889" s="2"/>
      <c r="H889" s="2"/>
      <c r="I889" s="2"/>
    </row>
    <row r="890" spans="1:9" ht="12.75">
      <c r="A890" s="9"/>
      <c r="B890" s="9"/>
      <c r="C890" s="9"/>
      <c r="D890" s="93"/>
      <c r="E890" s="93"/>
      <c r="F890" s="2"/>
      <c r="G890" s="2"/>
      <c r="H890" s="2"/>
      <c r="I890" s="2"/>
    </row>
    <row r="891" spans="1:9" ht="12.75">
      <c r="A891" s="9"/>
      <c r="B891" s="9"/>
      <c r="C891" s="9"/>
      <c r="D891" s="93"/>
      <c r="E891" s="93"/>
      <c r="F891" s="2"/>
      <c r="G891" s="2"/>
      <c r="H891" s="2"/>
      <c r="I891" s="2"/>
    </row>
    <row r="892" spans="1:9" ht="12.75">
      <c r="A892" s="9"/>
      <c r="B892" s="9"/>
      <c r="C892" s="9"/>
      <c r="D892" s="93"/>
      <c r="E892" s="93"/>
      <c r="F892" s="2"/>
      <c r="G892" s="2"/>
      <c r="H892" s="2"/>
      <c r="I892" s="2"/>
    </row>
    <row r="893" spans="1:9" ht="12.75">
      <c r="A893" s="9"/>
      <c r="B893" s="9"/>
      <c r="C893" s="9"/>
      <c r="D893" s="93"/>
      <c r="E893" s="93"/>
      <c r="F893" s="2"/>
      <c r="G893" s="2"/>
      <c r="H893" s="2"/>
      <c r="I893" s="2"/>
    </row>
    <row r="894" spans="1:9" ht="12.75">
      <c r="A894" s="9"/>
      <c r="B894" s="9"/>
      <c r="C894" s="9"/>
      <c r="D894" s="93"/>
      <c r="E894" s="93"/>
      <c r="F894" s="2"/>
      <c r="G894" s="2"/>
      <c r="H894" s="2"/>
      <c r="I894" s="2"/>
    </row>
    <row r="895" spans="1:9" ht="12.75">
      <c r="A895" s="9"/>
      <c r="B895" s="9"/>
      <c r="C895" s="9"/>
      <c r="D895" s="93"/>
      <c r="E895" s="93"/>
      <c r="F895" s="2"/>
      <c r="G895" s="2"/>
      <c r="H895" s="2"/>
      <c r="I895" s="2"/>
    </row>
    <row r="896" spans="1:9" ht="12.75">
      <c r="A896" s="9"/>
      <c r="B896" s="9"/>
      <c r="C896" s="9"/>
      <c r="D896" s="93"/>
      <c r="E896" s="93"/>
      <c r="F896" s="2"/>
      <c r="G896" s="2"/>
      <c r="H896" s="2"/>
      <c r="I896" s="2"/>
    </row>
    <row r="897" spans="1:9" ht="12.75">
      <c r="A897" s="9"/>
      <c r="B897" s="9"/>
      <c r="C897" s="9"/>
      <c r="D897" s="93"/>
      <c r="E897" s="93"/>
      <c r="F897" s="2"/>
      <c r="G897" s="2"/>
      <c r="H897" s="2"/>
      <c r="I897" s="2"/>
    </row>
    <row r="898" spans="1:9" ht="12.75">
      <c r="A898" s="9"/>
      <c r="B898" s="9"/>
      <c r="C898" s="9"/>
      <c r="D898" s="93"/>
      <c r="E898" s="93"/>
      <c r="F898" s="2"/>
      <c r="G898" s="2"/>
      <c r="H898" s="2"/>
      <c r="I898" s="2"/>
    </row>
    <row r="899" spans="1:9" ht="12.75">
      <c r="A899" s="9"/>
      <c r="B899" s="9"/>
      <c r="C899" s="9"/>
      <c r="D899" s="93"/>
      <c r="E899" s="93"/>
      <c r="F899" s="2"/>
      <c r="G899" s="2"/>
      <c r="H899" s="2"/>
      <c r="I899" s="2"/>
    </row>
    <row r="900" spans="1:9" ht="12.75">
      <c r="A900" s="9"/>
      <c r="B900" s="9"/>
      <c r="C900" s="9"/>
      <c r="D900" s="93"/>
      <c r="E900" s="93"/>
      <c r="F900" s="2"/>
      <c r="G900" s="2"/>
      <c r="H900" s="2"/>
      <c r="I900" s="2"/>
    </row>
    <row r="901" spans="1:9" ht="12.75">
      <c r="A901" s="9"/>
      <c r="B901" s="9"/>
      <c r="C901" s="9"/>
      <c r="D901" s="93"/>
      <c r="E901" s="93"/>
      <c r="F901" s="2"/>
      <c r="G901" s="2"/>
      <c r="H901" s="2"/>
      <c r="I901" s="2"/>
    </row>
    <row r="902" spans="1:9" ht="12.75">
      <c r="A902" s="9"/>
      <c r="B902" s="9"/>
      <c r="C902" s="9"/>
      <c r="D902" s="93"/>
      <c r="E902" s="93"/>
      <c r="F902" s="2"/>
      <c r="G902" s="2"/>
      <c r="H902" s="2"/>
      <c r="I902" s="2"/>
    </row>
    <row r="903" spans="1:9" ht="12.75">
      <c r="A903" s="9"/>
      <c r="B903" s="9"/>
      <c r="C903" s="9"/>
      <c r="D903" s="93"/>
      <c r="E903" s="93"/>
      <c r="F903" s="2"/>
      <c r="G903" s="2"/>
      <c r="H903" s="2"/>
      <c r="I903" s="2"/>
    </row>
    <row r="904" spans="1:9" ht="12.75">
      <c r="A904" s="9"/>
      <c r="B904" s="9"/>
      <c r="C904" s="9"/>
      <c r="D904" s="93"/>
      <c r="E904" s="93"/>
      <c r="F904" s="2"/>
      <c r="G904" s="2"/>
      <c r="H904" s="2"/>
      <c r="I904" s="2"/>
    </row>
    <row r="905" spans="1:9" ht="12.75">
      <c r="A905" s="9"/>
      <c r="B905" s="9"/>
      <c r="C905" s="9"/>
      <c r="D905" s="93"/>
      <c r="E905" s="93"/>
      <c r="F905" s="2"/>
      <c r="G905" s="2"/>
      <c r="H905" s="2"/>
      <c r="I905" s="2"/>
    </row>
    <row r="906" spans="1:9" ht="12.75">
      <c r="A906" s="9"/>
      <c r="B906" s="9"/>
      <c r="C906" s="9"/>
      <c r="D906" s="93"/>
      <c r="E906" s="93"/>
      <c r="F906" s="2"/>
      <c r="G906" s="2"/>
      <c r="H906" s="2"/>
      <c r="I906" s="2"/>
    </row>
    <row r="907" spans="1:9" ht="12.75">
      <c r="A907" s="9"/>
      <c r="B907" s="9"/>
      <c r="C907" s="9"/>
      <c r="D907" s="93"/>
      <c r="E907" s="93"/>
      <c r="F907" s="2"/>
      <c r="G907" s="2"/>
      <c r="H907" s="2"/>
      <c r="I907" s="2"/>
    </row>
    <row r="908" spans="1:9" ht="12.75">
      <c r="A908" s="9"/>
      <c r="B908" s="9"/>
      <c r="C908" s="9"/>
      <c r="D908" s="93"/>
      <c r="E908" s="93"/>
      <c r="F908" s="2"/>
      <c r="G908" s="2"/>
      <c r="H908" s="2"/>
      <c r="I908" s="2"/>
    </row>
    <row r="909" spans="1:9" ht="12.75">
      <c r="A909" s="9"/>
      <c r="B909" s="9"/>
      <c r="C909" s="9"/>
      <c r="D909" s="93"/>
      <c r="E909" s="93"/>
      <c r="F909" s="2"/>
      <c r="G909" s="2"/>
      <c r="H909" s="2"/>
      <c r="I909" s="2"/>
    </row>
    <row r="910" spans="1:9" ht="12.75">
      <c r="A910" s="9"/>
      <c r="B910" s="9"/>
      <c r="C910" s="9"/>
      <c r="D910" s="93"/>
      <c r="E910" s="93"/>
      <c r="F910" s="2"/>
      <c r="G910" s="2"/>
      <c r="H910" s="2"/>
      <c r="I910" s="2"/>
    </row>
    <row r="911" spans="1:9" ht="12.75">
      <c r="A911" s="9"/>
      <c r="B911" s="9"/>
      <c r="C911" s="9"/>
      <c r="D911" s="93"/>
      <c r="E911" s="93"/>
      <c r="F911" s="2"/>
      <c r="G911" s="2"/>
      <c r="H911" s="2"/>
      <c r="I911" s="2"/>
    </row>
    <row r="912" spans="1:9" ht="12.75">
      <c r="A912" s="9"/>
      <c r="B912" s="9"/>
      <c r="C912" s="9"/>
      <c r="D912" s="93"/>
      <c r="E912" s="93"/>
      <c r="F912" s="2"/>
      <c r="G912" s="2"/>
      <c r="H912" s="2"/>
      <c r="I912" s="2"/>
    </row>
    <row r="913" spans="1:9" ht="12.75">
      <c r="A913" s="9"/>
      <c r="B913" s="9"/>
      <c r="C913" s="9"/>
      <c r="D913" s="93"/>
      <c r="E913" s="93"/>
      <c r="F913" s="2"/>
      <c r="G913" s="2"/>
      <c r="H913" s="2"/>
      <c r="I913" s="2"/>
    </row>
    <row r="914" spans="1:9" ht="12.75">
      <c r="A914" s="9"/>
      <c r="B914" s="9"/>
      <c r="C914" s="9"/>
      <c r="D914" s="93"/>
      <c r="E914" s="93"/>
      <c r="F914" s="2"/>
      <c r="G914" s="2"/>
      <c r="H914" s="2"/>
      <c r="I914" s="2"/>
    </row>
    <row r="915" spans="1:9" ht="12.75">
      <c r="A915" s="9"/>
      <c r="B915" s="9"/>
      <c r="C915" s="9"/>
      <c r="D915" s="93"/>
      <c r="E915" s="93"/>
      <c r="F915" s="2"/>
      <c r="G915" s="2"/>
      <c r="H915" s="2"/>
      <c r="I915" s="2"/>
    </row>
    <row r="916" spans="1:9" ht="12.75">
      <c r="A916" s="9"/>
      <c r="B916" s="9"/>
      <c r="C916" s="9"/>
      <c r="D916" s="93"/>
      <c r="E916" s="93"/>
      <c r="F916" s="2"/>
      <c r="G916" s="2"/>
      <c r="H916" s="2"/>
      <c r="I916" s="2"/>
    </row>
    <row r="917" spans="1:9" ht="12.75">
      <c r="A917" s="9"/>
      <c r="B917" s="9"/>
      <c r="C917" s="9"/>
      <c r="D917" s="93"/>
      <c r="E917" s="93"/>
      <c r="F917" s="2"/>
      <c r="G917" s="2"/>
      <c r="H917" s="2"/>
      <c r="I917" s="2"/>
    </row>
    <row r="918" spans="1:9" ht="12.75">
      <c r="A918" s="9"/>
      <c r="B918" s="9"/>
      <c r="C918" s="9"/>
      <c r="D918" s="93"/>
      <c r="E918" s="93"/>
      <c r="F918" s="2"/>
      <c r="G918" s="2"/>
      <c r="H918" s="2"/>
      <c r="I918" s="2"/>
    </row>
    <row r="919" spans="1:9" ht="12.75">
      <c r="A919" s="9"/>
      <c r="B919" s="9"/>
      <c r="C919" s="9"/>
      <c r="D919" s="93"/>
      <c r="E919" s="93"/>
      <c r="F919" s="2"/>
      <c r="G919" s="2"/>
      <c r="H919" s="2"/>
      <c r="I919" s="2"/>
    </row>
    <row r="920" spans="1:9" ht="12.75">
      <c r="A920" s="9"/>
      <c r="B920" s="9"/>
      <c r="C920" s="9"/>
      <c r="D920" s="93"/>
      <c r="E920" s="93"/>
      <c r="F920" s="2"/>
      <c r="G920" s="2"/>
      <c r="H920" s="2"/>
      <c r="I920" s="2"/>
    </row>
    <row r="921" spans="1:9" ht="12.75">
      <c r="A921" s="9"/>
      <c r="B921" s="9"/>
      <c r="C921" s="9"/>
      <c r="D921" s="93"/>
      <c r="E921" s="93"/>
      <c r="F921" s="2"/>
      <c r="G921" s="2"/>
      <c r="H921" s="2"/>
      <c r="I921" s="2"/>
    </row>
    <row r="922" spans="1:9" ht="12.75">
      <c r="A922" s="9"/>
      <c r="B922" s="9"/>
      <c r="C922" s="9"/>
      <c r="D922" s="93"/>
      <c r="E922" s="93"/>
      <c r="F922" s="2"/>
      <c r="G922" s="2"/>
      <c r="H922" s="2"/>
      <c r="I922" s="2"/>
    </row>
    <row r="923" spans="1:9" ht="12.75">
      <c r="A923" s="9"/>
      <c r="B923" s="9"/>
      <c r="C923" s="9"/>
      <c r="D923" s="93"/>
      <c r="E923" s="93"/>
      <c r="F923" s="2"/>
      <c r="G923" s="2"/>
      <c r="H923" s="2"/>
      <c r="I923" s="2"/>
    </row>
    <row r="924" spans="1:9" ht="12.75">
      <c r="A924" s="9"/>
      <c r="B924" s="9"/>
      <c r="C924" s="9"/>
      <c r="D924" s="93"/>
      <c r="E924" s="93"/>
      <c r="F924" s="2"/>
      <c r="G924" s="2"/>
      <c r="H924" s="2"/>
      <c r="I924" s="2"/>
    </row>
    <row r="925" spans="1:9" ht="12.75">
      <c r="A925" s="9"/>
      <c r="B925" s="9"/>
      <c r="C925" s="9"/>
      <c r="D925" s="93"/>
      <c r="E925" s="93"/>
      <c r="F925" s="2"/>
      <c r="G925" s="2"/>
      <c r="H925" s="2"/>
      <c r="I925" s="2"/>
    </row>
    <row r="926" spans="1:9" ht="12.75">
      <c r="A926" s="9"/>
      <c r="B926" s="9"/>
      <c r="C926" s="9"/>
      <c r="D926" s="93"/>
      <c r="E926" s="93"/>
      <c r="F926" s="2"/>
      <c r="G926" s="2"/>
      <c r="H926" s="2"/>
      <c r="I926" s="2"/>
    </row>
    <row r="927" spans="1:9" ht="12.75">
      <c r="A927" s="9"/>
      <c r="B927" s="9"/>
      <c r="C927" s="9"/>
      <c r="D927" s="93"/>
      <c r="E927" s="93"/>
      <c r="F927" s="2"/>
      <c r="G927" s="2"/>
      <c r="H927" s="2"/>
      <c r="I927" s="2"/>
    </row>
    <row r="928" spans="1:9" ht="12.75">
      <c r="A928" s="9"/>
      <c r="B928" s="9"/>
      <c r="C928" s="9"/>
      <c r="D928" s="93"/>
      <c r="E928" s="93"/>
      <c r="F928" s="2"/>
      <c r="G928" s="2"/>
      <c r="H928" s="2"/>
      <c r="I928" s="2"/>
    </row>
    <row r="929" spans="1:9" ht="12.75">
      <c r="A929" s="9"/>
      <c r="B929" s="9"/>
      <c r="C929" s="9"/>
      <c r="D929" s="93"/>
      <c r="E929" s="93"/>
      <c r="F929" s="2"/>
      <c r="G929" s="2"/>
      <c r="H929" s="2"/>
      <c r="I929" s="2"/>
    </row>
    <row r="930" spans="1:9" ht="12.75">
      <c r="A930" s="9"/>
      <c r="B930" s="9"/>
      <c r="C930" s="9"/>
      <c r="D930" s="93"/>
      <c r="E930" s="93"/>
      <c r="F930" s="2"/>
      <c r="G930" s="2"/>
      <c r="H930" s="2"/>
      <c r="I930" s="2"/>
    </row>
    <row r="931" spans="1:9" ht="12.75">
      <c r="A931" s="9"/>
      <c r="B931" s="9"/>
      <c r="C931" s="9"/>
      <c r="D931" s="93"/>
      <c r="E931" s="93"/>
      <c r="F931" s="2"/>
      <c r="G931" s="2"/>
      <c r="H931" s="2"/>
      <c r="I931" s="2"/>
    </row>
    <row r="932" spans="1:9" ht="12.75">
      <c r="A932" s="9"/>
      <c r="B932" s="9"/>
      <c r="C932" s="9"/>
      <c r="D932" s="93"/>
      <c r="E932" s="93"/>
      <c r="F932" s="2"/>
      <c r="G932" s="2"/>
      <c r="H932" s="2"/>
      <c r="I932" s="2"/>
    </row>
    <row r="933" spans="1:9" ht="12.75">
      <c r="A933" s="9"/>
      <c r="B933" s="9"/>
      <c r="C933" s="9"/>
      <c r="D933" s="93"/>
      <c r="E933" s="93"/>
      <c r="F933" s="2"/>
      <c r="G933" s="2"/>
      <c r="H933" s="2"/>
      <c r="I933" s="2"/>
    </row>
    <row r="934" spans="1:9" ht="12.75">
      <c r="A934" s="9"/>
      <c r="B934" s="9"/>
      <c r="C934" s="9"/>
      <c r="D934" s="93"/>
      <c r="E934" s="93"/>
      <c r="F934" s="2"/>
      <c r="G934" s="2"/>
      <c r="H934" s="2"/>
      <c r="I934" s="2"/>
    </row>
    <row r="935" spans="1:9" ht="12.75">
      <c r="A935" s="9"/>
      <c r="B935" s="9"/>
      <c r="C935" s="9"/>
      <c r="D935" s="93"/>
      <c r="E935" s="93"/>
      <c r="F935" s="2"/>
      <c r="G935" s="2"/>
      <c r="H935" s="2"/>
      <c r="I935" s="2"/>
    </row>
    <row r="936" spans="1:9" ht="12.75">
      <c r="A936" s="9"/>
      <c r="B936" s="9"/>
      <c r="C936" s="9"/>
      <c r="D936" s="93"/>
      <c r="E936" s="93"/>
      <c r="F936" s="2"/>
      <c r="G936" s="2"/>
      <c r="H936" s="2"/>
      <c r="I936" s="2"/>
    </row>
    <row r="937" spans="1:9" ht="12.75">
      <c r="A937" s="9"/>
      <c r="B937" s="9"/>
      <c r="C937" s="9"/>
      <c r="D937" s="93"/>
      <c r="E937" s="93"/>
      <c r="F937" s="2"/>
      <c r="G937" s="2"/>
      <c r="H937" s="2"/>
      <c r="I937" s="2"/>
    </row>
    <row r="938" spans="1:9" ht="12.75">
      <c r="A938" s="9"/>
      <c r="B938" s="9"/>
      <c r="C938" s="9"/>
      <c r="D938" s="93"/>
      <c r="E938" s="93"/>
      <c r="F938" s="2"/>
      <c r="G938" s="2"/>
      <c r="H938" s="2"/>
      <c r="I938" s="2"/>
    </row>
    <row r="939" spans="1:9" ht="12.75">
      <c r="A939" s="9"/>
      <c r="B939" s="9"/>
      <c r="C939" s="9"/>
      <c r="D939" s="93"/>
      <c r="E939" s="93"/>
      <c r="F939" s="2"/>
      <c r="G939" s="2"/>
      <c r="H939" s="2"/>
      <c r="I939" s="2"/>
    </row>
    <row r="940" spans="1:9" ht="12.75">
      <c r="A940" s="9"/>
      <c r="B940" s="9"/>
      <c r="C940" s="9"/>
      <c r="D940" s="93"/>
      <c r="E940" s="93"/>
      <c r="F940" s="2"/>
      <c r="G940" s="2"/>
      <c r="H940" s="2"/>
      <c r="I940" s="2"/>
    </row>
    <row r="941" spans="1:9" ht="12.75">
      <c r="A941" s="9"/>
      <c r="B941" s="9"/>
      <c r="C941" s="9"/>
      <c r="D941" s="93"/>
      <c r="E941" s="93"/>
      <c r="F941" s="2"/>
      <c r="G941" s="2"/>
      <c r="H941" s="2"/>
      <c r="I941" s="2"/>
    </row>
    <row r="942" spans="1:9" ht="12.75">
      <c r="A942" s="9"/>
      <c r="B942" s="9"/>
      <c r="C942" s="9"/>
      <c r="D942" s="93"/>
      <c r="E942" s="93"/>
      <c r="F942" s="2"/>
      <c r="G942" s="2"/>
      <c r="H942" s="2"/>
      <c r="I942" s="2"/>
    </row>
    <row r="943" spans="1:9" ht="12.75">
      <c r="A943" s="9"/>
      <c r="B943" s="9"/>
      <c r="C943" s="9"/>
      <c r="D943" s="93"/>
      <c r="E943" s="93"/>
      <c r="F943" s="2"/>
      <c r="G943" s="2"/>
      <c r="H943" s="2"/>
      <c r="I943" s="2"/>
    </row>
    <row r="944" spans="1:9" ht="12.75">
      <c r="A944" s="9"/>
      <c r="B944" s="9"/>
      <c r="C944" s="9"/>
      <c r="D944" s="93"/>
      <c r="E944" s="93"/>
      <c r="F944" s="2"/>
      <c r="G944" s="2"/>
      <c r="H944" s="2"/>
      <c r="I944" s="2"/>
    </row>
    <row r="945" spans="1:9" ht="12.75">
      <c r="A945" s="9"/>
      <c r="B945" s="9"/>
      <c r="C945" s="9"/>
      <c r="D945" s="93"/>
      <c r="E945" s="93"/>
      <c r="F945" s="2"/>
      <c r="G945" s="2"/>
      <c r="H945" s="2"/>
      <c r="I945" s="2"/>
    </row>
    <row r="946" spans="1:9" ht="12.75">
      <c r="A946" s="9"/>
      <c r="B946" s="9"/>
      <c r="C946" s="9"/>
      <c r="D946" s="93"/>
      <c r="E946" s="93"/>
      <c r="F946" s="2"/>
      <c r="G946" s="2"/>
      <c r="H946" s="2"/>
      <c r="I946" s="2"/>
    </row>
    <row r="947" spans="1:9" ht="12.75">
      <c r="A947" s="9"/>
      <c r="B947" s="9"/>
      <c r="C947" s="9"/>
      <c r="D947" s="93"/>
      <c r="E947" s="93"/>
      <c r="F947" s="2"/>
      <c r="G947" s="2"/>
      <c r="H947" s="2"/>
      <c r="I947" s="2"/>
    </row>
    <row r="948" spans="1:9" ht="12.75">
      <c r="A948" s="9"/>
      <c r="B948" s="9"/>
      <c r="C948" s="9"/>
      <c r="D948" s="93"/>
      <c r="E948" s="93"/>
      <c r="F948" s="2"/>
      <c r="G948" s="2"/>
      <c r="H948" s="2"/>
      <c r="I948" s="2"/>
    </row>
    <row r="949" spans="1:9" ht="12.75">
      <c r="A949" s="9"/>
      <c r="B949" s="9"/>
      <c r="C949" s="9"/>
      <c r="D949" s="93"/>
      <c r="E949" s="93"/>
      <c r="F949" s="2"/>
      <c r="G949" s="2"/>
      <c r="H949" s="2"/>
      <c r="I949" s="2"/>
    </row>
    <row r="950" spans="1:9" ht="12.75">
      <c r="A950" s="9"/>
      <c r="B950" s="9"/>
      <c r="C950" s="9"/>
      <c r="D950" s="93"/>
      <c r="E950" s="93"/>
      <c r="F950" s="2"/>
      <c r="G950" s="2"/>
      <c r="H950" s="2"/>
      <c r="I950" s="2"/>
    </row>
    <row r="951" spans="1:9" ht="12.75">
      <c r="A951" s="9"/>
      <c r="B951" s="9"/>
      <c r="C951" s="9"/>
      <c r="D951" s="93"/>
      <c r="E951" s="93"/>
      <c r="F951" s="2"/>
      <c r="G951" s="2"/>
      <c r="H951" s="2"/>
      <c r="I951" s="2"/>
    </row>
    <row r="952" spans="1:9" ht="12.75">
      <c r="A952" s="9"/>
      <c r="B952" s="9"/>
      <c r="C952" s="9"/>
      <c r="D952" s="93"/>
      <c r="E952" s="93"/>
      <c r="F952" s="2"/>
      <c r="G952" s="2"/>
      <c r="H952" s="2"/>
      <c r="I952" s="2"/>
    </row>
    <row r="953" spans="1:9" ht="12.75">
      <c r="A953" s="9"/>
      <c r="B953" s="9"/>
      <c r="C953" s="9"/>
      <c r="D953" s="93"/>
      <c r="E953" s="93"/>
      <c r="F953" s="2"/>
      <c r="G953" s="2"/>
      <c r="H953" s="2"/>
      <c r="I953" s="2"/>
    </row>
    <row r="954" spans="1:9" ht="12.75">
      <c r="A954" s="9"/>
      <c r="B954" s="9"/>
      <c r="C954" s="9"/>
      <c r="D954" s="93"/>
      <c r="E954" s="93"/>
      <c r="F954" s="2"/>
      <c r="G954" s="2"/>
      <c r="H954" s="2"/>
      <c r="I954" s="2"/>
    </row>
    <row r="955" spans="1:9" ht="12.75">
      <c r="A955" s="9"/>
      <c r="B955" s="9"/>
      <c r="C955" s="9"/>
      <c r="D955" s="93"/>
      <c r="E955" s="93"/>
      <c r="F955" s="2"/>
      <c r="G955" s="2"/>
      <c r="H955" s="2"/>
      <c r="I955" s="2"/>
    </row>
    <row r="956" spans="1:9" ht="12.75">
      <c r="A956" s="9"/>
      <c r="B956" s="9"/>
      <c r="C956" s="9"/>
      <c r="D956" s="93"/>
      <c r="E956" s="93"/>
      <c r="F956" s="2"/>
      <c r="G956" s="2"/>
      <c r="H956" s="2"/>
      <c r="I956" s="2"/>
    </row>
    <row r="957" spans="1:9" ht="12.75">
      <c r="A957" s="9"/>
      <c r="B957" s="9"/>
      <c r="C957" s="9"/>
      <c r="D957" s="93"/>
      <c r="E957" s="93"/>
      <c r="F957" s="2"/>
      <c r="G957" s="2"/>
      <c r="H957" s="2"/>
      <c r="I957" s="2"/>
    </row>
    <row r="958" spans="1:9" ht="12.75">
      <c r="A958" s="9"/>
      <c r="B958" s="9"/>
      <c r="C958" s="9"/>
      <c r="D958" s="93"/>
      <c r="E958" s="93"/>
      <c r="F958" s="2"/>
      <c r="G958" s="2"/>
      <c r="H958" s="2"/>
      <c r="I958" s="2"/>
    </row>
    <row r="959" spans="1:9" ht="12.75">
      <c r="A959" s="9"/>
      <c r="B959" s="9"/>
      <c r="C959" s="9"/>
      <c r="D959" s="93"/>
      <c r="E959" s="93"/>
      <c r="F959" s="2"/>
      <c r="G959" s="2"/>
      <c r="H959" s="2"/>
      <c r="I959" s="2"/>
    </row>
    <row r="960" spans="1:9" ht="12.75">
      <c r="A960" s="9"/>
      <c r="B960" s="9"/>
      <c r="C960" s="9"/>
      <c r="D960" s="93"/>
      <c r="E960" s="93"/>
      <c r="F960" s="2"/>
      <c r="G960" s="2"/>
      <c r="H960" s="2"/>
      <c r="I960" s="2"/>
    </row>
    <row r="961" spans="1:9" ht="12.75">
      <c r="A961" s="9"/>
      <c r="B961" s="9"/>
      <c r="C961" s="9"/>
      <c r="D961" s="93"/>
      <c r="E961" s="93"/>
      <c r="F961" s="2"/>
      <c r="G961" s="2"/>
      <c r="H961" s="2"/>
      <c r="I961" s="2"/>
    </row>
    <row r="962" spans="1:9" ht="12.75">
      <c r="A962" s="9"/>
      <c r="B962" s="9"/>
      <c r="C962" s="9"/>
      <c r="D962" s="93"/>
      <c r="E962" s="93"/>
      <c r="F962" s="2"/>
      <c r="G962" s="2"/>
      <c r="H962" s="2"/>
      <c r="I962" s="2"/>
    </row>
    <row r="963" spans="1:9" ht="12.75">
      <c r="A963" s="9"/>
      <c r="B963" s="9"/>
      <c r="C963" s="9"/>
      <c r="D963" s="93"/>
      <c r="E963" s="93"/>
      <c r="F963" s="2"/>
      <c r="G963" s="2"/>
      <c r="H963" s="2"/>
      <c r="I963" s="2"/>
    </row>
    <row r="964" spans="1:9" ht="12.75">
      <c r="A964" s="9"/>
      <c r="B964" s="9"/>
      <c r="C964" s="9"/>
      <c r="D964" s="93"/>
      <c r="E964" s="93"/>
      <c r="F964" s="2"/>
      <c r="G964" s="2"/>
      <c r="H964" s="2"/>
      <c r="I964" s="2"/>
    </row>
    <row r="965" spans="1:9" ht="12.75">
      <c r="A965" s="9"/>
      <c r="B965" s="9"/>
      <c r="C965" s="9"/>
      <c r="D965" s="93"/>
      <c r="E965" s="93"/>
      <c r="F965" s="2"/>
      <c r="G965" s="2"/>
      <c r="H965" s="2"/>
      <c r="I965" s="2"/>
    </row>
    <row r="966" spans="1:9" ht="12.75">
      <c r="A966" s="9"/>
      <c r="B966" s="9"/>
      <c r="C966" s="9"/>
      <c r="D966" s="93"/>
      <c r="E966" s="93"/>
      <c r="F966" s="2"/>
      <c r="G966" s="2"/>
      <c r="H966" s="2"/>
      <c r="I966" s="2"/>
    </row>
    <row r="967" spans="1:9" ht="12.75">
      <c r="A967" s="9"/>
      <c r="B967" s="9"/>
      <c r="C967" s="9"/>
      <c r="D967" s="93"/>
      <c r="E967" s="93"/>
      <c r="F967" s="2"/>
      <c r="G967" s="2"/>
      <c r="H967" s="2"/>
      <c r="I967" s="2"/>
    </row>
    <row r="968" spans="1:9" ht="12.75">
      <c r="A968" s="9"/>
      <c r="B968" s="9"/>
      <c r="C968" s="9"/>
      <c r="D968" s="93"/>
      <c r="E968" s="93"/>
      <c r="F968" s="2"/>
      <c r="G968" s="2"/>
      <c r="H968" s="2"/>
      <c r="I968" s="2"/>
    </row>
    <row r="969" spans="1:9" ht="12.75">
      <c r="A969" s="9"/>
      <c r="B969" s="9"/>
      <c r="C969" s="9"/>
      <c r="D969" s="93"/>
      <c r="E969" s="93"/>
      <c r="F969" s="2"/>
      <c r="G969" s="2"/>
      <c r="H969" s="2"/>
      <c r="I969" s="2"/>
    </row>
    <row r="970" spans="1:9" ht="12.75">
      <c r="A970" s="9"/>
      <c r="B970" s="9"/>
      <c r="C970" s="9"/>
      <c r="D970" s="93"/>
      <c r="E970" s="93"/>
      <c r="F970" s="2"/>
      <c r="G970" s="2"/>
      <c r="H970" s="2"/>
      <c r="I970" s="2"/>
    </row>
    <row r="971" spans="1:9" ht="12.75">
      <c r="A971" s="9"/>
      <c r="B971" s="9"/>
      <c r="C971" s="9"/>
      <c r="D971" s="93"/>
      <c r="E971" s="93"/>
      <c r="F971" s="2"/>
      <c r="G971" s="2"/>
      <c r="H971" s="2"/>
      <c r="I971" s="2"/>
    </row>
    <row r="972" spans="1:9" ht="12.75">
      <c r="A972" s="9"/>
      <c r="B972" s="9"/>
      <c r="C972" s="9"/>
      <c r="D972" s="93"/>
      <c r="E972" s="93"/>
      <c r="F972" s="2"/>
      <c r="G972" s="2"/>
      <c r="H972" s="2"/>
      <c r="I972" s="2"/>
    </row>
    <row r="973" spans="1:9" ht="12.75">
      <c r="A973" s="9"/>
      <c r="B973" s="9"/>
      <c r="C973" s="9"/>
      <c r="D973" s="93"/>
      <c r="E973" s="93"/>
      <c r="F973" s="2"/>
      <c r="G973" s="2"/>
      <c r="H973" s="2"/>
      <c r="I973" s="2"/>
    </row>
    <row r="974" spans="1:9" ht="12.75">
      <c r="A974" s="9"/>
      <c r="B974" s="9"/>
      <c r="C974" s="9"/>
      <c r="D974" s="93"/>
      <c r="E974" s="93"/>
      <c r="F974" s="2"/>
      <c r="G974" s="2"/>
      <c r="H974" s="2"/>
      <c r="I974" s="2"/>
    </row>
    <row r="975" spans="1:9" ht="12.75">
      <c r="A975" s="9"/>
      <c r="B975" s="9"/>
      <c r="C975" s="9"/>
      <c r="D975" s="93"/>
      <c r="E975" s="93"/>
      <c r="F975" s="2"/>
      <c r="G975" s="2"/>
      <c r="H975" s="2"/>
      <c r="I975" s="2"/>
    </row>
    <row r="976" spans="1:9" ht="12.75">
      <c r="A976" s="9"/>
      <c r="B976" s="9"/>
      <c r="C976" s="9"/>
      <c r="D976" s="93"/>
      <c r="E976" s="93"/>
      <c r="F976" s="2"/>
      <c r="G976" s="2"/>
      <c r="H976" s="2"/>
      <c r="I976" s="2"/>
    </row>
    <row r="977" spans="1:9" ht="12.75">
      <c r="A977" s="9"/>
      <c r="B977" s="9"/>
      <c r="C977" s="9"/>
      <c r="D977" s="93"/>
      <c r="E977" s="93"/>
      <c r="F977" s="2"/>
      <c r="G977" s="2"/>
      <c r="H977" s="2"/>
      <c r="I977" s="2"/>
    </row>
    <row r="978" spans="1:9" ht="12.75">
      <c r="A978" s="9"/>
      <c r="B978" s="9"/>
      <c r="C978" s="9"/>
      <c r="D978" s="93"/>
      <c r="E978" s="93"/>
      <c r="F978" s="2"/>
      <c r="G978" s="2"/>
      <c r="H978" s="2"/>
      <c r="I978" s="2"/>
    </row>
    <row r="979" spans="1:9" ht="12.75">
      <c r="A979" s="9"/>
      <c r="B979" s="9"/>
      <c r="C979" s="9"/>
      <c r="D979" s="93"/>
      <c r="E979" s="93"/>
      <c r="F979" s="2"/>
      <c r="G979" s="2"/>
      <c r="H979" s="2"/>
      <c r="I979" s="2"/>
    </row>
    <row r="980" spans="1:9" ht="12.75">
      <c r="A980" s="9"/>
      <c r="B980" s="9"/>
      <c r="C980" s="9"/>
      <c r="D980" s="93"/>
      <c r="E980" s="93"/>
      <c r="F980" s="2"/>
      <c r="G980" s="2"/>
      <c r="H980" s="2"/>
      <c r="I980" s="2"/>
    </row>
    <row r="981" spans="1:9" ht="12.75">
      <c r="A981" s="9"/>
      <c r="B981" s="9"/>
      <c r="C981" s="9"/>
      <c r="D981" s="93"/>
      <c r="E981" s="93"/>
      <c r="F981" s="2"/>
      <c r="G981" s="2"/>
      <c r="H981" s="2"/>
      <c r="I981" s="2"/>
    </row>
  </sheetData>
  <mergeCells count="1">
    <mergeCell ref="H1:H2"/>
  </mergeCells>
  <printOptions/>
  <pageMargins left="0.53" right="0.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1"/>
  <sheetViews>
    <sheetView workbookViewId="0" topLeftCell="A1">
      <selection activeCell="E1" sqref="E1:G1048576"/>
    </sheetView>
  </sheetViews>
  <sheetFormatPr defaultColWidth="9.140625" defaultRowHeight="12.75"/>
  <cols>
    <col min="1" max="1" width="34.00390625" style="0" customWidth="1"/>
    <col min="2" max="3" width="14.00390625" style="0" bestFit="1" customWidth="1"/>
  </cols>
  <sheetData>
    <row r="1" spans="2:4" ht="12.75">
      <c r="B1" s="188">
        <v>2018</v>
      </c>
      <c r="C1" s="188">
        <v>2019</v>
      </c>
      <c r="D1" s="188" t="s">
        <v>535</v>
      </c>
    </row>
    <row r="2" spans="1:3" ht="12.75">
      <c r="A2" t="s">
        <v>414</v>
      </c>
      <c r="B2" s="136">
        <v>2814294</v>
      </c>
      <c r="C2" s="136">
        <v>2810109</v>
      </c>
    </row>
    <row r="3" spans="2:3" ht="12.75">
      <c r="B3" s="275"/>
      <c r="C3" s="275"/>
    </row>
    <row r="4" spans="1:3" ht="12.75">
      <c r="A4" t="s">
        <v>413</v>
      </c>
      <c r="B4" s="136">
        <v>2903951</v>
      </c>
      <c r="C4" s="136">
        <v>2897216</v>
      </c>
    </row>
    <row r="5" spans="2:3" ht="12.75">
      <c r="B5" s="8"/>
      <c r="C5" s="8"/>
    </row>
    <row r="6" spans="1:3" ht="12.75">
      <c r="A6" s="43" t="s">
        <v>710</v>
      </c>
      <c r="B6" s="8">
        <v>317851</v>
      </c>
      <c r="C6" s="8">
        <v>317865</v>
      </c>
    </row>
    <row r="7" spans="1:3" ht="12.75">
      <c r="A7" s="43" t="s">
        <v>711</v>
      </c>
      <c r="B7" s="8"/>
      <c r="C7" s="8"/>
    </row>
    <row r="8" spans="1:3" ht="12.75">
      <c r="A8" s="43" t="s">
        <v>709</v>
      </c>
      <c r="B8" s="8">
        <v>317902</v>
      </c>
      <c r="C8" s="8">
        <v>317916</v>
      </c>
    </row>
    <row r="9" spans="2:3" ht="12.75">
      <c r="B9" s="8"/>
      <c r="C9" s="8"/>
    </row>
    <row r="10" spans="2:3" ht="12.75">
      <c r="B10" s="8"/>
      <c r="C10" s="8"/>
    </row>
    <row r="11" spans="1:4" ht="12.75">
      <c r="A11" t="s">
        <v>412</v>
      </c>
      <c r="B11" s="8">
        <v>0</v>
      </c>
      <c r="C11" s="8">
        <v>12222</v>
      </c>
      <c r="D11" s="16">
        <f>AVERAGE(B11:C11)</f>
        <v>6111</v>
      </c>
    </row>
    <row r="12" spans="1:4" ht="12.75">
      <c r="A12" t="s">
        <v>411</v>
      </c>
      <c r="B12" s="8">
        <v>22102</v>
      </c>
      <c r="C12" s="8">
        <v>15968</v>
      </c>
      <c r="D12" s="16"/>
    </row>
    <row r="13" spans="1:4" ht="12.75">
      <c r="A13" t="s">
        <v>594</v>
      </c>
      <c r="B13" s="8">
        <v>38382</v>
      </c>
      <c r="C13" s="8">
        <v>38441</v>
      </c>
      <c r="D13" s="16"/>
    </row>
    <row r="14" spans="1:5" ht="12.75">
      <c r="A14" s="43" t="s">
        <v>597</v>
      </c>
      <c r="B14" s="8">
        <v>37050.31286402777</v>
      </c>
      <c r="C14" s="8">
        <v>42111.52050860555</v>
      </c>
      <c r="E14" s="229"/>
    </row>
    <row r="15" spans="1:5" ht="12.75">
      <c r="A15" s="43" t="s">
        <v>163</v>
      </c>
      <c r="B15" s="8">
        <f>SUM(B11:B14)</f>
        <v>97534.31286402777</v>
      </c>
      <c r="C15" s="8">
        <f>SUM(C11:C14)</f>
        <v>108742.52050860555</v>
      </c>
      <c r="E15" s="229"/>
    </row>
    <row r="16" spans="2:3" ht="12.75">
      <c r="B16" s="8"/>
      <c r="C16" s="8"/>
    </row>
    <row r="17" spans="1:3" ht="12.75">
      <c r="A17" t="s">
        <v>410</v>
      </c>
      <c r="B17" s="304">
        <v>74697.7271906253</v>
      </c>
      <c r="C17" s="304">
        <v>71273.74579062538</v>
      </c>
    </row>
    <row r="18" spans="1:3" ht="12.75">
      <c r="A18" t="s">
        <v>595</v>
      </c>
      <c r="B18" s="304">
        <v>33856.9539311</v>
      </c>
      <c r="C18" s="304">
        <v>32924.2841404</v>
      </c>
    </row>
    <row r="19" spans="2:3" ht="12.75">
      <c r="B19" s="304">
        <f>+B18+B17</f>
        <v>108554.6811217253</v>
      </c>
      <c r="C19" s="304">
        <f>+C18+C17</f>
        <v>104198.02993102538</v>
      </c>
    </row>
    <row r="20" spans="2:3" ht="12.75">
      <c r="B20" s="8"/>
      <c r="C20" s="8"/>
    </row>
    <row r="21" spans="2:3" ht="12.75">
      <c r="B21" s="8"/>
      <c r="C21" s="8"/>
    </row>
    <row r="22" spans="1:3" ht="12.75">
      <c r="A22" t="s">
        <v>596</v>
      </c>
      <c r="B22" s="8">
        <v>10048.115</v>
      </c>
      <c r="C22" s="8">
        <v>10158.135</v>
      </c>
    </row>
    <row r="23" spans="2:3" ht="12.75">
      <c r="B23" s="8"/>
      <c r="C23" s="8"/>
    </row>
    <row r="24" spans="2:3" ht="12.75">
      <c r="B24" s="8">
        <v>23342000</v>
      </c>
      <c r="C24" s="8">
        <v>27328000</v>
      </c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1:3" ht="12.75">
      <c r="A28" t="s">
        <v>708</v>
      </c>
      <c r="B28" s="8">
        <v>12480</v>
      </c>
      <c r="C28" s="8">
        <v>12634</v>
      </c>
    </row>
    <row r="29" spans="2:3" ht="12.75">
      <c r="B29" s="8"/>
      <c r="C29" s="8"/>
    </row>
    <row r="30" spans="2:3" ht="12.75">
      <c r="B30" s="8"/>
      <c r="C30" s="8"/>
    </row>
    <row r="31" spans="1:3" ht="12.75">
      <c r="A31" s="43" t="s">
        <v>722</v>
      </c>
      <c r="B31" s="304">
        <v>20000</v>
      </c>
      <c r="C31" s="304">
        <v>20000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C5:Q37"/>
  <sheetViews>
    <sheetView workbookViewId="0" topLeftCell="A22">
      <selection activeCell="D31" sqref="D31:E37"/>
    </sheetView>
  </sheetViews>
  <sheetFormatPr defaultColWidth="9.140625" defaultRowHeight="12.75"/>
  <cols>
    <col min="3" max="3" width="25.00390625" style="0" customWidth="1"/>
    <col min="4" max="4" width="12.7109375" style="0" customWidth="1"/>
    <col min="5" max="9" width="10.7109375" style="0" customWidth="1"/>
    <col min="10" max="10" width="19.421875" style="0" customWidth="1"/>
    <col min="11" max="12" width="18.57421875" style="0" customWidth="1"/>
    <col min="13" max="13" width="17.28125" style="0" customWidth="1"/>
    <col min="15" max="15" width="9.8515625" style="0" bestFit="1" customWidth="1"/>
    <col min="16" max="16" width="11.57421875" style="0" customWidth="1"/>
    <col min="17" max="17" width="11.421875" style="0" customWidth="1"/>
  </cols>
  <sheetData>
    <row r="5" spans="4:10" ht="12.75">
      <c r="D5" s="410" t="s">
        <v>691</v>
      </c>
      <c r="E5" s="410"/>
      <c r="F5" s="410"/>
      <c r="G5" s="410"/>
      <c r="H5" s="410"/>
      <c r="I5" s="410"/>
      <c r="J5" s="410"/>
    </row>
    <row r="6" spans="4:10" ht="12.75">
      <c r="D6" s="14">
        <v>2018</v>
      </c>
      <c r="E6" s="14">
        <v>2019</v>
      </c>
      <c r="F6" s="14">
        <v>2020</v>
      </c>
      <c r="G6" s="14">
        <v>2021</v>
      </c>
      <c r="H6" s="14">
        <v>2022</v>
      </c>
      <c r="I6" s="14">
        <v>2023</v>
      </c>
      <c r="J6" s="14" t="s">
        <v>702</v>
      </c>
    </row>
    <row r="7" spans="3:17" ht="12.75">
      <c r="C7" t="s">
        <v>644</v>
      </c>
      <c r="D7" s="29">
        <f>+'Income Statement Cash Flows'!E22</f>
        <v>490561.8091259999</v>
      </c>
      <c r="E7" s="29">
        <f>+'Income Statement Cash Flows'!F22</f>
        <v>420704.15750000003</v>
      </c>
      <c r="F7" s="29" t="e">
        <f>+#REF!</f>
        <v>#REF!</v>
      </c>
      <c r="G7" s="29" t="e">
        <f>+#REF!</f>
        <v>#REF!</v>
      </c>
      <c r="H7" s="29" t="e">
        <f>+#REF!</f>
        <v>#REF!</v>
      </c>
      <c r="I7" s="29" t="e">
        <f>+#REF!</f>
        <v>#REF!</v>
      </c>
      <c r="J7" s="29">
        <f>AVERAGE(D7:E7)</f>
        <v>455632.98331299995</v>
      </c>
      <c r="N7" s="261"/>
      <c r="O7" s="29"/>
      <c r="P7" s="29"/>
      <c r="Q7" s="29"/>
    </row>
    <row r="8" spans="3:17" ht="12.75">
      <c r="C8" t="s">
        <v>52</v>
      </c>
      <c r="D8" s="29">
        <f>+'Income Statement Cash Flows'!E23</f>
        <v>144091.87550166668</v>
      </c>
      <c r="E8" s="29">
        <f>+'Income Statement Cash Flows'!F23</f>
        <v>144065.45318666665</v>
      </c>
      <c r="F8" s="29" t="e">
        <f>+#REF!</f>
        <v>#REF!</v>
      </c>
      <c r="G8" s="29" t="e">
        <f>+#REF!</f>
        <v>#REF!</v>
      </c>
      <c r="H8" s="29" t="e">
        <f>+#REF!</f>
        <v>#REF!</v>
      </c>
      <c r="I8" s="29" t="e">
        <f>+#REF!</f>
        <v>#REF!</v>
      </c>
      <c r="J8" s="29">
        <f aca="true" t="shared" si="0" ref="J8:J13">AVERAGE(D8:E8)</f>
        <v>144078.66434416667</v>
      </c>
      <c r="N8" s="261"/>
      <c r="O8" s="29"/>
      <c r="P8" s="29"/>
      <c r="Q8" s="29"/>
    </row>
    <row r="9" spans="3:17" ht="12.75">
      <c r="C9" t="s">
        <v>56</v>
      </c>
      <c r="D9" s="29">
        <f>+'Income Statement Cash Flows'!E24</f>
        <v>86795.86666666667</v>
      </c>
      <c r="E9" s="29">
        <f>+'Income Statement Cash Flows'!F24</f>
        <v>87458.29946666668</v>
      </c>
      <c r="F9" s="29" t="e">
        <f>+#REF!</f>
        <v>#REF!</v>
      </c>
      <c r="G9" s="29" t="e">
        <f>+#REF!</f>
        <v>#REF!</v>
      </c>
      <c r="H9" s="29" t="e">
        <f>+#REF!</f>
        <v>#REF!</v>
      </c>
      <c r="I9" s="29" t="e">
        <f>+#REF!</f>
        <v>#REF!</v>
      </c>
      <c r="J9" s="29">
        <f t="shared" si="0"/>
        <v>87127.08306666667</v>
      </c>
      <c r="N9" s="261"/>
      <c r="O9" s="29"/>
      <c r="P9" s="29"/>
      <c r="Q9" s="29"/>
    </row>
    <row r="10" spans="3:17" ht="12.75">
      <c r="C10" t="s">
        <v>605</v>
      </c>
      <c r="D10" s="29">
        <f>+'Calculating RCD reduction'!C20</f>
        <v>0</v>
      </c>
      <c r="E10" s="29">
        <f>+'Calculating RCD reduction'!D20</f>
        <v>0</v>
      </c>
      <c r="F10" s="29">
        <f>+'Calculating RCD reduction'!E20</f>
        <v>0</v>
      </c>
      <c r="G10" s="29">
        <f>+'Calculating RCD reduction'!F20</f>
        <v>0</v>
      </c>
      <c r="H10" s="29">
        <f>+'Calculating RCD reduction'!G20</f>
        <v>0</v>
      </c>
      <c r="I10" s="29">
        <f>+'Calculating RCD reduction'!H20</f>
        <v>0</v>
      </c>
      <c r="J10" s="29">
        <f t="shared" si="0"/>
        <v>0</v>
      </c>
      <c r="K10" t="s">
        <v>689</v>
      </c>
      <c r="N10" s="261"/>
      <c r="O10" s="29"/>
      <c r="P10" s="29"/>
      <c r="Q10" s="29"/>
    </row>
    <row r="11" spans="3:17" ht="12.75">
      <c r="C11" t="s">
        <v>616</v>
      </c>
      <c r="D11" s="29">
        <f>+'Income Statement Cash Flows'!E36</f>
        <v>95662.1297564619</v>
      </c>
      <c r="E11" s="29">
        <f>+'Income Statement Cash Flows'!F36</f>
        <v>100286.90144684212</v>
      </c>
      <c r="F11" s="29" t="e">
        <f>+#REF!</f>
        <v>#REF!</v>
      </c>
      <c r="G11" s="29" t="e">
        <f>+#REF!</f>
        <v>#REF!</v>
      </c>
      <c r="H11" s="29" t="e">
        <f>+#REF!</f>
        <v>#REF!</v>
      </c>
      <c r="I11" s="29" t="e">
        <f>+#REF!</f>
        <v>#REF!</v>
      </c>
      <c r="J11" s="29">
        <f t="shared" si="0"/>
        <v>97974.515601652</v>
      </c>
      <c r="K11" t="s">
        <v>616</v>
      </c>
      <c r="N11" s="261"/>
      <c r="O11" s="29"/>
      <c r="P11" s="29"/>
      <c r="Q11" s="29"/>
    </row>
    <row r="12" spans="3:17" ht="15">
      <c r="C12" t="s">
        <v>617</v>
      </c>
      <c r="D12" s="330">
        <f>+'Income Statement Cash Flows'!E40</f>
        <v>220251.54375020473</v>
      </c>
      <c r="E12" s="330">
        <f>+'Income Statement Cash Flows'!F40</f>
        <v>67983.77939982456</v>
      </c>
      <c r="F12" s="330" t="e">
        <f>+#REF!</f>
        <v>#REF!</v>
      </c>
      <c r="G12" s="330" t="e">
        <f>+#REF!</f>
        <v>#REF!</v>
      </c>
      <c r="H12" s="330" t="e">
        <f>+#REF!</f>
        <v>#REF!</v>
      </c>
      <c r="I12" s="330" t="e">
        <f>+#REF!</f>
        <v>#REF!</v>
      </c>
      <c r="J12" s="262">
        <f t="shared" si="0"/>
        <v>144117.66157501464</v>
      </c>
      <c r="N12" s="262"/>
      <c r="O12" s="262"/>
      <c r="P12" s="262"/>
      <c r="Q12" s="262"/>
    </row>
    <row r="13" spans="3:17" ht="12.75">
      <c r="C13" t="s">
        <v>163</v>
      </c>
      <c r="D13" s="29">
        <f>SUM(D7:D12)</f>
        <v>1037363.224801</v>
      </c>
      <c r="E13" s="29">
        <f>SUM(E7:E12)</f>
        <v>820498.591</v>
      </c>
      <c r="F13" s="29" t="e">
        <f aca="true" t="shared" si="1" ref="F13:I13">SUM(F7:F12)</f>
        <v>#REF!</v>
      </c>
      <c r="G13" s="29" t="e">
        <f t="shared" si="1"/>
        <v>#REF!</v>
      </c>
      <c r="H13" s="29" t="e">
        <f t="shared" si="1"/>
        <v>#REF!</v>
      </c>
      <c r="I13" s="29" t="e">
        <f t="shared" si="1"/>
        <v>#REF!</v>
      </c>
      <c r="J13" s="29">
        <f t="shared" si="0"/>
        <v>928930.9079005</v>
      </c>
      <c r="N13" s="29"/>
      <c r="O13" s="29"/>
      <c r="P13" s="29"/>
      <c r="Q13" s="29"/>
    </row>
    <row r="16" spans="4:10" ht="12.75">
      <c r="D16" s="410" t="s">
        <v>645</v>
      </c>
      <c r="E16" s="410"/>
      <c r="F16" s="410"/>
      <c r="G16" s="410"/>
      <c r="H16" s="410"/>
      <c r="I16" s="410"/>
      <c r="J16" s="410"/>
    </row>
    <row r="17" spans="4:10" ht="12.75">
      <c r="D17" s="14">
        <v>2018</v>
      </c>
      <c r="E17" s="14">
        <v>2019</v>
      </c>
      <c r="F17" s="14">
        <v>2020</v>
      </c>
      <c r="G17" s="14">
        <v>2021</v>
      </c>
      <c r="H17" s="14">
        <v>2022</v>
      </c>
      <c r="I17" s="14">
        <v>2023</v>
      </c>
      <c r="J17" s="14" t="str">
        <f>+J6</f>
        <v>18-19 Annual Average</v>
      </c>
    </row>
    <row r="18" spans="3:10" ht="12.75">
      <c r="C18" t="s">
        <v>644</v>
      </c>
      <c r="D18" s="29">
        <f>+'Calculating RCD reduction'!L17</f>
        <v>250529.96487999998</v>
      </c>
      <c r="E18" s="29">
        <f>+'Calculating RCD reduction'!M17</f>
        <v>215113.35749999998</v>
      </c>
      <c r="F18" s="29">
        <f>+'Calculating RCD reduction'!N17</f>
        <v>335778.36974999995</v>
      </c>
      <c r="G18" s="29">
        <f>+'Calculating RCD reduction'!O17</f>
        <v>538588.821</v>
      </c>
      <c r="H18" s="29">
        <f>+'Calculating RCD reduction'!P17</f>
        <v>546588.629</v>
      </c>
      <c r="I18" s="29">
        <f>+'Calculating RCD reduction'!Q17</f>
        <v>546595.309</v>
      </c>
      <c r="J18" s="29">
        <f aca="true" t="shared" si="2" ref="J18:J24">AVERAGE(D18:E18)</f>
        <v>232821.66118999998</v>
      </c>
    </row>
    <row r="19" spans="3:10" ht="12.75">
      <c r="C19" t="s">
        <v>52</v>
      </c>
      <c r="D19" s="29">
        <f>+'Calculating RCD reduction'!L18</f>
        <v>144091.87550166668</v>
      </c>
      <c r="E19" s="29">
        <f>+'Calculating RCD reduction'!M18</f>
        <v>144065.45318666665</v>
      </c>
      <c r="F19" s="29" t="e">
        <f>+'Calculating RCD reduction'!N18</f>
        <v>#REF!</v>
      </c>
      <c r="G19" s="29" t="e">
        <f>+'Calculating RCD reduction'!O18</f>
        <v>#REF!</v>
      </c>
      <c r="H19" s="29" t="e">
        <f>+'Calculating RCD reduction'!P18</f>
        <v>#REF!</v>
      </c>
      <c r="I19" s="29" t="e">
        <f>+'Calculating RCD reduction'!Q18</f>
        <v>#REF!</v>
      </c>
      <c r="J19" s="29">
        <f t="shared" si="2"/>
        <v>144078.66434416667</v>
      </c>
    </row>
    <row r="20" spans="3:10" ht="12.75">
      <c r="C20" t="s">
        <v>56</v>
      </c>
      <c r="D20" s="29">
        <f>+'Calculating RCD reduction'!L19</f>
        <v>86795.86666666667</v>
      </c>
      <c r="E20" s="29">
        <f>+'Calculating RCD reduction'!M19</f>
        <v>87458.29946666668</v>
      </c>
      <c r="F20" s="29" t="e">
        <f>+'Calculating RCD reduction'!N19</f>
        <v>#REF!</v>
      </c>
      <c r="G20" s="29" t="e">
        <f>+'Calculating RCD reduction'!O19</f>
        <v>#REF!</v>
      </c>
      <c r="H20" s="29" t="e">
        <f>+'Calculating RCD reduction'!P19</f>
        <v>#REF!</v>
      </c>
      <c r="I20" s="29" t="e">
        <f>+'Calculating RCD reduction'!Q19</f>
        <v>#REF!</v>
      </c>
      <c r="J20" s="29">
        <f t="shared" si="2"/>
        <v>87127.08306666667</v>
      </c>
    </row>
    <row r="21" spans="3:10" ht="12.75">
      <c r="C21" t="s">
        <v>605</v>
      </c>
      <c r="D21" s="29">
        <f>+'Calculating RCD reduction'!L20</f>
        <v>0</v>
      </c>
      <c r="E21" s="29">
        <f>+'Calculating RCD reduction'!M20</f>
        <v>0</v>
      </c>
      <c r="F21" s="29">
        <f>+'Calculating RCD reduction'!N20</f>
        <v>0</v>
      </c>
      <c r="G21" s="29">
        <f>+'Calculating RCD reduction'!O20</f>
        <v>0</v>
      </c>
      <c r="H21" s="29">
        <f>+'Calculating RCD reduction'!P20</f>
        <v>0</v>
      </c>
      <c r="I21" s="29">
        <f>+'Calculating RCD reduction'!Q20</f>
        <v>0</v>
      </c>
      <c r="J21" s="29">
        <f t="shared" si="2"/>
        <v>0</v>
      </c>
    </row>
    <row r="22" spans="3:10" ht="12.75">
      <c r="C22" t="s">
        <v>616</v>
      </c>
      <c r="D22" s="29">
        <f>+'Calculating RCD reduction'!L21</f>
        <v>89223.8967564619</v>
      </c>
      <c r="E22" s="29">
        <f>+'Calculating RCD reduction'!M21</f>
        <v>81840.01844684212</v>
      </c>
      <c r="F22" s="29" t="e">
        <f>+'Calculating RCD reduction'!N21</f>
        <v>#REF!</v>
      </c>
      <c r="G22" s="29" t="e">
        <f>+'Calculating RCD reduction'!O21</f>
        <v>#REF!</v>
      </c>
      <c r="H22" s="29" t="e">
        <f>+'Calculating RCD reduction'!P21</f>
        <v>#REF!</v>
      </c>
      <c r="I22" s="29" t="e">
        <f>+'Calculating RCD reduction'!Q21</f>
        <v>#REF!</v>
      </c>
      <c r="J22" s="29">
        <f t="shared" si="2"/>
        <v>85531.95760165202</v>
      </c>
    </row>
    <row r="23" spans="3:10" ht="15">
      <c r="C23" t="s">
        <v>617</v>
      </c>
      <c r="D23" s="331">
        <f>+'Calculating RCD reduction'!L22</f>
        <v>478493.2637502048</v>
      </c>
      <c r="E23" s="331">
        <f>+'Calculating RCD reduction'!M22</f>
        <v>288353.5033998245</v>
      </c>
      <c r="F23" s="331" t="e">
        <f>+'Calculating RCD reduction'!N22</f>
        <v>#REF!</v>
      </c>
      <c r="G23" s="331" t="e">
        <f>+'Calculating RCD reduction'!O22</f>
        <v>#REF!</v>
      </c>
      <c r="H23" s="331" t="e">
        <f>+'Calculating RCD reduction'!P22</f>
        <v>#REF!</v>
      </c>
      <c r="I23" s="331" t="e">
        <f>+'Calculating RCD reduction'!Q22</f>
        <v>#REF!</v>
      </c>
      <c r="J23" s="262">
        <f t="shared" si="2"/>
        <v>383423.38357501465</v>
      </c>
    </row>
    <row r="24" spans="3:10" ht="12.75">
      <c r="C24" t="s">
        <v>163</v>
      </c>
      <c r="D24" s="29">
        <f>SUM(D18:D23)</f>
        <v>1049134.8675550001</v>
      </c>
      <c r="E24" s="29">
        <f>SUM(E18:E23)</f>
        <v>816830.6319999999</v>
      </c>
      <c r="F24" s="29" t="e">
        <f aca="true" t="shared" si="3" ref="F24:I24">SUM(F18:F23)</f>
        <v>#REF!</v>
      </c>
      <c r="G24" s="29" t="e">
        <f t="shared" si="3"/>
        <v>#REF!</v>
      </c>
      <c r="H24" s="29" t="e">
        <f t="shared" si="3"/>
        <v>#REF!</v>
      </c>
      <c r="I24" s="29" t="e">
        <f t="shared" si="3"/>
        <v>#REF!</v>
      </c>
      <c r="J24" s="29">
        <f t="shared" si="2"/>
        <v>932982.7497775</v>
      </c>
    </row>
    <row r="25" spans="4:9" ht="12.75">
      <c r="D25" s="29"/>
      <c r="E25" s="29"/>
      <c r="F25" s="29"/>
      <c r="G25" s="29"/>
      <c r="H25" s="29"/>
      <c r="I25" s="29"/>
    </row>
    <row r="27" spans="3:5" ht="12.75">
      <c r="C27" s="410" t="s">
        <v>715</v>
      </c>
      <c r="D27" s="410"/>
      <c r="E27" s="410"/>
    </row>
    <row r="28" spans="3:5" ht="12.75">
      <c r="C28" s="411" t="s">
        <v>283</v>
      </c>
      <c r="D28" s="411"/>
      <c r="E28" s="411"/>
    </row>
    <row r="30" spans="4:10" ht="12.75">
      <c r="D30" s="14">
        <v>2018</v>
      </c>
      <c r="E30" s="14">
        <v>2019</v>
      </c>
      <c r="F30" s="14">
        <v>2020</v>
      </c>
      <c r="G30" s="14">
        <v>2021</v>
      </c>
      <c r="H30" s="14">
        <v>2022</v>
      </c>
      <c r="I30" s="14">
        <v>2023</v>
      </c>
      <c r="J30" s="14" t="str">
        <f>+J17</f>
        <v>18-19 Annual Average</v>
      </c>
    </row>
    <row r="31" spans="3:10" ht="12.75">
      <c r="C31" t="s">
        <v>644</v>
      </c>
      <c r="D31" s="29">
        <f aca="true" t="shared" si="4" ref="D31:F37">+D18-D7</f>
        <v>-240031.84424599994</v>
      </c>
      <c r="E31" s="29">
        <f t="shared" si="4"/>
        <v>-205590.80000000005</v>
      </c>
      <c r="F31" s="29" t="e">
        <f aca="true" t="shared" si="5" ref="F31:H31">+F18-F7</f>
        <v>#REF!</v>
      </c>
      <c r="G31" s="29" t="e">
        <f t="shared" si="5"/>
        <v>#REF!</v>
      </c>
      <c r="H31" s="29" t="e">
        <f t="shared" si="5"/>
        <v>#REF!</v>
      </c>
      <c r="I31" s="29" t="e">
        <f aca="true" t="shared" si="6" ref="I31">+I18-I7</f>
        <v>#REF!</v>
      </c>
      <c r="J31" s="29">
        <f aca="true" t="shared" si="7" ref="J31:J37">+J18-J7</f>
        <v>-222811.32212299996</v>
      </c>
    </row>
    <row r="32" spans="3:10" ht="12.75">
      <c r="C32" t="s">
        <v>52</v>
      </c>
      <c r="D32" s="29">
        <f t="shared" si="4"/>
        <v>0</v>
      </c>
      <c r="E32" s="29">
        <f t="shared" si="4"/>
        <v>0</v>
      </c>
      <c r="F32" s="29" t="e">
        <f aca="true" t="shared" si="8" ref="F32:H32">+F19-F8</f>
        <v>#REF!</v>
      </c>
      <c r="G32" s="29" t="e">
        <f t="shared" si="8"/>
        <v>#REF!</v>
      </c>
      <c r="H32" s="29" t="e">
        <f t="shared" si="8"/>
        <v>#REF!</v>
      </c>
      <c r="I32" s="29" t="e">
        <f aca="true" t="shared" si="9" ref="I32">+I19-I8</f>
        <v>#REF!</v>
      </c>
      <c r="J32" s="29">
        <f t="shared" si="7"/>
        <v>0</v>
      </c>
    </row>
    <row r="33" spans="3:10" ht="12.75">
      <c r="C33" t="s">
        <v>56</v>
      </c>
      <c r="D33" s="29">
        <f t="shared" si="4"/>
        <v>0</v>
      </c>
      <c r="E33" s="29">
        <f t="shared" si="4"/>
        <v>0</v>
      </c>
      <c r="F33" s="29" t="e">
        <f aca="true" t="shared" si="10" ref="F33:H33">+F20-F9</f>
        <v>#REF!</v>
      </c>
      <c r="G33" s="29" t="e">
        <f t="shared" si="10"/>
        <v>#REF!</v>
      </c>
      <c r="H33" s="29" t="e">
        <f t="shared" si="10"/>
        <v>#REF!</v>
      </c>
      <c r="I33" s="29" t="e">
        <f aca="true" t="shared" si="11" ref="I33">+I20-I9</f>
        <v>#REF!</v>
      </c>
      <c r="J33" s="29">
        <f t="shared" si="7"/>
        <v>0</v>
      </c>
    </row>
    <row r="34" spans="3:10" ht="12.75">
      <c r="C34" t="s">
        <v>605</v>
      </c>
      <c r="D34" s="29">
        <f t="shared" si="4"/>
        <v>0</v>
      </c>
      <c r="E34" s="29">
        <f t="shared" si="4"/>
        <v>0</v>
      </c>
      <c r="F34" s="29">
        <f aca="true" t="shared" si="12" ref="F34:H34">+F21-F10</f>
        <v>0</v>
      </c>
      <c r="G34" s="29">
        <f t="shared" si="12"/>
        <v>0</v>
      </c>
      <c r="H34" s="29">
        <f t="shared" si="12"/>
        <v>0</v>
      </c>
      <c r="I34" s="29">
        <f aca="true" t="shared" si="13" ref="I34">+I21-I10</f>
        <v>0</v>
      </c>
      <c r="J34" s="29">
        <f t="shared" si="7"/>
        <v>0</v>
      </c>
    </row>
    <row r="35" spans="3:10" ht="12.75">
      <c r="C35" t="s">
        <v>714</v>
      </c>
      <c r="D35" s="29">
        <f>+D22-D11</f>
        <v>-6438.233000000007</v>
      </c>
      <c r="E35" s="29">
        <f t="shared" si="4"/>
        <v>-18446.883</v>
      </c>
      <c r="F35" s="29" t="e">
        <f aca="true" t="shared" si="14" ref="F35:H35">+F22-F11</f>
        <v>#REF!</v>
      </c>
      <c r="G35" s="29" t="e">
        <f t="shared" si="14"/>
        <v>#REF!</v>
      </c>
      <c r="H35" s="29" t="e">
        <f t="shared" si="14"/>
        <v>#REF!</v>
      </c>
      <c r="I35" s="29" t="e">
        <f aca="true" t="shared" si="15" ref="I35">+I22-I11</f>
        <v>#REF!</v>
      </c>
      <c r="J35" s="29">
        <f t="shared" si="7"/>
        <v>-12442.55799999999</v>
      </c>
    </row>
    <row r="36" spans="3:10" ht="15">
      <c r="C36" t="s">
        <v>713</v>
      </c>
      <c r="D36" s="332">
        <f t="shared" si="4"/>
        <v>258241.7200000001</v>
      </c>
      <c r="E36" s="332">
        <f t="shared" si="4"/>
        <v>220369.72399999993</v>
      </c>
      <c r="F36" s="332" t="e">
        <f aca="true" t="shared" si="16" ref="F36:H36">+F23-F12</f>
        <v>#REF!</v>
      </c>
      <c r="G36" s="332" t="e">
        <f t="shared" si="16"/>
        <v>#REF!</v>
      </c>
      <c r="H36" s="332" t="e">
        <f t="shared" si="16"/>
        <v>#REF!</v>
      </c>
      <c r="I36" s="332" t="e">
        <f aca="true" t="shared" si="17" ref="I36">+I23-I12</f>
        <v>#REF!</v>
      </c>
      <c r="J36" s="262">
        <f t="shared" si="7"/>
        <v>239305.722</v>
      </c>
    </row>
    <row r="37" spans="3:10" ht="12.75">
      <c r="C37" t="s">
        <v>712</v>
      </c>
      <c r="D37" s="29">
        <f>+D24-D13</f>
        <v>11771.642754000146</v>
      </c>
      <c r="E37" s="29">
        <f t="shared" si="4"/>
        <v>-3667.959000000148</v>
      </c>
      <c r="F37" s="29" t="e">
        <f t="shared" si="4"/>
        <v>#REF!</v>
      </c>
      <c r="G37" s="29" t="e">
        <f aca="true" t="shared" si="18" ref="G37:H37">+G24-G13</f>
        <v>#REF!</v>
      </c>
      <c r="H37" s="29" t="e">
        <f t="shared" si="18"/>
        <v>#REF!</v>
      </c>
      <c r="I37" s="29" t="e">
        <f aca="true" t="shared" si="19" ref="I37">+I24-I13</f>
        <v>#REF!</v>
      </c>
      <c r="J37" s="29">
        <f t="shared" si="7"/>
        <v>4051.841877000057</v>
      </c>
    </row>
  </sheetData>
  <mergeCells count="4">
    <mergeCell ref="D5:J5"/>
    <mergeCell ref="D16:J16"/>
    <mergeCell ref="C27:E27"/>
    <mergeCell ref="C28:E2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W83"/>
  <sheetViews>
    <sheetView zoomScale="120" zoomScaleNormal="120" workbookViewId="0" topLeftCell="A40">
      <selection activeCell="L52" sqref="L52"/>
    </sheetView>
  </sheetViews>
  <sheetFormatPr defaultColWidth="9.140625" defaultRowHeight="12.75"/>
  <cols>
    <col min="1" max="1" width="7.7109375" style="0" customWidth="1"/>
    <col min="2" max="2" width="46.140625" style="0" hidden="1" customWidth="1"/>
    <col min="3" max="3" width="10.7109375" style="0" hidden="1" customWidth="1"/>
    <col min="4" max="4" width="11.7109375" style="0" hidden="1" customWidth="1"/>
    <col min="5" max="6" width="12.421875" style="0" hidden="1" customWidth="1"/>
    <col min="7" max="7" width="12.28125" style="0" hidden="1" customWidth="1"/>
    <col min="8" max="8" width="14.28125" style="0" hidden="1" customWidth="1"/>
    <col min="9" max="9" width="9.140625" style="0" hidden="1" customWidth="1"/>
    <col min="10" max="10" width="7.28125" style="0" hidden="1" customWidth="1"/>
    <col min="11" max="11" width="40.421875" style="0" customWidth="1"/>
    <col min="12" max="13" width="10.7109375" style="0" customWidth="1"/>
    <col min="14" max="14" width="10.8515625" style="0" customWidth="1"/>
    <col min="15" max="16" width="12.00390625" style="0" bestFit="1" customWidth="1"/>
    <col min="17" max="17" width="11.8515625" style="0" bestFit="1" customWidth="1"/>
    <col min="18" max="18" width="18.57421875" style="0" bestFit="1" customWidth="1"/>
    <col min="19" max="19" width="11.28125" style="0" bestFit="1" customWidth="1"/>
  </cols>
  <sheetData>
    <row r="1" spans="1:9" ht="15.75">
      <c r="A1" s="238" t="s">
        <v>606</v>
      </c>
      <c r="C1" s="9"/>
      <c r="D1" s="9"/>
      <c r="F1" s="128"/>
      <c r="I1" s="322" t="s">
        <v>669</v>
      </c>
    </row>
    <row r="2" ht="15">
      <c r="A2" s="239"/>
    </row>
    <row r="3" spans="1:12" ht="12.75">
      <c r="A3" t="s">
        <v>283</v>
      </c>
      <c r="B3" s="43" t="s">
        <v>701</v>
      </c>
      <c r="C3" s="43" t="s">
        <v>665</v>
      </c>
      <c r="J3" t="s">
        <v>283</v>
      </c>
      <c r="K3" s="349" t="s">
        <v>706</v>
      </c>
      <c r="L3" s="43" t="s">
        <v>707</v>
      </c>
    </row>
    <row r="5" spans="2:17" ht="13.5" thickBot="1">
      <c r="B5" s="240" t="s">
        <v>607</v>
      </c>
      <c r="C5" s="241">
        <v>2018</v>
      </c>
      <c r="D5" s="241">
        <v>2019</v>
      </c>
      <c r="E5" s="241">
        <v>2020</v>
      </c>
      <c r="F5" s="241">
        <v>2021</v>
      </c>
      <c r="G5" s="241">
        <v>2022</v>
      </c>
      <c r="H5" s="241">
        <v>2023</v>
      </c>
      <c r="K5" s="240" t="s">
        <v>607</v>
      </c>
      <c r="L5" s="241">
        <v>2018</v>
      </c>
      <c r="M5" s="241">
        <v>2019</v>
      </c>
      <c r="N5" s="241">
        <v>2020</v>
      </c>
      <c r="O5" s="241">
        <v>2021</v>
      </c>
      <c r="P5" s="241">
        <v>2022</v>
      </c>
      <c r="Q5" s="241">
        <v>2023</v>
      </c>
    </row>
    <row r="6" spans="1:21" s="242" customFormat="1" ht="12.75">
      <c r="A6" s="242">
        <v>1</v>
      </c>
      <c r="B6" s="243" t="s">
        <v>608</v>
      </c>
      <c r="C6" s="345">
        <v>434050.16263000004</v>
      </c>
      <c r="D6" s="345">
        <v>214488.65000000002</v>
      </c>
      <c r="E6" s="345">
        <v>273756.1</v>
      </c>
      <c r="F6" s="345">
        <v>267773.1</v>
      </c>
      <c r="G6" s="345">
        <v>287843.8235</v>
      </c>
      <c r="H6" s="345">
        <v>299612.4205</v>
      </c>
      <c r="I6" s="346"/>
      <c r="J6" s="242">
        <v>1</v>
      </c>
      <c r="K6" s="243" t="s">
        <v>608</v>
      </c>
      <c r="L6" s="381">
        <v>518683.77538</v>
      </c>
      <c r="M6" s="381">
        <v>132036.80699999997</v>
      </c>
      <c r="N6" s="381">
        <v>283917.19375</v>
      </c>
      <c r="O6" s="381">
        <v>326232.394</v>
      </c>
      <c r="P6" s="381">
        <v>346236.944</v>
      </c>
      <c r="Q6" s="381">
        <v>357965.694</v>
      </c>
      <c r="S6" s="324">
        <f>+L6+L46+L48</f>
        <v>19931.775380000006</v>
      </c>
      <c r="T6" s="319"/>
      <c r="U6" s="319"/>
    </row>
    <row r="7" spans="1:17" s="242" customFormat="1" ht="19.5" customHeight="1">
      <c r="A7" s="242">
        <v>2</v>
      </c>
      <c r="B7" s="243" t="s">
        <v>532</v>
      </c>
      <c r="C7" s="367">
        <v>212309.8995</v>
      </c>
      <c r="D7" s="368">
        <v>195905.7005</v>
      </c>
      <c r="E7" s="367">
        <v>183483.43</v>
      </c>
      <c r="F7" s="368">
        <v>172101.107</v>
      </c>
      <c r="G7" s="367">
        <v>160845.362</v>
      </c>
      <c r="H7" s="368">
        <v>149998.795</v>
      </c>
      <c r="J7" s="242">
        <v>2</v>
      </c>
      <c r="K7" s="243" t="s">
        <v>532</v>
      </c>
      <c r="L7" s="368">
        <v>230598.1895</v>
      </c>
      <c r="M7" s="367">
        <v>224164.5505</v>
      </c>
      <c r="N7" s="368">
        <v>220436.176</v>
      </c>
      <c r="O7" s="367">
        <v>212356.427</v>
      </c>
      <c r="P7" s="368">
        <v>200351.685</v>
      </c>
      <c r="Q7" s="367">
        <v>188629.615</v>
      </c>
    </row>
    <row r="8" spans="1:21" s="242" customFormat="1" ht="13.5" customHeight="1">
      <c r="A8" s="242">
        <v>3</v>
      </c>
      <c r="B8" s="243" t="s">
        <v>609</v>
      </c>
      <c r="C8" s="367">
        <v>135747</v>
      </c>
      <c r="D8" s="368">
        <v>174190.028</v>
      </c>
      <c r="E8" s="367">
        <v>153967.835</v>
      </c>
      <c r="F8" s="368">
        <v>182760.293</v>
      </c>
      <c r="G8" s="367">
        <v>171260.175</v>
      </c>
      <c r="H8" s="368">
        <v>176334.986</v>
      </c>
      <c r="I8" s="259"/>
      <c r="J8" s="242">
        <v>3</v>
      </c>
      <c r="K8" s="243" t="s">
        <v>609</v>
      </c>
      <c r="L8" s="368">
        <v>369937.079</v>
      </c>
      <c r="M8" s="367">
        <v>423028.059</v>
      </c>
      <c r="N8" s="368">
        <v>159476.217</v>
      </c>
      <c r="O8" s="367">
        <v>183954.661</v>
      </c>
      <c r="P8" s="368">
        <v>173546.812</v>
      </c>
      <c r="Q8" s="367">
        <v>176109.359</v>
      </c>
      <c r="S8" s="319">
        <f>+L8-C8</f>
        <v>234190.07900000003</v>
      </c>
      <c r="T8" s="319"/>
      <c r="U8" s="319"/>
    </row>
    <row r="9" spans="1:17" s="242" customFormat="1" ht="12.75">
      <c r="A9" s="242">
        <v>4</v>
      </c>
      <c r="B9" s="243" t="s">
        <v>575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J9" s="242">
        <v>4</v>
      </c>
      <c r="K9" s="243" t="s">
        <v>575</v>
      </c>
      <c r="L9" s="368">
        <v>11718.53</v>
      </c>
      <c r="M9" s="367">
        <v>10679.665</v>
      </c>
      <c r="N9" s="368">
        <v>0</v>
      </c>
      <c r="O9" s="367">
        <v>0</v>
      </c>
      <c r="P9" s="368">
        <v>0</v>
      </c>
      <c r="Q9" s="367">
        <v>0</v>
      </c>
    </row>
    <row r="10" spans="1:17" s="242" customFormat="1" ht="12.75">
      <c r="A10" s="242">
        <v>5</v>
      </c>
      <c r="B10" s="243" t="s">
        <v>610</v>
      </c>
      <c r="C10" s="348">
        <v>0</v>
      </c>
      <c r="D10" s="348">
        <v>0</v>
      </c>
      <c r="E10" s="348">
        <v>0</v>
      </c>
      <c r="F10" s="348">
        <v>0</v>
      </c>
      <c r="G10" s="348">
        <v>0</v>
      </c>
      <c r="H10" s="348">
        <v>0</v>
      </c>
      <c r="J10" s="242">
        <v>5</v>
      </c>
      <c r="K10" s="243" t="s">
        <v>610</v>
      </c>
      <c r="L10" s="348"/>
      <c r="M10" s="348"/>
      <c r="N10" s="348"/>
      <c r="O10" s="348"/>
      <c r="P10" s="348"/>
      <c r="Q10" s="348"/>
    </row>
    <row r="11" spans="1:17" s="242" customFormat="1" ht="12.75">
      <c r="A11" s="242">
        <v>6</v>
      </c>
      <c r="B11" s="243" t="s">
        <v>611</v>
      </c>
      <c r="C11" s="367">
        <v>168045.256</v>
      </c>
      <c r="D11" s="368">
        <v>173203.125</v>
      </c>
      <c r="E11" s="367">
        <v>189938.238</v>
      </c>
      <c r="F11" s="368">
        <v>200751.923</v>
      </c>
      <c r="G11" s="367">
        <v>213120.963</v>
      </c>
      <c r="H11" s="368">
        <v>221020.227</v>
      </c>
      <c r="J11" s="242">
        <v>6</v>
      </c>
      <c r="K11" s="243" t="s">
        <v>611</v>
      </c>
      <c r="L11" s="368">
        <v>120975.237</v>
      </c>
      <c r="M11" s="367">
        <v>115718.452</v>
      </c>
      <c r="N11" s="368">
        <v>121332.03</v>
      </c>
      <c r="O11" s="367">
        <v>132798.682</v>
      </c>
      <c r="P11" s="368">
        <v>145747.74</v>
      </c>
      <c r="Q11" s="367">
        <v>157342.079</v>
      </c>
    </row>
    <row r="12" spans="1:17" s="246" customFormat="1" ht="15">
      <c r="A12" s="242">
        <v>7</v>
      </c>
      <c r="B12" s="245" t="s">
        <v>199</v>
      </c>
      <c r="C12" s="367">
        <v>27234.291</v>
      </c>
      <c r="D12" s="368">
        <v>56572.665</v>
      </c>
      <c r="E12" s="367">
        <v>24317.301</v>
      </c>
      <c r="F12" s="368">
        <v>14746.543</v>
      </c>
      <c r="G12" s="367">
        <v>16059.879</v>
      </c>
      <c r="H12" s="368">
        <v>12845.994</v>
      </c>
      <c r="J12" s="242">
        <v>7</v>
      </c>
      <c r="K12" s="245" t="s">
        <v>199</v>
      </c>
      <c r="L12" s="368">
        <v>27234.291</v>
      </c>
      <c r="M12" s="367">
        <v>56572.665</v>
      </c>
      <c r="N12" s="368">
        <v>24317.301</v>
      </c>
      <c r="O12" s="367">
        <v>14746.543</v>
      </c>
      <c r="P12" s="368">
        <v>16059.879</v>
      </c>
      <c r="Q12" s="367">
        <v>12845.994</v>
      </c>
    </row>
    <row r="13" spans="1:17" s="242" customFormat="1" ht="12.75">
      <c r="A13" s="242">
        <v>8</v>
      </c>
      <c r="B13" s="247" t="s">
        <v>612</v>
      </c>
      <c r="C13" s="259">
        <f>SUM(C6:C12)</f>
        <v>977386.60913</v>
      </c>
      <c r="D13" s="259">
        <f>SUM(D6:D12)</f>
        <v>814360.1685000001</v>
      </c>
      <c r="E13" s="259">
        <f aca="true" t="shared" si="0" ref="E13:H13">SUM(E6:E12)</f>
        <v>825462.904</v>
      </c>
      <c r="F13" s="259">
        <f t="shared" si="0"/>
        <v>838132.9659999999</v>
      </c>
      <c r="G13" s="259">
        <f t="shared" si="0"/>
        <v>849130.2024999999</v>
      </c>
      <c r="H13" s="259">
        <f t="shared" si="0"/>
        <v>859812.4225000001</v>
      </c>
      <c r="J13" s="242">
        <v>8</v>
      </c>
      <c r="K13" s="247" t="s">
        <v>612</v>
      </c>
      <c r="L13" s="259">
        <f>SUM(L6:L12)</f>
        <v>1279147.10188</v>
      </c>
      <c r="M13" s="259">
        <f>SUM(M6:M12)</f>
        <v>962200.1985000002</v>
      </c>
      <c r="N13" s="259">
        <f aca="true" t="shared" si="1" ref="N13:Q13">SUM(N6:N12)</f>
        <v>809478.91775</v>
      </c>
      <c r="O13" s="259">
        <f t="shared" si="1"/>
        <v>870088.7069999999</v>
      </c>
      <c r="P13" s="259">
        <f t="shared" si="1"/>
        <v>881943.0599999999</v>
      </c>
      <c r="Q13" s="259">
        <f t="shared" si="1"/>
        <v>892892.741</v>
      </c>
    </row>
    <row r="14" spans="1:17" ht="12.75">
      <c r="A14" s="242">
        <v>9</v>
      </c>
      <c r="C14" s="248"/>
      <c r="D14" s="244"/>
      <c r="E14" s="244"/>
      <c r="F14" s="244"/>
      <c r="G14" s="244"/>
      <c r="H14" s="244"/>
      <c r="J14" s="242">
        <v>9</v>
      </c>
      <c r="L14" s="248"/>
      <c r="M14" s="244"/>
      <c r="N14" s="248"/>
      <c r="O14" s="244"/>
      <c r="P14" s="248"/>
      <c r="Q14" s="244"/>
    </row>
    <row r="15" spans="1:17" ht="13.5" thickBot="1">
      <c r="A15" s="242">
        <v>10</v>
      </c>
      <c r="B15" s="240" t="s">
        <v>613</v>
      </c>
      <c r="C15" s="241"/>
      <c r="D15" s="241"/>
      <c r="E15" s="241"/>
      <c r="F15" s="241"/>
      <c r="G15" s="241"/>
      <c r="H15" s="241"/>
      <c r="J15" s="242">
        <v>10</v>
      </c>
      <c r="K15" s="240" t="s">
        <v>613</v>
      </c>
      <c r="L15" s="241"/>
      <c r="M15" s="241"/>
      <c r="N15" s="241"/>
      <c r="O15" s="241"/>
      <c r="P15" s="241"/>
      <c r="Q15" s="241"/>
    </row>
    <row r="16" spans="1:17" ht="12.75">
      <c r="A16" s="242">
        <v>11</v>
      </c>
      <c r="B16" s="249" t="s">
        <v>588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J16" s="242">
        <v>11</v>
      </c>
      <c r="K16" s="249" t="s">
        <v>588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</row>
    <row r="17" spans="1:17" ht="12.75">
      <c r="A17" s="242">
        <v>12</v>
      </c>
      <c r="B17" s="250" t="s">
        <v>614</v>
      </c>
      <c r="C17" s="244">
        <f>C6+C7</f>
        <v>646360.06213</v>
      </c>
      <c r="D17" s="244">
        <f>D6+D7</f>
        <v>410394.35050000006</v>
      </c>
      <c r="E17" s="244">
        <f aca="true" t="shared" si="2" ref="E17:H17">E6+E7</f>
        <v>457239.52999999997</v>
      </c>
      <c r="F17" s="244">
        <f t="shared" si="2"/>
        <v>439874.20699999994</v>
      </c>
      <c r="G17" s="244">
        <f t="shared" si="2"/>
        <v>448689.1855</v>
      </c>
      <c r="H17" s="244">
        <f t="shared" si="2"/>
        <v>449611.21550000005</v>
      </c>
      <c r="J17" s="242">
        <v>12</v>
      </c>
      <c r="K17" s="250" t="s">
        <v>614</v>
      </c>
      <c r="L17" s="244">
        <f>L6+L7+L46+L48</f>
        <v>250529.96487999998</v>
      </c>
      <c r="M17" s="244">
        <f aca="true" t="shared" si="3" ref="M17:Q17">M6+M7+M46+M48</f>
        <v>215113.35749999998</v>
      </c>
      <c r="N17" s="244">
        <f t="shared" si="3"/>
        <v>335778.36974999995</v>
      </c>
      <c r="O17" s="244">
        <f t="shared" si="3"/>
        <v>538588.821</v>
      </c>
      <c r="P17" s="244">
        <f t="shared" si="3"/>
        <v>546588.629</v>
      </c>
      <c r="Q17" s="244">
        <f t="shared" si="3"/>
        <v>546595.309</v>
      </c>
    </row>
    <row r="18" spans="1:17" ht="15">
      <c r="A18" s="242">
        <v>13</v>
      </c>
      <c r="B18" s="250" t="s">
        <v>52</v>
      </c>
      <c r="C18" s="244">
        <f>+'Income Statement Cash Flows'!E23</f>
        <v>144091.87550166668</v>
      </c>
      <c r="D18" s="244">
        <f>+'Income Statement Cash Flows'!F23</f>
        <v>144065.45318666665</v>
      </c>
      <c r="E18" s="244" t="e">
        <f>+#REF!</f>
        <v>#REF!</v>
      </c>
      <c r="F18" s="244" t="e">
        <f>+#REF!</f>
        <v>#REF!</v>
      </c>
      <c r="G18" s="244" t="e">
        <f>+#REF!</f>
        <v>#REF!</v>
      </c>
      <c r="H18" s="244" t="e">
        <f>+#REF!</f>
        <v>#REF!</v>
      </c>
      <c r="I18" s="251"/>
      <c r="J18" s="242">
        <v>13</v>
      </c>
      <c r="K18" s="250" t="s">
        <v>52</v>
      </c>
      <c r="L18" s="321">
        <f aca="true" t="shared" si="4" ref="L18:Q19">+C18</f>
        <v>144091.87550166668</v>
      </c>
      <c r="M18" s="321">
        <f t="shared" si="4"/>
        <v>144065.45318666665</v>
      </c>
      <c r="N18" s="321" t="e">
        <f t="shared" si="4"/>
        <v>#REF!</v>
      </c>
      <c r="O18" s="321" t="e">
        <f t="shared" si="4"/>
        <v>#REF!</v>
      </c>
      <c r="P18" s="321" t="e">
        <f t="shared" si="4"/>
        <v>#REF!</v>
      </c>
      <c r="Q18" s="321" t="e">
        <f t="shared" si="4"/>
        <v>#REF!</v>
      </c>
    </row>
    <row r="19" spans="1:17" ht="15">
      <c r="A19" s="242">
        <v>14</v>
      </c>
      <c r="B19" s="250" t="s">
        <v>56</v>
      </c>
      <c r="C19" s="244">
        <f>+'Income Statement Cash Flows'!E24</f>
        <v>86795.86666666667</v>
      </c>
      <c r="D19" s="244">
        <f>+'Income Statement Cash Flows'!F24</f>
        <v>87458.29946666668</v>
      </c>
      <c r="E19" s="244" t="e">
        <f>+#REF!</f>
        <v>#REF!</v>
      </c>
      <c r="F19" s="244" t="e">
        <f>+#REF!</f>
        <v>#REF!</v>
      </c>
      <c r="G19" s="244" t="e">
        <f>+#REF!</f>
        <v>#REF!</v>
      </c>
      <c r="H19" s="244" t="e">
        <f>+#REF!</f>
        <v>#REF!</v>
      </c>
      <c r="I19" s="251"/>
      <c r="J19" s="242">
        <v>14</v>
      </c>
      <c r="K19" s="250" t="s">
        <v>56</v>
      </c>
      <c r="L19" s="321">
        <f t="shared" si="4"/>
        <v>86795.86666666667</v>
      </c>
      <c r="M19" s="321">
        <f t="shared" si="4"/>
        <v>87458.29946666668</v>
      </c>
      <c r="N19" s="321" t="e">
        <f t="shared" si="4"/>
        <v>#REF!</v>
      </c>
      <c r="O19" s="321" t="e">
        <f t="shared" si="4"/>
        <v>#REF!</v>
      </c>
      <c r="P19" s="321" t="e">
        <f t="shared" si="4"/>
        <v>#REF!</v>
      </c>
      <c r="Q19" s="321" t="e">
        <f t="shared" si="4"/>
        <v>#REF!</v>
      </c>
    </row>
    <row r="20" spans="1:17" ht="12.75">
      <c r="A20" s="242">
        <v>15</v>
      </c>
      <c r="B20" s="250" t="s">
        <v>605</v>
      </c>
      <c r="C20" s="244">
        <f>+C45</f>
        <v>0</v>
      </c>
      <c r="D20" s="244">
        <f aca="true" t="shared" si="5" ref="D20">+D45</f>
        <v>0</v>
      </c>
      <c r="E20" s="244">
        <f aca="true" t="shared" si="6" ref="E20:H20">+E45</f>
        <v>0</v>
      </c>
      <c r="F20" s="244">
        <f t="shared" si="6"/>
        <v>0</v>
      </c>
      <c r="G20" s="244">
        <f t="shared" si="6"/>
        <v>0</v>
      </c>
      <c r="H20" s="244">
        <f t="shared" si="6"/>
        <v>0</v>
      </c>
      <c r="J20" s="242">
        <v>15</v>
      </c>
      <c r="K20" s="250" t="s">
        <v>605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</row>
    <row r="21" spans="1:17" ht="12.75">
      <c r="A21" s="242">
        <v>16</v>
      </c>
      <c r="B21" s="250" t="s">
        <v>616</v>
      </c>
      <c r="C21" s="244">
        <f>C11+C29+C30+C31+C32+C9+C10</f>
        <v>124575.3857564619</v>
      </c>
      <c r="D21" s="244">
        <f>D11+D29+D30+D31+D32+D9+D10</f>
        <v>128510.76894684213</v>
      </c>
      <c r="E21" s="244" t="e">
        <f aca="true" t="shared" si="7" ref="E21:H21">E11+E29+E30+E31+E32+E9+E10</f>
        <v>#REF!</v>
      </c>
      <c r="F21" s="244" t="e">
        <f t="shared" si="7"/>
        <v>#REF!</v>
      </c>
      <c r="G21" s="244" t="e">
        <f t="shared" si="7"/>
        <v>#REF!</v>
      </c>
      <c r="H21" s="244" t="e">
        <f t="shared" si="7"/>
        <v>#REF!</v>
      </c>
      <c r="J21" s="242">
        <v>16</v>
      </c>
      <c r="K21" s="250" t="s">
        <v>616</v>
      </c>
      <c r="L21" s="244">
        <f>L11+L29+L30+L31+L32+L9+L10</f>
        <v>89223.8967564619</v>
      </c>
      <c r="M21" s="244">
        <f>M11+M29+M30+M31+M32+M9+M10</f>
        <v>81840.01844684212</v>
      </c>
      <c r="N21" s="244" t="e">
        <f aca="true" t="shared" si="8" ref="N21:Q21">N11+N29+N30+N31+N32+N9+N10</f>
        <v>#REF!</v>
      </c>
      <c r="O21" s="244" t="e">
        <f t="shared" si="8"/>
        <v>#REF!</v>
      </c>
      <c r="P21" s="244" t="e">
        <f t="shared" si="8"/>
        <v>#REF!</v>
      </c>
      <c r="Q21" s="244" t="e">
        <f t="shared" si="8"/>
        <v>#REF!</v>
      </c>
    </row>
    <row r="22" spans="1:17" ht="12.75">
      <c r="A22" s="242">
        <v>17</v>
      </c>
      <c r="B22" s="250" t="s">
        <v>617</v>
      </c>
      <c r="C22" s="244" t="e">
        <f>IF((C18+C19+C29+C32+C33+C34-C8-C12)&lt;0,(C18+C19+C29+C32+C33+C34-C8-C12)*-1,0)</f>
        <v>#VALUE!</v>
      </c>
      <c r="D22" s="244">
        <f>IF((D18+D19+D29+D32+D33+D34-D8-D12)&lt;0,(D18+D19+D29+D32+D33+D34-D8-D12)*-1,0)</f>
        <v>68552.47239982456</v>
      </c>
      <c r="E22" s="244" t="e">
        <f aca="true" t="shared" si="9" ref="E22:H22">IF((E18+E19+E29+E32+E33+E34-E8-E12)&lt;0,(E18+E19+E29+E32+E33+E34-E8-E12)*-1,0)</f>
        <v>#REF!</v>
      </c>
      <c r="F22" s="244" t="e">
        <f t="shared" si="9"/>
        <v>#REF!</v>
      </c>
      <c r="G22" s="244" t="e">
        <f t="shared" si="9"/>
        <v>#REF!</v>
      </c>
      <c r="H22" s="244" t="e">
        <f t="shared" si="9"/>
        <v>#REF!</v>
      </c>
      <c r="J22" s="242">
        <v>17</v>
      </c>
      <c r="K22" s="250" t="s">
        <v>617</v>
      </c>
      <c r="L22" s="244">
        <f>+L54</f>
        <v>478493.2637502048</v>
      </c>
      <c r="M22" s="244">
        <f>+M54</f>
        <v>288353.5033998245</v>
      </c>
      <c r="N22" s="244" t="e">
        <f aca="true" t="shared" si="10" ref="N22:Q22">+N54</f>
        <v>#REF!</v>
      </c>
      <c r="O22" s="244" t="e">
        <f t="shared" si="10"/>
        <v>#REF!</v>
      </c>
      <c r="P22" s="244" t="e">
        <f t="shared" si="10"/>
        <v>#REF!</v>
      </c>
      <c r="Q22" s="244" t="e">
        <f t="shared" si="10"/>
        <v>#REF!</v>
      </c>
    </row>
    <row r="23" spans="1:21" s="239" customFormat="1" ht="15">
      <c r="A23" s="242">
        <v>18</v>
      </c>
      <c r="B23" s="252" t="s">
        <v>364</v>
      </c>
      <c r="C23" s="244" t="e">
        <f>SUM(C16:C22)</f>
        <v>#VALUE!</v>
      </c>
      <c r="D23" s="244">
        <f>SUM(D16:D22)</f>
        <v>838981.3445000001</v>
      </c>
      <c r="E23" s="244" t="e">
        <f aca="true" t="shared" si="11" ref="E23:H23">SUM(E16:E22)</f>
        <v>#REF!</v>
      </c>
      <c r="F23" s="244" t="e">
        <f t="shared" si="11"/>
        <v>#REF!</v>
      </c>
      <c r="G23" s="244" t="e">
        <f t="shared" si="11"/>
        <v>#REF!</v>
      </c>
      <c r="H23" s="244" t="e">
        <f t="shared" si="11"/>
        <v>#REF!</v>
      </c>
      <c r="J23" s="242">
        <v>18</v>
      </c>
      <c r="K23" s="252" t="s">
        <v>364</v>
      </c>
      <c r="L23" s="244">
        <f>SUM(L16:L22)</f>
        <v>1049134.8675550001</v>
      </c>
      <c r="M23" s="244">
        <f>SUM(M16:M22)</f>
        <v>816830.6319999999</v>
      </c>
      <c r="N23" s="244" t="e">
        <f aca="true" t="shared" si="12" ref="N23:Q23">SUM(N16:N22)</f>
        <v>#REF!</v>
      </c>
      <c r="O23" s="244" t="e">
        <f t="shared" si="12"/>
        <v>#REF!</v>
      </c>
      <c r="P23" s="244" t="e">
        <f t="shared" si="12"/>
        <v>#REF!</v>
      </c>
      <c r="Q23" s="244" t="e">
        <f t="shared" si="12"/>
        <v>#REF!</v>
      </c>
      <c r="S23" s="329"/>
      <c r="T23" s="329"/>
      <c r="U23" s="329"/>
    </row>
    <row r="24" spans="1:17" s="239" customFormat="1" ht="15">
      <c r="A24" s="242">
        <v>19</v>
      </c>
      <c r="B24" s="252"/>
      <c r="C24" s="244"/>
      <c r="D24" s="244"/>
      <c r="E24" s="244"/>
      <c r="F24" s="244"/>
      <c r="G24" s="244"/>
      <c r="H24" s="244"/>
      <c r="J24" s="242">
        <v>19</v>
      </c>
      <c r="K24" s="252"/>
      <c r="L24" s="244"/>
      <c r="M24" s="244"/>
      <c r="N24" s="244"/>
      <c r="O24" s="244"/>
      <c r="P24" s="244"/>
      <c r="Q24" s="244"/>
    </row>
    <row r="25" spans="1:17" ht="12.75">
      <c r="A25" s="242">
        <v>20</v>
      </c>
      <c r="B25" s="253" t="s">
        <v>618</v>
      </c>
      <c r="C25" s="320">
        <f>IF(C26&lt;0,0,C26)</f>
        <v>0</v>
      </c>
      <c r="D25" s="320">
        <f>IF(D26&lt;0,0,D26)</f>
        <v>0</v>
      </c>
      <c r="J25" s="242">
        <v>20</v>
      </c>
      <c r="K25" s="253" t="s">
        <v>618</v>
      </c>
      <c r="L25" s="320">
        <f>IF(L26&lt;0,0,L26)</f>
        <v>0</v>
      </c>
      <c r="M25" s="320">
        <f>IF(M26&lt;0,0,M26)</f>
        <v>0</v>
      </c>
      <c r="N25" s="320">
        <f aca="true" t="shared" si="13" ref="N25:Q25">IF(N26&lt;0,0,N26)</f>
        <v>0</v>
      </c>
      <c r="O25" s="320">
        <f t="shared" si="13"/>
        <v>0</v>
      </c>
      <c r="P25" s="320">
        <f t="shared" si="13"/>
        <v>0</v>
      </c>
      <c r="Q25" s="320">
        <f t="shared" si="13"/>
        <v>0</v>
      </c>
    </row>
    <row r="26" spans="1:17" ht="12.75">
      <c r="A26" s="242">
        <v>21</v>
      </c>
      <c r="B26" s="250"/>
      <c r="C26" s="244"/>
      <c r="D26" s="244"/>
      <c r="J26" s="242">
        <v>21</v>
      </c>
      <c r="K26" s="250"/>
      <c r="L26" s="244"/>
      <c r="M26" s="244"/>
      <c r="N26" s="244"/>
      <c r="O26" s="244"/>
      <c r="P26" s="244"/>
      <c r="Q26" s="244"/>
    </row>
    <row r="27" spans="1:23" ht="15">
      <c r="A27" s="242">
        <v>22</v>
      </c>
      <c r="B27" s="250"/>
      <c r="C27" s="244"/>
      <c r="D27" s="244"/>
      <c r="E27" s="244"/>
      <c r="F27" s="244"/>
      <c r="G27" s="244"/>
      <c r="H27" s="244"/>
      <c r="J27" s="242">
        <v>22</v>
      </c>
      <c r="K27" s="250"/>
      <c r="L27" s="244"/>
      <c r="M27" s="244"/>
      <c r="N27" s="244"/>
      <c r="O27" s="244"/>
      <c r="P27" s="244"/>
      <c r="Q27" s="244"/>
      <c r="W27" s="328"/>
    </row>
    <row r="28" spans="1:23" ht="12.75">
      <c r="A28" s="242">
        <v>23</v>
      </c>
      <c r="B28" s="250" t="s">
        <v>619</v>
      </c>
      <c r="C28" s="244"/>
      <c r="D28" s="244"/>
      <c r="J28" s="242">
        <v>23</v>
      </c>
      <c r="K28" s="250" t="s">
        <v>619</v>
      </c>
      <c r="L28" s="244"/>
      <c r="M28" s="244"/>
      <c r="N28" s="244"/>
      <c r="O28" s="244"/>
      <c r="P28" s="244"/>
      <c r="Q28" s="244"/>
      <c r="V28" s="43"/>
      <c r="W28" s="259"/>
    </row>
    <row r="29" spans="1:23" ht="12.75">
      <c r="A29" s="242">
        <v>24</v>
      </c>
      <c r="B29" s="254" t="s">
        <v>62</v>
      </c>
      <c r="C29" s="244">
        <f>+'Income Statement Cash Flows'!E30</f>
        <v>-45937</v>
      </c>
      <c r="D29" s="244">
        <f>+'Income Statement Cash Flows'!F30</f>
        <v>-45937</v>
      </c>
      <c r="E29" s="244" t="e">
        <f>+#REF!</f>
        <v>#REF!</v>
      </c>
      <c r="F29" s="244" t="e">
        <f>+#REF!</f>
        <v>#REF!</v>
      </c>
      <c r="G29" s="244" t="e">
        <f>+#REF!</f>
        <v>#REF!</v>
      </c>
      <c r="H29" s="244" t="e">
        <f>+#REF!</f>
        <v>#REF!</v>
      </c>
      <c r="J29" s="242">
        <v>24</v>
      </c>
      <c r="K29" s="254" t="s">
        <v>62</v>
      </c>
      <c r="L29" s="244">
        <f>+'Income Statement Cash Flows'!E30</f>
        <v>-45937</v>
      </c>
      <c r="M29" s="244">
        <f>+'Income Statement Cash Flows'!F30</f>
        <v>-45937</v>
      </c>
      <c r="N29" s="244" t="e">
        <f>+#REF!</f>
        <v>#REF!</v>
      </c>
      <c r="O29" s="244" t="e">
        <f>+#REF!</f>
        <v>#REF!</v>
      </c>
      <c r="P29" s="244" t="e">
        <f>+#REF!</f>
        <v>#REF!</v>
      </c>
      <c r="Q29" s="244" t="e">
        <f>+#REF!</f>
        <v>#REF!</v>
      </c>
      <c r="V29" s="43"/>
      <c r="W29" s="16"/>
    </row>
    <row r="30" spans="1:23" ht="12.75">
      <c r="A30" s="242">
        <v>25</v>
      </c>
      <c r="B30" s="255" t="s">
        <v>420</v>
      </c>
      <c r="C30" s="244">
        <f>(C38+C39)/2*-C36</f>
        <v>-781.1690000000001</v>
      </c>
      <c r="D30" s="244">
        <f>(D38+D39)/2*-D36-D41</f>
        <v>-1195.389</v>
      </c>
      <c r="E30" s="244">
        <f aca="true" t="shared" si="14" ref="E30:H30">(E38+E39)/2*-E36-E41</f>
        <v>-1195.389</v>
      </c>
      <c r="F30" s="244">
        <f t="shared" si="14"/>
        <v>-1195.389</v>
      </c>
      <c r="G30" s="244">
        <f t="shared" si="14"/>
        <v>-1195.389</v>
      </c>
      <c r="H30" s="244">
        <f t="shared" si="14"/>
        <v>-1195.389</v>
      </c>
      <c r="J30" s="242">
        <v>25</v>
      </c>
      <c r="K30" s="255" t="s">
        <v>420</v>
      </c>
      <c r="L30" s="244">
        <f>(L38+L39)/2*-L36</f>
        <v>-781.1690000000001</v>
      </c>
      <c r="M30" s="244">
        <f>(M38+M39)/2*-M36</f>
        <v>-1061.1315</v>
      </c>
      <c r="N30" s="244">
        <f aca="true" t="shared" si="15" ref="N30:Q30">(N38+N39)/2*-N36</f>
        <v>-623.508</v>
      </c>
      <c r="O30" s="244">
        <f t="shared" si="15"/>
        <v>-926.8739999999999</v>
      </c>
      <c r="P30" s="244">
        <f t="shared" si="15"/>
        <v>-623.508</v>
      </c>
      <c r="Q30" s="244">
        <f t="shared" si="15"/>
        <v>-926.8739999999999</v>
      </c>
      <c r="V30" s="43"/>
      <c r="W30" s="326"/>
    </row>
    <row r="31" spans="1:23" ht="12.75">
      <c r="A31" s="242">
        <v>26</v>
      </c>
      <c r="B31" s="255" t="s">
        <v>129</v>
      </c>
      <c r="C31" s="244">
        <f>+'Income Statement Cash Flows'!$E$34</f>
        <v>-8379.415325</v>
      </c>
      <c r="D31" s="244">
        <f>+'Income Statement Cash Flows'!F$34</f>
        <v>-8307.435</v>
      </c>
      <c r="E31" s="244" t="e">
        <f>+#REF!</f>
        <v>#REF!</v>
      </c>
      <c r="F31" s="244" t="e">
        <f>+#REF!</f>
        <v>#REF!</v>
      </c>
      <c r="G31" s="244" t="e">
        <f>+#REF!</f>
        <v>#REF!</v>
      </c>
      <c r="H31" s="244" t="e">
        <f>+#REF!</f>
        <v>#REF!</v>
      </c>
      <c r="J31" s="242">
        <v>26</v>
      </c>
      <c r="K31" s="255" t="s">
        <v>129</v>
      </c>
      <c r="L31" s="244">
        <f>+'Income Statement Cash Flows'!E34</f>
        <v>-8379.415325</v>
      </c>
      <c r="M31" s="244">
        <f>+'Income Statement Cash Flows'!F34</f>
        <v>-8307.435</v>
      </c>
      <c r="N31" s="244" t="e">
        <f>+#REF!</f>
        <v>#REF!</v>
      </c>
      <c r="O31" s="244" t="e">
        <f>+#REF!</f>
        <v>#REF!</v>
      </c>
      <c r="P31" s="244" t="e">
        <f>+#REF!</f>
        <v>#REF!</v>
      </c>
      <c r="Q31" s="244" t="e">
        <f>+#REF!</f>
        <v>#REF!</v>
      </c>
      <c r="W31" s="323"/>
    </row>
    <row r="32" spans="1:17" ht="12.75">
      <c r="A32" s="242">
        <v>27</v>
      </c>
      <c r="B32" s="255" t="s">
        <v>620</v>
      </c>
      <c r="C32" s="244">
        <f>-'cost table'!D105</f>
        <v>11627.714081461887</v>
      </c>
      <c r="D32" s="244">
        <f>-'cost table'!E105</f>
        <v>10747.46794684212</v>
      </c>
      <c r="E32" s="244">
        <f>-'cost table'!F105</f>
        <v>9826.374364535337</v>
      </c>
      <c r="F32" s="244">
        <f>-'cost table'!G105</f>
        <v>8862.537513691579</v>
      </c>
      <c r="G32" s="244">
        <f>-'cost table'!H105</f>
        <v>7853.97357060828</v>
      </c>
      <c r="H32" s="244">
        <f>-'cost table'!I105</f>
        <v>6798.60662309995</v>
      </c>
      <c r="J32" s="242">
        <v>27</v>
      </c>
      <c r="K32" s="255" t="s">
        <v>620</v>
      </c>
      <c r="L32" s="244">
        <f aca="true" t="shared" si="16" ref="L32:Q32">+C32</f>
        <v>11627.714081461887</v>
      </c>
      <c r="M32" s="244">
        <f t="shared" si="16"/>
        <v>10747.46794684212</v>
      </c>
      <c r="N32" s="244">
        <f t="shared" si="16"/>
        <v>9826.374364535337</v>
      </c>
      <c r="O32" s="244">
        <f t="shared" si="16"/>
        <v>8862.537513691579</v>
      </c>
      <c r="P32" s="244">
        <f t="shared" si="16"/>
        <v>7853.97357060828</v>
      </c>
      <c r="Q32" s="244">
        <f t="shared" si="16"/>
        <v>6798.60662309995</v>
      </c>
    </row>
    <row r="33" spans="1:17" ht="12.75">
      <c r="A33" s="242">
        <v>28</v>
      </c>
      <c r="B33" s="256" t="s">
        <v>621</v>
      </c>
      <c r="C33" s="386" t="s">
        <v>726</v>
      </c>
      <c r="D33" s="244">
        <f>-'cost table'!E111</f>
        <v>-30600</v>
      </c>
      <c r="E33" s="244">
        <f>-'cost table'!F111</f>
        <v>-30600</v>
      </c>
      <c r="F33" s="244">
        <f>-'cost table'!G111</f>
        <v>-30600</v>
      </c>
      <c r="G33" s="244">
        <f>-'cost table'!H111</f>
        <v>-30600</v>
      </c>
      <c r="H33" s="244">
        <f>-'cost table'!I111</f>
        <v>-30600</v>
      </c>
      <c r="J33" s="242">
        <v>28</v>
      </c>
      <c r="K33" s="256" t="s">
        <v>621</v>
      </c>
      <c r="L33" s="386">
        <f>-'cost table'!D111</f>
        <v>-30600</v>
      </c>
      <c r="M33" s="386">
        <f>-'cost table'!E111</f>
        <v>-30600</v>
      </c>
      <c r="N33" s="386">
        <f>-'cost table'!F111</f>
        <v>-30600</v>
      </c>
      <c r="O33" s="386">
        <f>-'cost table'!G111</f>
        <v>-30600</v>
      </c>
      <c r="P33" s="386">
        <f>-'cost table'!H111</f>
        <v>-30600</v>
      </c>
      <c r="Q33" s="386">
        <f>-'cost table'!I111</f>
        <v>-30600</v>
      </c>
    </row>
    <row r="34" spans="1:17" ht="12.75">
      <c r="A34" s="242">
        <v>29</v>
      </c>
      <c r="B34" s="256" t="s">
        <v>221</v>
      </c>
      <c r="C34" s="386" t="s">
        <v>727</v>
      </c>
      <c r="D34" s="244">
        <f>-'cost table'!E109</f>
        <v>-3524</v>
      </c>
      <c r="E34" s="244">
        <f>-'cost table'!F109</f>
        <v>0</v>
      </c>
      <c r="F34" s="244">
        <f>-'cost table'!G109</f>
        <v>0</v>
      </c>
      <c r="G34" s="244">
        <f>-'cost table'!H109</f>
        <v>0</v>
      </c>
      <c r="H34" s="244">
        <f>-'cost table'!I109</f>
        <v>0</v>
      </c>
      <c r="J34" s="242">
        <v>29</v>
      </c>
      <c r="K34" s="256" t="s">
        <v>221</v>
      </c>
      <c r="L34" s="386">
        <f>-'cost table'!D109</f>
        <v>-3524</v>
      </c>
      <c r="M34" s="386">
        <f>-'cost table'!E109</f>
        <v>-3524</v>
      </c>
      <c r="N34" s="386">
        <f>-'cost table'!F109</f>
        <v>0</v>
      </c>
      <c r="O34" s="386">
        <f>-'cost table'!G109</f>
        <v>0</v>
      </c>
      <c r="P34" s="386">
        <f>-'cost table'!H109</f>
        <v>0</v>
      </c>
      <c r="Q34" s="386">
        <f>-'cost table'!I109</f>
        <v>0</v>
      </c>
    </row>
    <row r="35" spans="1:17" ht="12.75">
      <c r="A35" s="242">
        <v>30</v>
      </c>
      <c r="C35" s="29"/>
      <c r="D35" s="29"/>
      <c r="J35" s="242">
        <v>30</v>
      </c>
      <c r="L35" s="29"/>
      <c r="M35" s="29"/>
      <c r="N35" s="29"/>
      <c r="O35" s="29"/>
      <c r="P35" s="29"/>
      <c r="Q35" s="29"/>
    </row>
    <row r="36" spans="1:17" s="23" customFormat="1" ht="12.75">
      <c r="A36" s="242">
        <v>31</v>
      </c>
      <c r="B36" s="257" t="s">
        <v>622</v>
      </c>
      <c r="C36" s="23">
        <f>+'interest credit calculations'!$C$11</f>
        <v>0.00446</v>
      </c>
      <c r="D36" s="23">
        <f>+'interest credit calculations'!$D$11</f>
        <v>0.00663</v>
      </c>
      <c r="E36" s="23">
        <f>+D36</f>
        <v>0.00663</v>
      </c>
      <c r="F36" s="23">
        <f aca="true" t="shared" si="17" ref="F36:H36">+E36</f>
        <v>0.00663</v>
      </c>
      <c r="G36" s="23">
        <f t="shared" si="17"/>
        <v>0.00663</v>
      </c>
      <c r="H36" s="23">
        <f t="shared" si="17"/>
        <v>0.00663</v>
      </c>
      <c r="J36" s="242">
        <v>31</v>
      </c>
      <c r="K36" s="257" t="s">
        <v>622</v>
      </c>
      <c r="L36" s="23">
        <f>+'interest credit calculations'!$C$11</f>
        <v>0.00446</v>
      </c>
      <c r="M36" s="23">
        <f>+'interest credit calculations'!$D$11</f>
        <v>0.00663</v>
      </c>
      <c r="N36" s="23">
        <f>+'interest credit calculations'!$C$11</f>
        <v>0.00446</v>
      </c>
      <c r="O36" s="23">
        <f>+'interest credit calculations'!$D$11</f>
        <v>0.00663</v>
      </c>
      <c r="P36" s="23">
        <f>+'interest credit calculations'!$C$11</f>
        <v>0.00446</v>
      </c>
      <c r="Q36" s="23">
        <f>+'interest credit calculations'!$D$11</f>
        <v>0.00663</v>
      </c>
    </row>
    <row r="37" spans="1:23" ht="12.75">
      <c r="A37" s="242">
        <v>32</v>
      </c>
      <c r="B37" s="258"/>
      <c r="J37" s="242">
        <v>32</v>
      </c>
      <c r="K37" s="258"/>
      <c r="V37" s="43"/>
      <c r="W37" s="259"/>
    </row>
    <row r="38" spans="1:23" ht="12.75">
      <c r="A38" s="242">
        <v>33</v>
      </c>
      <c r="B38" s="250" t="s">
        <v>623</v>
      </c>
      <c r="C38" s="244">
        <f>+'interest credit calculations'!$C$27+'interest credit calculations'!$C$37</f>
        <v>170000</v>
      </c>
      <c r="D38" s="244">
        <f>C39</f>
        <v>180300</v>
      </c>
      <c r="E38" s="244">
        <f aca="true" t="shared" si="18" ref="E38:H38">D39</f>
        <v>180300</v>
      </c>
      <c r="F38" s="244">
        <f t="shared" si="18"/>
        <v>180300</v>
      </c>
      <c r="G38" s="244">
        <f t="shared" si="18"/>
        <v>180300</v>
      </c>
      <c r="H38" s="244">
        <f t="shared" si="18"/>
        <v>180300</v>
      </c>
      <c r="J38" s="242">
        <v>33</v>
      </c>
      <c r="K38" s="250" t="s">
        <v>623</v>
      </c>
      <c r="L38" s="244">
        <f>+'interest credit calculations'!$C$27+'interest credit calculations'!$C$37</f>
        <v>170000</v>
      </c>
      <c r="M38" s="244">
        <f>L39</f>
        <v>180300</v>
      </c>
      <c r="N38" s="244">
        <f>+M39</f>
        <v>139800</v>
      </c>
      <c r="O38" s="244">
        <f>+N39</f>
        <v>139800</v>
      </c>
      <c r="P38" s="244">
        <f aca="true" t="shared" si="19" ref="P38:Q38">+O39</f>
        <v>139800</v>
      </c>
      <c r="Q38" s="244">
        <f t="shared" si="19"/>
        <v>139800</v>
      </c>
      <c r="V38" s="43"/>
      <c r="W38" s="16"/>
    </row>
    <row r="39" spans="1:23" ht="12.75">
      <c r="A39" s="242">
        <v>34</v>
      </c>
      <c r="B39" s="250" t="s">
        <v>624</v>
      </c>
      <c r="C39" s="244">
        <f>+'interest credit calculations'!$C$28+'interest credit calculations'!$C$38</f>
        <v>180300</v>
      </c>
      <c r="D39" s="244">
        <f>+D38</f>
        <v>180300</v>
      </c>
      <c r="E39" s="244">
        <f aca="true" t="shared" si="20" ref="E39:H39">+E38</f>
        <v>180300</v>
      </c>
      <c r="F39" s="244">
        <f t="shared" si="20"/>
        <v>180300</v>
      </c>
      <c r="G39" s="244">
        <f t="shared" si="20"/>
        <v>180300</v>
      </c>
      <c r="H39" s="244">
        <f t="shared" si="20"/>
        <v>180300</v>
      </c>
      <c r="J39" s="242">
        <v>34</v>
      </c>
      <c r="K39" s="250" t="s">
        <v>624</v>
      </c>
      <c r="L39" s="244">
        <f>+'interest credit calculations'!$C$28+'interest credit calculations'!$C$38</f>
        <v>180300</v>
      </c>
      <c r="M39" s="244">
        <f>+'interest credit calculations'!$D$28+'interest credit calculations'!$D$38</f>
        <v>139800</v>
      </c>
      <c r="N39" s="244">
        <f>+N38</f>
        <v>139800</v>
      </c>
      <c r="O39" s="244">
        <f>+O38</f>
        <v>139800</v>
      </c>
      <c r="P39" s="244">
        <f aca="true" t="shared" si="21" ref="P39:Q39">+P38</f>
        <v>139800</v>
      </c>
      <c r="Q39" s="244">
        <f t="shared" si="21"/>
        <v>139800</v>
      </c>
      <c r="V39" s="43"/>
      <c r="W39" s="16"/>
    </row>
    <row r="40" spans="1:13" ht="12.75">
      <c r="A40" s="242">
        <v>34</v>
      </c>
      <c r="B40" s="253"/>
      <c r="C40" s="244"/>
      <c r="D40" s="244"/>
      <c r="J40" s="242">
        <v>34</v>
      </c>
      <c r="K40" s="253"/>
      <c r="L40" s="244"/>
      <c r="M40" s="244"/>
    </row>
    <row r="41" spans="1:23" ht="12.75">
      <c r="A41" s="242"/>
      <c r="B41" s="250"/>
      <c r="C41" s="244"/>
      <c r="D41" s="244"/>
      <c r="J41" s="242"/>
      <c r="K41" s="250"/>
      <c r="L41" s="244"/>
      <c r="M41" s="244"/>
      <c r="W41" s="259"/>
    </row>
    <row r="43" spans="3:17" ht="12.75">
      <c r="C43">
        <v>2018</v>
      </c>
      <c r="D43">
        <v>2019</v>
      </c>
      <c r="E43">
        <v>2018</v>
      </c>
      <c r="F43">
        <v>2019</v>
      </c>
      <c r="G43">
        <v>2020</v>
      </c>
      <c r="H43">
        <v>2021</v>
      </c>
      <c r="L43" s="28">
        <v>2018</v>
      </c>
      <c r="M43" s="28">
        <v>2019</v>
      </c>
      <c r="N43" s="28">
        <v>2020</v>
      </c>
      <c r="O43" s="28">
        <v>2021</v>
      </c>
      <c r="P43" s="28">
        <v>2022</v>
      </c>
      <c r="Q43" s="28">
        <v>2023</v>
      </c>
    </row>
    <row r="44" spans="2:23" ht="12.75">
      <c r="B44" s="15" t="s">
        <v>615</v>
      </c>
      <c r="C44" s="8">
        <v>0</v>
      </c>
      <c r="D44" s="8">
        <v>0</v>
      </c>
      <c r="E44" s="8"/>
      <c r="F44" s="8"/>
      <c r="G44" s="8"/>
      <c r="H44" s="8"/>
      <c r="I44" s="242"/>
      <c r="K44" s="192" t="s">
        <v>675</v>
      </c>
      <c r="L44" s="8">
        <f>+M46</f>
        <v>-141088</v>
      </c>
      <c r="M44" s="8">
        <f>+N46</f>
        <v>-168575</v>
      </c>
      <c r="N44" s="8">
        <v>0</v>
      </c>
      <c r="O44" s="8">
        <v>0</v>
      </c>
      <c r="P44" s="8">
        <v>0</v>
      </c>
      <c r="Q44" s="8">
        <v>0</v>
      </c>
      <c r="R44" s="192" t="s">
        <v>672</v>
      </c>
      <c r="S44" s="209" t="s">
        <v>676</v>
      </c>
      <c r="T44" s="8"/>
      <c r="V44" s="43"/>
      <c r="W44" s="327"/>
    </row>
    <row r="45" spans="3:20" ht="12.75">
      <c r="C45" s="8">
        <f aca="true" t="shared" si="22" ref="C45:H45">SUM(C44:C44)</f>
        <v>0</v>
      </c>
      <c r="D45" s="8">
        <f t="shared" si="22"/>
        <v>0</v>
      </c>
      <c r="E45" s="8">
        <f t="shared" si="22"/>
        <v>0</v>
      </c>
      <c r="F45" s="8">
        <f t="shared" si="22"/>
        <v>0</v>
      </c>
      <c r="G45" s="8">
        <f t="shared" si="22"/>
        <v>0</v>
      </c>
      <c r="H45" s="8">
        <f t="shared" si="22"/>
        <v>0</v>
      </c>
      <c r="K45" s="192" t="s">
        <v>666</v>
      </c>
      <c r="L45" s="8">
        <v>-113887.65</v>
      </c>
      <c r="M45" s="8">
        <v>-1550</v>
      </c>
      <c r="N45" s="8">
        <v>-16590</v>
      </c>
      <c r="O45" s="8"/>
      <c r="P45" s="8"/>
      <c r="Q45" s="8"/>
      <c r="R45" s="192" t="s">
        <v>672</v>
      </c>
      <c r="S45" s="209" t="s">
        <v>677</v>
      </c>
      <c r="T45" s="209"/>
    </row>
    <row r="46" spans="11:20" ht="12.75">
      <c r="K46" s="192" t="s">
        <v>667</v>
      </c>
      <c r="L46" s="8">
        <v>-498752</v>
      </c>
      <c r="M46" s="8">
        <v>-141088</v>
      </c>
      <c r="N46" s="8">
        <v>-168575</v>
      </c>
      <c r="O46" s="8">
        <v>0</v>
      </c>
      <c r="P46" s="8">
        <v>0</v>
      </c>
      <c r="Q46" s="8">
        <v>0</v>
      </c>
      <c r="R46" s="192" t="s">
        <v>672</v>
      </c>
      <c r="S46" s="325" t="s">
        <v>678</v>
      </c>
      <c r="T46" s="16"/>
    </row>
    <row r="47" spans="11:23" ht="12.75">
      <c r="K47" s="192" t="s">
        <v>674</v>
      </c>
      <c r="L47" s="8">
        <v>-82000</v>
      </c>
      <c r="M47" s="8">
        <v>-82000</v>
      </c>
      <c r="N47" s="8"/>
      <c r="O47" s="8"/>
      <c r="R47" s="192" t="s">
        <v>672</v>
      </c>
      <c r="S47" s="43" t="s">
        <v>676</v>
      </c>
      <c r="V47" s="43"/>
      <c r="W47" s="16"/>
    </row>
    <row r="48" spans="11:23" ht="12.75">
      <c r="K48" s="192" t="s">
        <v>668</v>
      </c>
      <c r="L48" s="318"/>
      <c r="M48" s="318"/>
      <c r="N48" s="318"/>
      <c r="O48" s="318"/>
      <c r="P48" s="318"/>
      <c r="Q48" s="318"/>
      <c r="R48" s="192" t="s">
        <v>673</v>
      </c>
      <c r="S48" s="325" t="s">
        <v>679</v>
      </c>
      <c r="V48" s="43"/>
      <c r="W48" s="16"/>
    </row>
    <row r="49" spans="12:23" ht="12.75">
      <c r="L49" s="104">
        <f aca="true" t="shared" si="23" ref="L49:Q49">SUM(L44:L48)</f>
        <v>-835727.65</v>
      </c>
      <c r="M49" s="104">
        <f t="shared" si="23"/>
        <v>-393213</v>
      </c>
      <c r="N49" s="104">
        <f t="shared" si="23"/>
        <v>-185165</v>
      </c>
      <c r="O49" s="104">
        <f t="shared" si="23"/>
        <v>0</v>
      </c>
      <c r="P49" s="104">
        <f t="shared" si="23"/>
        <v>0</v>
      </c>
      <c r="Q49" s="104">
        <f t="shared" si="23"/>
        <v>0</v>
      </c>
      <c r="V49" s="43"/>
      <c r="W49" s="16"/>
    </row>
    <row r="50" spans="2:23" ht="12.75">
      <c r="B50" s="43" t="s">
        <v>670</v>
      </c>
      <c r="C50" s="259">
        <f aca="true" t="shared" si="24" ref="C50:H50">+C18+C19+C29+SUM(C32:C34)</f>
        <v>196578.45624979524</v>
      </c>
      <c r="D50" s="259">
        <f t="shared" si="24"/>
        <v>162210.22060017544</v>
      </c>
      <c r="E50" s="259" t="e">
        <f t="shared" si="24"/>
        <v>#REF!</v>
      </c>
      <c r="F50" s="259" t="e">
        <f t="shared" si="24"/>
        <v>#REF!</v>
      </c>
      <c r="G50" s="259" t="e">
        <f t="shared" si="24"/>
        <v>#REF!</v>
      </c>
      <c r="H50" s="259" t="e">
        <f t="shared" si="24"/>
        <v>#REF!</v>
      </c>
      <c r="V50" s="43"/>
      <c r="W50" s="326"/>
    </row>
    <row r="51" spans="2:23" ht="12.75">
      <c r="B51" s="43" t="s">
        <v>671</v>
      </c>
      <c r="C51" s="259">
        <f aca="true" t="shared" si="25" ref="C51:H51">+C8+C12</f>
        <v>162981.291</v>
      </c>
      <c r="D51" s="259">
        <f t="shared" si="25"/>
        <v>230762.693</v>
      </c>
      <c r="E51" s="259">
        <f t="shared" si="25"/>
        <v>178285.136</v>
      </c>
      <c r="F51" s="259">
        <f t="shared" si="25"/>
        <v>197506.836</v>
      </c>
      <c r="G51" s="259">
        <f t="shared" si="25"/>
        <v>187320.054</v>
      </c>
      <c r="H51" s="259">
        <f t="shared" si="25"/>
        <v>189180.98</v>
      </c>
      <c r="K51" s="43" t="s">
        <v>690</v>
      </c>
      <c r="L51" s="259">
        <f>+L18+L19+L29+L32+L33+L34-L44-L45</f>
        <v>417430.1062497953</v>
      </c>
      <c r="M51" s="259">
        <f aca="true" t="shared" si="26" ref="M51:P51">+M18+M19+M29+M32+M33+M34-M44-M45</f>
        <v>332335.22060017544</v>
      </c>
      <c r="N51" s="259" t="e">
        <f t="shared" si="26"/>
        <v>#REF!</v>
      </c>
      <c r="O51" s="259" t="e">
        <f t="shared" si="26"/>
        <v>#REF!</v>
      </c>
      <c r="P51" s="259" t="e">
        <f t="shared" si="26"/>
        <v>#REF!</v>
      </c>
      <c r="Q51" s="259" t="e">
        <f>+Q18+Q19+Q29+Q32+Q33+Q34-Q44-Q45</f>
        <v>#REF!</v>
      </c>
      <c r="W51" s="16"/>
    </row>
    <row r="52" spans="11:17" ht="12.75">
      <c r="K52" s="43" t="s">
        <v>219</v>
      </c>
      <c r="L52" s="259">
        <f>+L12+L8-L46</f>
        <v>895923.3700000001</v>
      </c>
      <c r="M52" s="259">
        <f aca="true" t="shared" si="27" ref="M52:Q52">+M12+M8-M46</f>
        <v>620688.7239999999</v>
      </c>
      <c r="N52" s="259">
        <f t="shared" si="27"/>
        <v>352368.51800000004</v>
      </c>
      <c r="O52" s="259">
        <f t="shared" si="27"/>
        <v>198701.204</v>
      </c>
      <c r="P52" s="259">
        <f t="shared" si="27"/>
        <v>189606.691</v>
      </c>
      <c r="Q52" s="259">
        <f t="shared" si="27"/>
        <v>188955.353</v>
      </c>
    </row>
    <row r="53" spans="2:8" ht="12.75">
      <c r="B53" s="43" t="s">
        <v>367</v>
      </c>
      <c r="C53" s="8">
        <f>+IF(C51&gt;C50,C51-C50,0)</f>
        <v>0</v>
      </c>
      <c r="D53" s="8">
        <f aca="true" t="shared" si="28" ref="D53:H53">+IF(D51&gt;D50,D51-D50,0)</f>
        <v>68552.47239982456</v>
      </c>
      <c r="E53" s="8" t="e">
        <f t="shared" si="28"/>
        <v>#REF!</v>
      </c>
      <c r="F53" s="8" t="e">
        <f t="shared" si="28"/>
        <v>#REF!</v>
      </c>
      <c r="G53" s="8" t="e">
        <f t="shared" si="28"/>
        <v>#REF!</v>
      </c>
      <c r="H53" s="8" t="e">
        <f t="shared" si="28"/>
        <v>#REF!</v>
      </c>
    </row>
    <row r="54" spans="1:17" ht="23.25">
      <c r="A54" s="317"/>
      <c r="K54" t="s">
        <v>367</v>
      </c>
      <c r="L54" s="8">
        <f>+IF(L52&gt;L51,L52-L51,0)</f>
        <v>478493.2637502048</v>
      </c>
      <c r="M54" s="8">
        <f>+IF(M52&gt;M51,M52-M51,0)</f>
        <v>288353.5033998245</v>
      </c>
      <c r="N54" s="8" t="e">
        <f aca="true" t="shared" si="29" ref="N54:Q54">+IF(N52&gt;N51,N52-N51,0)</f>
        <v>#REF!</v>
      </c>
      <c r="O54" s="8" t="e">
        <f t="shared" si="29"/>
        <v>#REF!</v>
      </c>
      <c r="P54" s="8" t="e">
        <f t="shared" si="29"/>
        <v>#REF!</v>
      </c>
      <c r="Q54" s="8" t="e">
        <f t="shared" si="29"/>
        <v>#REF!</v>
      </c>
    </row>
    <row r="56" spans="2:4" ht="15">
      <c r="B56" s="239" t="s">
        <v>625</v>
      </c>
      <c r="C56">
        <f>+C5</f>
        <v>2018</v>
      </c>
      <c r="D56">
        <f>+D5</f>
        <v>2019</v>
      </c>
    </row>
    <row r="57" spans="1:17" ht="12.75">
      <c r="A57">
        <v>1</v>
      </c>
      <c r="B57" t="s">
        <v>45</v>
      </c>
      <c r="C57" s="259">
        <f>+C7+C6</f>
        <v>646360.06213</v>
      </c>
      <c r="D57" s="259">
        <f>+D7+D6</f>
        <v>410394.35050000006</v>
      </c>
      <c r="L57" s="8"/>
      <c r="M57" s="8"/>
      <c r="N57" s="8"/>
      <c r="O57" s="8"/>
      <c r="P57" s="8"/>
      <c r="Q57" s="8"/>
    </row>
    <row r="58" spans="1:4" ht="12.75">
      <c r="A58">
        <v>2</v>
      </c>
      <c r="B58" t="s">
        <v>626</v>
      </c>
      <c r="C58" s="259">
        <f>+C19+C18</f>
        <v>230887.74216833335</v>
      </c>
      <c r="D58" s="259">
        <f>+D19+D18</f>
        <v>231523.75265333333</v>
      </c>
    </row>
    <row r="59" spans="1:4" ht="12.75">
      <c r="A59">
        <v>3</v>
      </c>
      <c r="B59" t="s">
        <v>60</v>
      </c>
      <c r="C59" s="259"/>
      <c r="D59" s="259"/>
    </row>
    <row r="60" spans="1:4" ht="12.75">
      <c r="A60">
        <v>4</v>
      </c>
      <c r="B60" t="s">
        <v>627</v>
      </c>
      <c r="C60" s="259">
        <f>+C11+C10+C9</f>
        <v>168045.256</v>
      </c>
      <c r="D60" s="259">
        <f>+D11+D10+D9</f>
        <v>173203.125</v>
      </c>
    </row>
    <row r="61" spans="1:4" ht="12.75">
      <c r="A61">
        <v>5</v>
      </c>
      <c r="B61" t="s">
        <v>628</v>
      </c>
      <c r="C61" s="259">
        <f>+C32</f>
        <v>11627.714081461887</v>
      </c>
      <c r="D61" s="259">
        <f>+D32</f>
        <v>10747.46794684212</v>
      </c>
    </row>
    <row r="62" spans="1:4" ht="12.75">
      <c r="A62">
        <v>6</v>
      </c>
      <c r="B62" t="s">
        <v>629</v>
      </c>
      <c r="C62" s="259">
        <f>+C30</f>
        <v>-781.1690000000001</v>
      </c>
      <c r="D62" s="259">
        <f>+D30</f>
        <v>-1195.389</v>
      </c>
    </row>
    <row r="63" spans="1:4" ht="12.75">
      <c r="A63">
        <v>7</v>
      </c>
      <c r="B63" t="s">
        <v>630</v>
      </c>
      <c r="C63" s="259">
        <f>+C29</f>
        <v>-45937</v>
      </c>
      <c r="D63" s="259">
        <f>+D29</f>
        <v>-45937</v>
      </c>
    </row>
    <row r="64" spans="1:4" ht="15">
      <c r="A64">
        <v>8</v>
      </c>
      <c r="B64" t="s">
        <v>631</v>
      </c>
      <c r="C64" s="260">
        <f>+C31</f>
        <v>-8379.415325</v>
      </c>
      <c r="D64" s="260">
        <f>+D31</f>
        <v>-8307.435</v>
      </c>
    </row>
    <row r="65" spans="1:4" ht="12.75">
      <c r="A65">
        <v>9</v>
      </c>
      <c r="B65" t="s">
        <v>632</v>
      </c>
      <c r="C65" s="259">
        <f>SUM(C60:C64)</f>
        <v>124575.3857564619</v>
      </c>
      <c r="D65" s="259">
        <f>SUM(D60:D64)</f>
        <v>128510.76894684212</v>
      </c>
    </row>
    <row r="66" spans="1:4" ht="12.75">
      <c r="A66">
        <v>10</v>
      </c>
      <c r="B66" t="s">
        <v>363</v>
      </c>
      <c r="C66" s="8" t="e">
        <f>+C22</f>
        <v>#VALUE!</v>
      </c>
      <c r="D66" s="259">
        <f>+D22</f>
        <v>68552.47239982456</v>
      </c>
    </row>
    <row r="67" spans="1:4" ht="12.75">
      <c r="A67">
        <v>11</v>
      </c>
      <c r="B67" t="s">
        <v>320</v>
      </c>
      <c r="C67" s="259" t="e">
        <f>+C66+C65+C58+C57</f>
        <v>#VALUE!</v>
      </c>
      <c r="D67" s="259">
        <f>+D66+D65+D58+D57</f>
        <v>838981.3445000001</v>
      </c>
    </row>
    <row r="68" spans="1:4" ht="12.75">
      <c r="A68">
        <v>12</v>
      </c>
      <c r="C68" s="259"/>
      <c r="D68" s="259"/>
    </row>
    <row r="69" spans="1:4" ht="15">
      <c r="A69">
        <v>13</v>
      </c>
      <c r="B69" s="239" t="s">
        <v>633</v>
      </c>
      <c r="C69" s="259"/>
      <c r="D69" s="259"/>
    </row>
    <row r="70" spans="1:4" ht="15">
      <c r="A70">
        <v>14</v>
      </c>
      <c r="B70" s="239" t="s">
        <v>220</v>
      </c>
      <c r="C70" s="259"/>
      <c r="D70" s="259"/>
    </row>
    <row r="71" spans="1:4" ht="12.75">
      <c r="A71">
        <v>15</v>
      </c>
      <c r="B71" t="s">
        <v>634</v>
      </c>
      <c r="C71" s="259" t="e">
        <f>+C66</f>
        <v>#VALUE!</v>
      </c>
      <c r="D71" s="259">
        <f>+D66</f>
        <v>68552.47239982456</v>
      </c>
    </row>
    <row r="72" spans="1:4" ht="12.75">
      <c r="A72">
        <v>16</v>
      </c>
      <c r="B72" t="s">
        <v>635</v>
      </c>
      <c r="C72" s="259">
        <f>+C18+C19</f>
        <v>230887.74216833335</v>
      </c>
      <c r="D72" s="259">
        <f>+D18+D19</f>
        <v>231523.75265333333</v>
      </c>
    </row>
    <row r="73" spans="1:4" ht="12.75">
      <c r="A73">
        <v>17</v>
      </c>
      <c r="B73" t="s">
        <v>636</v>
      </c>
      <c r="C73" s="259">
        <f>+C29</f>
        <v>-45937</v>
      </c>
      <c r="D73" s="259">
        <f>+D29</f>
        <v>-45937</v>
      </c>
    </row>
    <row r="74" spans="1:4" ht="12.75">
      <c r="A74">
        <v>18</v>
      </c>
      <c r="B74" t="s">
        <v>637</v>
      </c>
      <c r="C74" s="259" t="str">
        <f>+C33</f>
        <v>=-'cost table'!D111</v>
      </c>
      <c r="D74" s="259">
        <f>+D33</f>
        <v>-30600</v>
      </c>
    </row>
    <row r="75" spans="1:4" ht="12.75">
      <c r="A75">
        <v>19</v>
      </c>
      <c r="B75" t="s">
        <v>638</v>
      </c>
      <c r="C75" s="259">
        <f>+C32</f>
        <v>11627.714081461887</v>
      </c>
      <c r="D75" s="259">
        <f>+D32</f>
        <v>10747.46794684212</v>
      </c>
    </row>
    <row r="76" spans="1:4" ht="15">
      <c r="A76">
        <v>20</v>
      </c>
      <c r="B76" t="s">
        <v>639</v>
      </c>
      <c r="C76" s="260" t="str">
        <f>+C34</f>
        <v>=-'cost table'!D109</v>
      </c>
      <c r="D76" s="260">
        <f>+D34</f>
        <v>-3524</v>
      </c>
    </row>
    <row r="77" spans="1:4" ht="12.75">
      <c r="A77">
        <v>21</v>
      </c>
      <c r="B77" t="s">
        <v>640</v>
      </c>
      <c r="C77" s="259" t="e">
        <f>SUM(C71:C76)</f>
        <v>#VALUE!</v>
      </c>
      <c r="D77" s="259">
        <f>SUM(D71:D76)</f>
        <v>230762.693</v>
      </c>
    </row>
    <row r="78" spans="1:4" ht="12.75">
      <c r="A78">
        <v>22</v>
      </c>
      <c r="C78" s="259"/>
      <c r="D78" s="259"/>
    </row>
    <row r="79" spans="1:4" ht="12.75">
      <c r="A79">
        <v>23</v>
      </c>
      <c r="B79" t="s">
        <v>219</v>
      </c>
      <c r="C79" s="259"/>
      <c r="D79" s="259"/>
    </row>
    <row r="80" spans="1:4" ht="12.75">
      <c r="A80">
        <v>24</v>
      </c>
      <c r="B80" t="s">
        <v>641</v>
      </c>
      <c r="C80" s="259">
        <f>+C8</f>
        <v>135747</v>
      </c>
      <c r="D80" s="259">
        <f>+D8</f>
        <v>174190.028</v>
      </c>
    </row>
    <row r="81" spans="1:4" ht="12.75">
      <c r="A81">
        <v>25</v>
      </c>
      <c r="B81" t="s">
        <v>642</v>
      </c>
      <c r="C81" s="259">
        <v>0</v>
      </c>
      <c r="D81" s="259">
        <v>0</v>
      </c>
    </row>
    <row r="82" spans="1:4" ht="12.75">
      <c r="A82">
        <v>26</v>
      </c>
      <c r="B82" t="s">
        <v>643</v>
      </c>
      <c r="C82" s="259">
        <f>+C12</f>
        <v>27234.291</v>
      </c>
      <c r="D82" s="259">
        <f>+D12</f>
        <v>56572.665</v>
      </c>
    </row>
    <row r="83" spans="1:4" ht="12.75">
      <c r="A83">
        <v>27</v>
      </c>
      <c r="B83" t="s">
        <v>640</v>
      </c>
      <c r="C83" s="259">
        <f>SUM(C80:C82)</f>
        <v>162981.291</v>
      </c>
      <c r="D83" s="259">
        <f>SUM(D80:D82)</f>
        <v>230762.693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O202"/>
  <sheetViews>
    <sheetView workbookViewId="0" topLeftCell="A52">
      <selection activeCell="C59" sqref="C59:D60"/>
    </sheetView>
  </sheetViews>
  <sheetFormatPr defaultColWidth="9.140625" defaultRowHeight="12.75"/>
  <cols>
    <col min="1" max="1" width="42.421875" style="105" customWidth="1"/>
    <col min="2" max="2" width="18.28125" style="159" hidden="1" customWidth="1"/>
    <col min="3" max="3" width="18.28125" style="159" customWidth="1"/>
    <col min="4" max="8" width="19.00390625" style="159" customWidth="1"/>
    <col min="9" max="10" width="12.28125" style="159" bestFit="1" customWidth="1"/>
    <col min="11" max="15" width="15.00390625" style="159" bestFit="1" customWidth="1"/>
    <col min="16" max="16384" width="9.140625" style="105" customWidth="1"/>
  </cols>
  <sheetData>
    <row r="1" spans="1:8" ht="18.75">
      <c r="A1" s="157" t="s">
        <v>424</v>
      </c>
      <c r="B1" s="158"/>
      <c r="C1" s="158"/>
      <c r="D1" s="158"/>
      <c r="E1" s="158"/>
      <c r="F1" s="158"/>
      <c r="G1" s="158"/>
      <c r="H1" s="158"/>
    </row>
    <row r="3" spans="1:15" ht="15">
      <c r="A3" s="160" t="s">
        <v>425</v>
      </c>
      <c r="B3" s="161">
        <v>2015</v>
      </c>
      <c r="C3" s="166">
        <v>2018</v>
      </c>
      <c r="D3" s="166">
        <v>2019</v>
      </c>
      <c r="E3" s="166">
        <v>2020</v>
      </c>
      <c r="F3" s="166">
        <v>2021</v>
      </c>
      <c r="G3" s="166">
        <v>2022</v>
      </c>
      <c r="H3" s="166">
        <v>2023</v>
      </c>
      <c r="I3" s="166">
        <v>2024</v>
      </c>
      <c r="J3" s="166">
        <v>2025</v>
      </c>
      <c r="K3" s="166">
        <v>2026</v>
      </c>
      <c r="L3" s="166">
        <v>2027</v>
      </c>
      <c r="M3" s="166">
        <v>2028</v>
      </c>
      <c r="N3" s="166">
        <v>2029</v>
      </c>
      <c r="O3" s="166">
        <v>2030</v>
      </c>
    </row>
    <row r="4" spans="1:15" ht="15">
      <c r="A4" s="162" t="s">
        <v>426</v>
      </c>
      <c r="B4" s="163">
        <v>339863384.04</v>
      </c>
      <c r="C4" s="164">
        <v>270146000</v>
      </c>
      <c r="D4" s="164">
        <v>327354000</v>
      </c>
      <c r="E4" s="164">
        <v>296807490</v>
      </c>
      <c r="F4" s="164">
        <v>355926376</v>
      </c>
      <c r="G4" s="164">
        <v>330554581</v>
      </c>
      <c r="H4" s="164">
        <v>366591552</v>
      </c>
      <c r="I4" s="159">
        <v>335136717</v>
      </c>
      <c r="J4" s="159">
        <v>391789906</v>
      </c>
      <c r="K4" s="159">
        <v>354553497</v>
      </c>
      <c r="L4" s="159">
        <v>408726308</v>
      </c>
      <c r="M4" s="159">
        <v>404308776</v>
      </c>
      <c r="N4" s="159">
        <v>470101754</v>
      </c>
      <c r="O4" s="159">
        <v>436345793</v>
      </c>
    </row>
    <row r="5" spans="1:15" ht="15">
      <c r="A5" s="162" t="s">
        <v>427</v>
      </c>
      <c r="B5" s="163">
        <v>143032999.92000002</v>
      </c>
      <c r="C5" s="164">
        <v>164609000</v>
      </c>
      <c r="D5" s="164">
        <v>162623000</v>
      </c>
      <c r="E5" s="164">
        <v>171085832</v>
      </c>
      <c r="F5" s="164">
        <v>176218407</v>
      </c>
      <c r="G5" s="164">
        <v>181504960</v>
      </c>
      <c r="H5" s="164">
        <v>186950108</v>
      </c>
      <c r="I5" s="159">
        <v>192558612</v>
      </c>
      <c r="J5" s="159">
        <v>198335370</v>
      </c>
      <c r="K5" s="159">
        <v>204285431</v>
      </c>
      <c r="L5" s="159">
        <v>210413994</v>
      </c>
      <c r="M5" s="159">
        <v>216726414</v>
      </c>
      <c r="N5" s="159">
        <v>223228206</v>
      </c>
      <c r="O5" s="159">
        <v>229925053</v>
      </c>
    </row>
    <row r="6" spans="1:15" ht="15">
      <c r="A6" s="162" t="s">
        <v>428</v>
      </c>
      <c r="B6" s="163">
        <v>231878000.04</v>
      </c>
      <c r="C6" s="164">
        <v>256057000</v>
      </c>
      <c r="D6" s="164">
        <v>256057000</v>
      </c>
      <c r="E6" s="164">
        <v>264665710</v>
      </c>
      <c r="F6" s="164">
        <v>272605681</v>
      </c>
      <c r="G6" s="164">
        <v>280783852</v>
      </c>
      <c r="H6" s="164">
        <v>289207367</v>
      </c>
      <c r="I6" s="159">
        <v>297883588</v>
      </c>
      <c r="J6" s="159">
        <v>306820096</v>
      </c>
      <c r="K6" s="159">
        <v>316024699</v>
      </c>
      <c r="L6" s="159">
        <v>325505440</v>
      </c>
      <c r="M6" s="159">
        <v>335270603</v>
      </c>
      <c r="N6" s="159">
        <v>345328721</v>
      </c>
      <c r="O6" s="159">
        <v>355688583</v>
      </c>
    </row>
    <row r="7" spans="1:15" ht="15">
      <c r="A7" s="105" t="s">
        <v>164</v>
      </c>
      <c r="B7" s="159">
        <v>4932258</v>
      </c>
      <c r="C7" s="164"/>
      <c r="D7" s="164"/>
      <c r="E7" s="164">
        <v>3547800</v>
      </c>
      <c r="F7" s="164">
        <v>3547800</v>
      </c>
      <c r="G7" s="164">
        <v>3547800</v>
      </c>
      <c r="H7" s="164">
        <v>3547800</v>
      </c>
      <c r="I7" s="159">
        <v>3547800</v>
      </c>
      <c r="J7" s="159">
        <v>3547800</v>
      </c>
      <c r="K7" s="159">
        <v>3547800</v>
      </c>
      <c r="L7" s="159">
        <v>3547800</v>
      </c>
      <c r="M7" s="159">
        <v>3547800</v>
      </c>
      <c r="N7" s="159">
        <v>3547800</v>
      </c>
      <c r="O7" s="159">
        <v>3547800</v>
      </c>
    </row>
    <row r="8" spans="1:15" ht="15">
      <c r="A8" s="105" t="s">
        <v>165</v>
      </c>
      <c r="B8" s="159">
        <v>4212645.96</v>
      </c>
      <c r="C8" s="164">
        <v>4947594</v>
      </c>
      <c r="D8" s="164">
        <v>5989905</v>
      </c>
      <c r="E8" s="164">
        <v>6107906</v>
      </c>
      <c r="F8" s="164">
        <v>6232507</v>
      </c>
      <c r="G8" s="164">
        <v>6364013</v>
      </c>
      <c r="H8" s="164">
        <v>6498930</v>
      </c>
      <c r="I8" s="159">
        <v>6635408</v>
      </c>
      <c r="J8" s="159">
        <v>6774752</v>
      </c>
      <c r="K8" s="159">
        <v>6918376</v>
      </c>
      <c r="L8" s="159">
        <v>7066429</v>
      </c>
      <c r="M8" s="159">
        <v>7217651</v>
      </c>
      <c r="N8" s="159">
        <v>7372831</v>
      </c>
      <c r="O8" s="159">
        <v>7532084</v>
      </c>
    </row>
    <row r="9" spans="1:15" ht="15">
      <c r="A9" s="105" t="s">
        <v>166</v>
      </c>
      <c r="B9" s="159">
        <v>5300000.04</v>
      </c>
      <c r="C9" s="164">
        <v>5300000</v>
      </c>
      <c r="D9" s="164">
        <v>5300000</v>
      </c>
      <c r="E9" s="164">
        <v>5300000</v>
      </c>
      <c r="F9" s="164">
        <v>5300000</v>
      </c>
      <c r="G9" s="164">
        <v>5300000</v>
      </c>
      <c r="H9" s="164">
        <v>5300000</v>
      </c>
      <c r="I9" s="159">
        <v>5300000</v>
      </c>
      <c r="J9" s="159">
        <v>5300000</v>
      </c>
      <c r="K9" s="159">
        <v>5300000</v>
      </c>
      <c r="L9" s="159">
        <v>5300000</v>
      </c>
      <c r="M9" s="159">
        <v>5300000</v>
      </c>
      <c r="N9" s="159">
        <v>5300000</v>
      </c>
      <c r="O9" s="159">
        <v>5300000</v>
      </c>
    </row>
    <row r="10" spans="1:8" ht="15">
      <c r="A10" s="105" t="s">
        <v>167</v>
      </c>
      <c r="B10" s="159">
        <v>10961354.04</v>
      </c>
      <c r="C10" s="164">
        <v>0</v>
      </c>
      <c r="D10" s="164">
        <v>0</v>
      </c>
      <c r="E10" s="164">
        <v>0</v>
      </c>
      <c r="F10" s="164"/>
      <c r="G10" s="164"/>
      <c r="H10" s="164"/>
    </row>
    <row r="11" spans="1:15" ht="15">
      <c r="A11" s="105" t="s">
        <v>168</v>
      </c>
      <c r="B11" s="159">
        <v>975354.96</v>
      </c>
      <c r="C11" s="164">
        <v>1047433</v>
      </c>
      <c r="D11" s="164">
        <v>1047433</v>
      </c>
      <c r="E11" s="164">
        <v>1047433</v>
      </c>
      <c r="F11" s="164">
        <v>1047433</v>
      </c>
      <c r="G11" s="164">
        <v>1047433</v>
      </c>
      <c r="H11" s="164">
        <v>1047433</v>
      </c>
      <c r="I11" s="159">
        <v>1047433</v>
      </c>
      <c r="J11" s="159">
        <v>1047433</v>
      </c>
      <c r="K11" s="159">
        <v>1047433</v>
      </c>
      <c r="L11" s="159">
        <v>1047433</v>
      </c>
      <c r="M11" s="159">
        <v>1047433</v>
      </c>
      <c r="N11" s="159">
        <v>1047433</v>
      </c>
      <c r="O11" s="159">
        <v>1047433</v>
      </c>
    </row>
    <row r="12" spans="1:15" ht="15">
      <c r="A12" s="105" t="s">
        <v>169</v>
      </c>
      <c r="B12" s="159">
        <v>1079627.04</v>
      </c>
      <c r="C12" s="164">
        <v>1300000</v>
      </c>
      <c r="D12" s="164">
        <v>1350000</v>
      </c>
      <c r="E12" s="164">
        <v>1376595</v>
      </c>
      <c r="F12" s="164">
        <v>1404678</v>
      </c>
      <c r="G12" s="164">
        <v>1434316</v>
      </c>
      <c r="H12" s="164">
        <v>1464724</v>
      </c>
      <c r="I12" s="159">
        <v>1495483</v>
      </c>
      <c r="J12" s="159">
        <v>1526888</v>
      </c>
      <c r="K12" s="159">
        <v>1559258</v>
      </c>
      <c r="L12" s="159">
        <v>1592626</v>
      </c>
      <c r="M12" s="159">
        <v>1626708</v>
      </c>
      <c r="N12" s="159">
        <v>1661683</v>
      </c>
      <c r="O12" s="159">
        <v>1697575</v>
      </c>
    </row>
    <row r="13" spans="1:15" ht="15">
      <c r="A13" s="162" t="s">
        <v>240</v>
      </c>
      <c r="B13" s="163">
        <v>27461240.04</v>
      </c>
      <c r="C13" s="164">
        <v>12595027</v>
      </c>
      <c r="D13" s="164">
        <v>13687338</v>
      </c>
      <c r="E13" s="164">
        <v>17379734</v>
      </c>
      <c r="F13" s="164">
        <v>17532418</v>
      </c>
      <c r="G13" s="164">
        <v>17693562</v>
      </c>
      <c r="H13" s="164">
        <v>17858887</v>
      </c>
      <c r="I13" s="159">
        <v>18026124</v>
      </c>
      <c r="J13" s="159">
        <v>18196873</v>
      </c>
      <c r="K13" s="159">
        <v>18372867</v>
      </c>
      <c r="L13" s="159">
        <v>18554288</v>
      </c>
      <c r="M13" s="159">
        <v>18739592</v>
      </c>
      <c r="N13" s="159">
        <v>18929747</v>
      </c>
      <c r="O13" s="159">
        <v>19124892</v>
      </c>
    </row>
    <row r="14" spans="1:15" ht="15">
      <c r="A14" s="162" t="s">
        <v>429</v>
      </c>
      <c r="B14" s="163">
        <v>21497367.96</v>
      </c>
      <c r="C14" s="164">
        <v>22612478</v>
      </c>
      <c r="D14" s="164">
        <v>22996890</v>
      </c>
      <c r="E14" s="164">
        <v>23449929</v>
      </c>
      <c r="F14" s="164">
        <v>23928307</v>
      </c>
      <c r="G14" s="164">
        <v>24433195</v>
      </c>
      <c r="H14" s="164">
        <v>24951178</v>
      </c>
      <c r="I14" s="159">
        <v>25475153</v>
      </c>
      <c r="J14" s="159">
        <v>26010131</v>
      </c>
      <c r="K14" s="159">
        <v>26561546</v>
      </c>
      <c r="L14" s="159">
        <v>27129963</v>
      </c>
      <c r="M14" s="159">
        <v>27710544</v>
      </c>
      <c r="N14" s="159">
        <v>28306321</v>
      </c>
      <c r="O14" s="159">
        <v>28917738</v>
      </c>
    </row>
    <row r="15" spans="1:15" ht="15">
      <c r="A15" s="105" t="s">
        <v>241</v>
      </c>
      <c r="B15" s="159">
        <v>999999.96</v>
      </c>
      <c r="C15" s="164">
        <v>1000000</v>
      </c>
      <c r="D15" s="164">
        <v>1000000</v>
      </c>
      <c r="E15" s="164">
        <v>1000000</v>
      </c>
      <c r="F15" s="164">
        <v>1000000</v>
      </c>
      <c r="G15" s="164">
        <v>1100000</v>
      </c>
      <c r="H15" s="164">
        <v>1200000</v>
      </c>
      <c r="I15" s="159">
        <v>1400000</v>
      </c>
      <c r="J15" s="159">
        <v>1500000</v>
      </c>
      <c r="K15" s="159">
        <v>1500000</v>
      </c>
      <c r="L15" s="159">
        <v>1600000</v>
      </c>
      <c r="M15" s="159">
        <v>1700000</v>
      </c>
      <c r="N15" s="159">
        <v>1700000</v>
      </c>
      <c r="O15" s="159">
        <v>1800000</v>
      </c>
    </row>
    <row r="16" spans="1:8" ht="15">
      <c r="A16" s="105" t="s">
        <v>242</v>
      </c>
      <c r="B16" s="159">
        <v>467000.04</v>
      </c>
      <c r="C16" s="164">
        <v>500000</v>
      </c>
      <c r="D16" s="164">
        <v>534000</v>
      </c>
      <c r="E16" s="164">
        <v>612000</v>
      </c>
      <c r="F16" s="164">
        <v>631000</v>
      </c>
      <c r="G16" s="164">
        <v>484000</v>
      </c>
      <c r="H16" s="164"/>
    </row>
    <row r="17" spans="1:15" ht="15">
      <c r="A17" s="162" t="s">
        <v>243</v>
      </c>
      <c r="B17" s="163">
        <v>1467000</v>
      </c>
      <c r="C17" s="164">
        <v>1500000</v>
      </c>
      <c r="D17" s="164">
        <v>1534000</v>
      </c>
      <c r="E17" s="164">
        <v>1612000</v>
      </c>
      <c r="F17" s="164">
        <v>1631000</v>
      </c>
      <c r="G17" s="164">
        <v>1584000</v>
      </c>
      <c r="H17" s="164">
        <v>1200000</v>
      </c>
      <c r="I17" s="159">
        <v>1400000</v>
      </c>
      <c r="J17" s="159">
        <v>1500000</v>
      </c>
      <c r="K17" s="159">
        <v>1500000</v>
      </c>
      <c r="L17" s="159">
        <v>1600000</v>
      </c>
      <c r="M17" s="159">
        <v>1700000</v>
      </c>
      <c r="N17" s="159">
        <v>1700000</v>
      </c>
      <c r="O17" s="159">
        <v>1800000</v>
      </c>
    </row>
    <row r="18" spans="1:8" ht="15">
      <c r="A18" s="105" t="s">
        <v>244</v>
      </c>
      <c r="B18" s="159">
        <v>26719640.04</v>
      </c>
      <c r="C18" s="164"/>
      <c r="D18" s="164"/>
      <c r="E18" s="164"/>
      <c r="F18" s="164"/>
      <c r="G18" s="164"/>
      <c r="H18" s="164"/>
    </row>
    <row r="19" spans="1:8" ht="15">
      <c r="A19" s="105" t="s">
        <v>143</v>
      </c>
      <c r="B19" s="159">
        <v>94913013.96</v>
      </c>
      <c r="C19" s="164"/>
      <c r="D19" s="164"/>
      <c r="E19" s="164"/>
      <c r="F19" s="164"/>
      <c r="G19" s="164"/>
      <c r="H19" s="164"/>
    </row>
    <row r="20" spans="1:15" ht="15">
      <c r="A20" s="105" t="s">
        <v>142</v>
      </c>
      <c r="B20" s="159">
        <v>3000000</v>
      </c>
      <c r="C20" s="164">
        <v>3100000</v>
      </c>
      <c r="D20" s="164">
        <v>3100000</v>
      </c>
      <c r="E20" s="164">
        <v>3100000</v>
      </c>
      <c r="F20" s="164">
        <v>3100000</v>
      </c>
      <c r="G20" s="164">
        <v>3100000</v>
      </c>
      <c r="H20" s="164">
        <v>3100000</v>
      </c>
      <c r="I20" s="159">
        <v>3100000</v>
      </c>
      <c r="J20" s="159">
        <v>3100000</v>
      </c>
      <c r="K20" s="159">
        <v>3100000</v>
      </c>
      <c r="L20" s="159">
        <v>3100000</v>
      </c>
      <c r="M20" s="159">
        <v>3100000</v>
      </c>
      <c r="N20" s="159">
        <v>3100000</v>
      </c>
      <c r="O20" s="159">
        <v>3100000</v>
      </c>
    </row>
    <row r="21" spans="1:15" ht="15">
      <c r="A21" s="105" t="s">
        <v>245</v>
      </c>
      <c r="B21" s="159">
        <v>24656070.96</v>
      </c>
      <c r="C21" s="164"/>
      <c r="D21" s="164"/>
      <c r="E21" s="164">
        <v>0</v>
      </c>
      <c r="F21" s="164">
        <v>0</v>
      </c>
      <c r="G21" s="164">
        <v>0</v>
      </c>
      <c r="H21" s="164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</row>
    <row r="22" spans="1:15" ht="15">
      <c r="A22" s="162" t="s">
        <v>246</v>
      </c>
      <c r="B22" s="163">
        <v>149288724.96</v>
      </c>
      <c r="C22" s="164">
        <f>SUM(C18:C21)</f>
        <v>3100000</v>
      </c>
      <c r="D22" s="164">
        <f aca="true" t="shared" si="0" ref="D22:O22">SUM(D18:D21)</f>
        <v>3100000</v>
      </c>
      <c r="E22" s="164">
        <f t="shared" si="0"/>
        <v>3100000</v>
      </c>
      <c r="F22" s="164">
        <f t="shared" si="0"/>
        <v>3100000</v>
      </c>
      <c r="G22" s="164">
        <f t="shared" si="0"/>
        <v>3100000</v>
      </c>
      <c r="H22" s="164">
        <f t="shared" si="0"/>
        <v>3100000</v>
      </c>
      <c r="I22" s="164">
        <f t="shared" si="0"/>
        <v>3100000</v>
      </c>
      <c r="J22" s="164">
        <f t="shared" si="0"/>
        <v>3100000</v>
      </c>
      <c r="K22" s="164">
        <f t="shared" si="0"/>
        <v>3100000</v>
      </c>
      <c r="L22" s="164">
        <f t="shared" si="0"/>
        <v>3100000</v>
      </c>
      <c r="M22" s="164">
        <f t="shared" si="0"/>
        <v>3100000</v>
      </c>
      <c r="N22" s="164">
        <f t="shared" si="0"/>
        <v>3100000</v>
      </c>
      <c r="O22" s="164">
        <f t="shared" si="0"/>
        <v>3100000</v>
      </c>
    </row>
    <row r="23" spans="1:8" ht="15">
      <c r="A23" s="162" t="s">
        <v>162</v>
      </c>
      <c r="B23" s="163">
        <v>203900000.04</v>
      </c>
      <c r="C23" s="164">
        <v>315984294</v>
      </c>
      <c r="D23" s="164">
        <v>318350064</v>
      </c>
      <c r="E23" s="164"/>
      <c r="F23" s="164"/>
      <c r="G23" s="164"/>
      <c r="H23" s="164"/>
    </row>
    <row r="24" spans="1:15" ht="15">
      <c r="A24" s="162" t="s">
        <v>144</v>
      </c>
      <c r="B24" s="163">
        <v>40330798.599999994</v>
      </c>
      <c r="C24" s="164">
        <v>38331832</v>
      </c>
      <c r="D24" s="164">
        <v>39059891</v>
      </c>
      <c r="E24" s="164">
        <v>39159286</v>
      </c>
      <c r="F24" s="164">
        <v>35366196</v>
      </c>
      <c r="G24" s="164">
        <v>34706822</v>
      </c>
      <c r="H24" s="164">
        <v>26714304</v>
      </c>
      <c r="I24" s="159">
        <v>25055207</v>
      </c>
      <c r="J24" s="159">
        <v>25062935</v>
      </c>
      <c r="K24" s="159">
        <v>25070900</v>
      </c>
      <c r="L24" s="159">
        <v>18329111</v>
      </c>
      <c r="M24" s="159">
        <v>10087497</v>
      </c>
      <c r="N24" s="159">
        <v>408881</v>
      </c>
      <c r="O24" s="159">
        <v>417713</v>
      </c>
    </row>
    <row r="25" spans="1:15" ht="15">
      <c r="A25" s="342" t="s">
        <v>680</v>
      </c>
      <c r="B25" s="163"/>
      <c r="C25" s="164">
        <v>27148552</v>
      </c>
      <c r="D25" s="164">
        <v>27282626</v>
      </c>
      <c r="E25" s="164">
        <v>28319366</v>
      </c>
      <c r="F25" s="164">
        <v>29395502</v>
      </c>
      <c r="G25" s="164">
        <v>30512531</v>
      </c>
      <c r="H25" s="164">
        <v>31672007</v>
      </c>
      <c r="I25" s="159">
        <v>32875543</v>
      </c>
      <c r="J25" s="159">
        <v>34124814</v>
      </c>
      <c r="K25" s="159">
        <v>35421557</v>
      </c>
      <c r="L25" s="159">
        <v>36767576</v>
      </c>
      <c r="M25" s="159">
        <v>38164744</v>
      </c>
      <c r="N25" s="159">
        <v>39615004</v>
      </c>
      <c r="O25" s="159">
        <v>41120374</v>
      </c>
    </row>
    <row r="26" spans="1:15" s="5" customFormat="1" ht="15">
      <c r="A26" s="105" t="s">
        <v>146</v>
      </c>
      <c r="B26" s="159">
        <v>605000.04</v>
      </c>
      <c r="C26" s="164">
        <v>590000</v>
      </c>
      <c r="D26" s="164">
        <v>590000</v>
      </c>
      <c r="E26" s="164">
        <v>590000</v>
      </c>
      <c r="F26" s="164">
        <v>590000</v>
      </c>
      <c r="G26" s="164">
        <v>590000</v>
      </c>
      <c r="H26" s="164">
        <v>590000</v>
      </c>
      <c r="I26" s="165">
        <v>590000</v>
      </c>
      <c r="J26" s="165">
        <v>590000</v>
      </c>
      <c r="K26" s="165"/>
      <c r="L26" s="165"/>
      <c r="M26" s="165"/>
      <c r="N26" s="165"/>
      <c r="O26" s="165"/>
    </row>
    <row r="27" spans="1:15" ht="15">
      <c r="A27" s="105" t="s">
        <v>147</v>
      </c>
      <c r="B27" s="159">
        <v>14748219</v>
      </c>
      <c r="C27" s="164">
        <v>12363808</v>
      </c>
      <c r="D27" s="164">
        <v>12048687</v>
      </c>
      <c r="E27" s="164">
        <v>12386050</v>
      </c>
      <c r="F27" s="164">
        <v>12732860</v>
      </c>
      <c r="G27" s="164">
        <v>13089380</v>
      </c>
      <c r="H27" s="164">
        <v>13455882</v>
      </c>
      <c r="I27" s="159">
        <v>13832647</v>
      </c>
      <c r="J27" s="159">
        <v>14219961</v>
      </c>
      <c r="K27" s="159">
        <v>14618120</v>
      </c>
      <c r="L27" s="159">
        <v>15027427</v>
      </c>
      <c r="M27" s="159">
        <v>15448195</v>
      </c>
      <c r="N27" s="159">
        <v>15880745</v>
      </c>
      <c r="O27" s="159">
        <v>16325406</v>
      </c>
    </row>
    <row r="28" spans="1:15" ht="15">
      <c r="A28" s="105" t="s">
        <v>247</v>
      </c>
      <c r="B28" s="159">
        <v>12999999.96</v>
      </c>
      <c r="C28" s="164">
        <v>8000000</v>
      </c>
      <c r="D28" s="164">
        <v>8000000</v>
      </c>
      <c r="E28" s="164">
        <v>8000000</v>
      </c>
      <c r="F28" s="164">
        <v>8000000</v>
      </c>
      <c r="G28" s="164">
        <v>8000000</v>
      </c>
      <c r="H28" s="164">
        <v>8000000</v>
      </c>
      <c r="I28" s="159">
        <v>8000000</v>
      </c>
      <c r="J28" s="159">
        <v>8000000</v>
      </c>
      <c r="K28" s="159">
        <v>8000000</v>
      </c>
      <c r="L28" s="159">
        <v>8000000</v>
      </c>
      <c r="M28" s="159">
        <v>8000000</v>
      </c>
      <c r="N28" s="159">
        <v>8000000</v>
      </c>
      <c r="O28" s="159">
        <v>8000000</v>
      </c>
    </row>
    <row r="29" spans="1:15" ht="15">
      <c r="A29" s="105" t="s">
        <v>248</v>
      </c>
      <c r="B29" s="159">
        <v>5252000.04</v>
      </c>
      <c r="C29" s="164">
        <v>5523391</v>
      </c>
      <c r="D29" s="164">
        <v>5626679</v>
      </c>
      <c r="E29" s="164">
        <v>5737525</v>
      </c>
      <c r="F29" s="164">
        <v>5854570</v>
      </c>
      <c r="G29" s="164">
        <v>5978102</v>
      </c>
      <c r="H29" s="164">
        <v>6104837</v>
      </c>
      <c r="I29" s="159">
        <v>6233039</v>
      </c>
      <c r="J29" s="159">
        <v>6363933</v>
      </c>
      <c r="K29" s="159">
        <v>6498848</v>
      </c>
      <c r="L29" s="159">
        <v>6637923</v>
      </c>
      <c r="M29" s="159">
        <v>6779975</v>
      </c>
      <c r="N29" s="159">
        <v>6925744</v>
      </c>
      <c r="O29" s="159">
        <v>7075341</v>
      </c>
    </row>
    <row r="30" spans="1:15" ht="15">
      <c r="A30" s="105" t="s">
        <v>145</v>
      </c>
      <c r="B30" s="159">
        <v>14691590.04</v>
      </c>
      <c r="C30" s="164">
        <v>71785000</v>
      </c>
      <c r="D30" s="164">
        <v>71785000</v>
      </c>
      <c r="E30" s="164">
        <v>78210990</v>
      </c>
      <c r="F30" s="164">
        <v>79806494</v>
      </c>
      <c r="G30" s="164">
        <v>81490411</v>
      </c>
      <c r="H30" s="164">
        <v>83218008</v>
      </c>
      <c r="I30" s="159">
        <v>84965586</v>
      </c>
      <c r="J30" s="159">
        <v>86749863</v>
      </c>
      <c r="K30" s="159">
        <v>88588961</v>
      </c>
      <c r="L30" s="159">
        <v>90484764</v>
      </c>
      <c r="M30" s="159">
        <v>92421138</v>
      </c>
      <c r="N30" s="159">
        <v>94408193</v>
      </c>
      <c r="O30" s="159">
        <v>96447410</v>
      </c>
    </row>
    <row r="31" spans="1:15" ht="15">
      <c r="A31" s="105" t="s">
        <v>430</v>
      </c>
      <c r="B31" s="159">
        <v>1824999.96</v>
      </c>
      <c r="C31" s="164">
        <v>856252</v>
      </c>
      <c r="D31" s="164">
        <v>854087</v>
      </c>
      <c r="E31" s="164">
        <v>870912</v>
      </c>
      <c r="F31" s="164">
        <v>888679</v>
      </c>
      <c r="G31" s="164">
        <v>907430</v>
      </c>
      <c r="H31" s="164">
        <v>926668</v>
      </c>
      <c r="I31" s="159">
        <v>946128</v>
      </c>
      <c r="J31" s="159">
        <v>965996</v>
      </c>
      <c r="K31" s="159">
        <v>986476</v>
      </c>
      <c r="L31" s="159">
        <v>1007586</v>
      </c>
      <c r="M31" s="159">
        <v>1029148</v>
      </c>
      <c r="N31" s="159">
        <v>1051275</v>
      </c>
      <c r="O31" s="159">
        <v>1073983</v>
      </c>
    </row>
    <row r="32" spans="1:8" ht="15">
      <c r="A32" s="115" t="s">
        <v>681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</row>
    <row r="33" spans="1:8" ht="15">
      <c r="A33" s="115" t="s">
        <v>682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</row>
    <row r="34" spans="1:15" ht="15">
      <c r="A34" s="162" t="s">
        <v>249</v>
      </c>
      <c r="B34" s="163">
        <v>50121809.04</v>
      </c>
      <c r="C34" s="164">
        <v>126267003</v>
      </c>
      <c r="D34" s="164">
        <v>126187079</v>
      </c>
      <c r="E34" s="164">
        <v>134114843</v>
      </c>
      <c r="F34" s="164">
        <v>137268105</v>
      </c>
      <c r="G34" s="164">
        <v>140567854</v>
      </c>
      <c r="H34" s="164">
        <v>143967402</v>
      </c>
      <c r="I34" s="159">
        <v>147442943</v>
      </c>
      <c r="J34" s="159">
        <v>151014567</v>
      </c>
      <c r="K34" s="159">
        <v>154113962</v>
      </c>
      <c r="L34" s="159">
        <v>157925276</v>
      </c>
      <c r="M34" s="159">
        <v>161843200</v>
      </c>
      <c r="N34" s="159">
        <v>165880961</v>
      </c>
      <c r="O34" s="159">
        <v>170042514</v>
      </c>
    </row>
    <row r="35" spans="1:15" s="5" customFormat="1" ht="15">
      <c r="A35" s="105" t="s">
        <v>154</v>
      </c>
      <c r="B35" s="159">
        <v>56442399.96</v>
      </c>
      <c r="C35" s="164">
        <v>91759000</v>
      </c>
      <c r="D35" s="164">
        <v>92516000</v>
      </c>
      <c r="E35" s="164">
        <v>91561226</v>
      </c>
      <c r="F35" s="164">
        <v>93364982</v>
      </c>
      <c r="G35" s="164">
        <v>95269628</v>
      </c>
      <c r="H35" s="164">
        <v>97279817</v>
      </c>
      <c r="I35" s="165">
        <v>99342149</v>
      </c>
      <c r="J35" s="165">
        <v>101428334</v>
      </c>
      <c r="K35" s="165">
        <v>103558329</v>
      </c>
      <c r="L35" s="165">
        <v>105753766</v>
      </c>
      <c r="M35" s="165">
        <v>108016896</v>
      </c>
      <c r="N35" s="165">
        <v>110328458</v>
      </c>
      <c r="O35" s="165">
        <v>112700520</v>
      </c>
    </row>
    <row r="36" spans="1:15" ht="15">
      <c r="A36" s="105" t="s">
        <v>250</v>
      </c>
      <c r="B36" s="159">
        <v>11664000</v>
      </c>
      <c r="C36" s="164">
        <f>+'Modeling results'!B28*1000</f>
        <v>12480000</v>
      </c>
      <c r="D36" s="164">
        <f>+'Modeling results'!C28*1000</f>
        <v>12634000</v>
      </c>
      <c r="E36" s="164">
        <v>12776626</v>
      </c>
      <c r="F36" s="164">
        <v>13037269</v>
      </c>
      <c r="G36" s="164">
        <v>13312355</v>
      </c>
      <c r="H36" s="164">
        <v>13594577</v>
      </c>
      <c r="I36" s="159">
        <v>13880063</v>
      </c>
      <c r="J36" s="159">
        <v>14171545</v>
      </c>
      <c r="K36" s="159">
        <v>14471981</v>
      </c>
      <c r="L36" s="159">
        <v>14781682</v>
      </c>
      <c r="M36" s="159">
        <v>15098010</v>
      </c>
      <c r="N36" s="159">
        <v>15422617</v>
      </c>
      <c r="O36" s="159">
        <v>15755746</v>
      </c>
    </row>
    <row r="37" spans="1:15" ht="15">
      <c r="A37" s="105" t="s">
        <v>251</v>
      </c>
      <c r="B37" s="159">
        <v>94474184.04</v>
      </c>
      <c r="C37" s="164">
        <f>+'Modeling results'!B19*1000</f>
        <v>108554681.12172529</v>
      </c>
      <c r="D37" s="164">
        <f>+'Modeling results'!C19*1000</f>
        <v>104198029.93102537</v>
      </c>
      <c r="E37" s="164">
        <v>119111290</v>
      </c>
      <c r="F37" s="164">
        <v>118497982</v>
      </c>
      <c r="G37" s="164">
        <v>130212349</v>
      </c>
      <c r="H37" s="164">
        <v>129102473</v>
      </c>
      <c r="I37" s="159">
        <v>143597607</v>
      </c>
      <c r="J37" s="159">
        <v>143011062</v>
      </c>
      <c r="K37" s="159">
        <v>152627347</v>
      </c>
      <c r="L37" s="159">
        <v>152079816</v>
      </c>
      <c r="M37" s="159">
        <v>164111065</v>
      </c>
      <c r="N37" s="159">
        <v>162905885</v>
      </c>
      <c r="O37" s="159">
        <v>170757874</v>
      </c>
    </row>
    <row r="38" spans="1:15" ht="15">
      <c r="A38" s="105" t="s">
        <v>252</v>
      </c>
      <c r="B38" s="159">
        <v>2333274.96</v>
      </c>
      <c r="C38" s="164">
        <v>2250789</v>
      </c>
      <c r="D38" s="164">
        <v>2292204</v>
      </c>
      <c r="E38" s="164">
        <v>2406814</v>
      </c>
      <c r="F38" s="164">
        <v>2527155</v>
      </c>
      <c r="G38" s="164">
        <v>2653513</v>
      </c>
      <c r="H38" s="164">
        <v>2786188</v>
      </c>
      <c r="I38" s="159">
        <v>2925498</v>
      </c>
      <c r="J38" s="159">
        <v>3071773</v>
      </c>
      <c r="K38" s="159">
        <v>3225361</v>
      </c>
      <c r="L38" s="159">
        <v>3386629</v>
      </c>
      <c r="M38" s="159">
        <v>3555961</v>
      </c>
      <c r="N38" s="159">
        <v>3733759</v>
      </c>
      <c r="O38" s="159">
        <v>3920447</v>
      </c>
    </row>
    <row r="39" spans="1:15" ht="15">
      <c r="A39" s="162" t="s">
        <v>253</v>
      </c>
      <c r="B39" s="163">
        <v>164913858.96</v>
      </c>
      <c r="C39" s="164">
        <f>SUM(C35:C38)</f>
        <v>215044470.1217253</v>
      </c>
      <c r="D39" s="164">
        <f>SUM(D35:D38)</f>
        <v>211640233.9310254</v>
      </c>
      <c r="E39" s="164">
        <v>225855956</v>
      </c>
      <c r="F39" s="164">
        <v>227427388</v>
      </c>
      <c r="G39" s="164">
        <v>241447845</v>
      </c>
      <c r="H39" s="164">
        <v>242763055</v>
      </c>
      <c r="I39" s="159">
        <v>259745317</v>
      </c>
      <c r="J39" s="159">
        <v>261682714</v>
      </c>
      <c r="K39" s="159">
        <v>273883018</v>
      </c>
      <c r="L39" s="159">
        <v>276001893</v>
      </c>
      <c r="M39" s="159">
        <v>290781932</v>
      </c>
      <c r="N39" s="159">
        <v>292390719</v>
      </c>
      <c r="O39" s="159">
        <v>303134587</v>
      </c>
    </row>
    <row r="40" spans="1:15" ht="15">
      <c r="A40" s="5" t="s">
        <v>153</v>
      </c>
      <c r="B40" s="159">
        <v>8964806.48</v>
      </c>
      <c r="C40" s="161">
        <v>9093563</v>
      </c>
      <c r="D40" s="161">
        <v>9408500</v>
      </c>
      <c r="E40" s="164">
        <v>9593848</v>
      </c>
      <c r="F40" s="164">
        <v>9789562</v>
      </c>
      <c r="G40" s="164">
        <v>9996122</v>
      </c>
      <c r="H40" s="164">
        <v>10208040</v>
      </c>
      <c r="I40" s="159">
        <v>10422409</v>
      </c>
      <c r="J40" s="159">
        <v>10641279</v>
      </c>
      <c r="K40" s="159">
        <v>10866874</v>
      </c>
      <c r="L40" s="159">
        <v>11099425</v>
      </c>
      <c r="M40" s="159">
        <v>11336953</v>
      </c>
      <c r="N40" s="159">
        <v>11580698</v>
      </c>
      <c r="O40" s="159">
        <v>11830841</v>
      </c>
    </row>
    <row r="41" spans="1:15" ht="15">
      <c r="A41" s="5" t="s">
        <v>254</v>
      </c>
      <c r="B41" s="159">
        <v>7624740.48</v>
      </c>
      <c r="C41" s="161">
        <v>6173940</v>
      </c>
      <c r="D41" s="161">
        <v>6408905</v>
      </c>
      <c r="E41" s="164">
        <v>3716929</v>
      </c>
      <c r="F41" s="164">
        <v>3792754</v>
      </c>
      <c r="G41" s="164">
        <v>3872781</v>
      </c>
      <c r="H41" s="164">
        <v>3954884</v>
      </c>
      <c r="I41" s="159">
        <v>4037937</v>
      </c>
      <c r="J41" s="159">
        <v>4122733</v>
      </c>
      <c r="K41" s="159">
        <v>4210135</v>
      </c>
      <c r="L41" s="159">
        <v>4300232</v>
      </c>
      <c r="M41" s="159">
        <v>4392257</v>
      </c>
      <c r="N41" s="159">
        <v>4486691</v>
      </c>
      <c r="O41" s="159">
        <v>4583603</v>
      </c>
    </row>
    <row r="42" spans="1:15" ht="15">
      <c r="A42" s="5" t="s">
        <v>255</v>
      </c>
      <c r="B42" s="159">
        <v>9829570.8</v>
      </c>
      <c r="C42" s="161">
        <v>10053729</v>
      </c>
      <c r="D42" s="161">
        <v>10404279</v>
      </c>
      <c r="E42" s="164">
        <v>10609244</v>
      </c>
      <c r="F42" s="164">
        <v>10825672</v>
      </c>
      <c r="G42" s="164">
        <v>11054094</v>
      </c>
      <c r="H42" s="164">
        <v>11288441</v>
      </c>
      <c r="I42" s="159">
        <v>11525498</v>
      </c>
      <c r="J42" s="159">
        <v>11767533</v>
      </c>
      <c r="K42" s="159">
        <v>12017005</v>
      </c>
      <c r="L42" s="159">
        <v>12274169</v>
      </c>
      <c r="M42" s="159">
        <v>12536836</v>
      </c>
      <c r="N42" s="159">
        <v>12806378</v>
      </c>
      <c r="O42" s="159">
        <v>13082996</v>
      </c>
    </row>
    <row r="43" spans="1:15" ht="15">
      <c r="A43" s="5" t="s">
        <v>150</v>
      </c>
      <c r="B43" s="159">
        <v>6935839.93</v>
      </c>
      <c r="C43" s="161">
        <v>8528098</v>
      </c>
      <c r="D43" s="161">
        <v>8415711</v>
      </c>
      <c r="E43" s="164">
        <v>8581501</v>
      </c>
      <c r="F43" s="164">
        <v>8756563</v>
      </c>
      <c r="G43" s="164">
        <v>8941327</v>
      </c>
      <c r="H43" s="164">
        <v>9130883</v>
      </c>
      <c r="I43" s="159">
        <v>9322632</v>
      </c>
      <c r="J43" s="159">
        <v>9518407</v>
      </c>
      <c r="K43" s="159">
        <v>9720197</v>
      </c>
      <c r="L43" s="159">
        <v>9928209</v>
      </c>
      <c r="M43" s="159">
        <v>10140673</v>
      </c>
      <c r="N43" s="159">
        <v>10358698</v>
      </c>
      <c r="O43" s="159">
        <v>10582445</v>
      </c>
    </row>
    <row r="44" spans="1:15" ht="15">
      <c r="A44" s="5" t="s">
        <v>149</v>
      </c>
      <c r="B44" s="159">
        <v>1076959.63</v>
      </c>
      <c r="C44" s="161">
        <v>1024143</v>
      </c>
      <c r="D44" s="161">
        <v>1061360</v>
      </c>
      <c r="E44" s="164">
        <v>1082269</v>
      </c>
      <c r="F44" s="164">
        <v>1104347</v>
      </c>
      <c r="G44" s="164">
        <v>1127649</v>
      </c>
      <c r="H44" s="164">
        <v>1151555</v>
      </c>
      <c r="I44" s="159">
        <v>1175737</v>
      </c>
      <c r="J44" s="159">
        <v>1200428</v>
      </c>
      <c r="K44" s="159">
        <v>1225877</v>
      </c>
      <c r="L44" s="159">
        <v>1252111</v>
      </c>
      <c r="M44" s="159">
        <v>1278906</v>
      </c>
      <c r="N44" s="159">
        <v>1306402</v>
      </c>
      <c r="O44" s="159">
        <v>1334621</v>
      </c>
    </row>
    <row r="45" spans="1:15" ht="15">
      <c r="A45" s="5" t="s">
        <v>152</v>
      </c>
      <c r="B45" s="159">
        <v>21376117.330000006</v>
      </c>
      <c r="C45" s="161">
        <v>22885139</v>
      </c>
      <c r="D45" s="161">
        <v>23485271</v>
      </c>
      <c r="E45" s="164">
        <v>23947931</v>
      </c>
      <c r="F45" s="164">
        <v>24436469</v>
      </c>
      <c r="G45" s="164">
        <v>24952078</v>
      </c>
      <c r="H45" s="164">
        <v>25481062</v>
      </c>
      <c r="I45" s="159">
        <v>26016164</v>
      </c>
      <c r="J45" s="159">
        <v>26562504</v>
      </c>
      <c r="K45" s="159">
        <v>27125629</v>
      </c>
      <c r="L45" s="159">
        <v>27706117</v>
      </c>
      <c r="M45" s="159">
        <v>28299028</v>
      </c>
      <c r="N45" s="159">
        <v>28907457</v>
      </c>
      <c r="O45" s="159">
        <v>29531858</v>
      </c>
    </row>
    <row r="46" spans="1:15" ht="15">
      <c r="A46" s="5" t="s">
        <v>161</v>
      </c>
      <c r="B46" s="159">
        <v>18912616.709999997</v>
      </c>
      <c r="C46" s="164">
        <v>13021687</v>
      </c>
      <c r="D46" s="164">
        <v>14041537</v>
      </c>
      <c r="E46" s="164">
        <v>15057527</v>
      </c>
      <c r="F46" s="164">
        <v>15364701</v>
      </c>
      <c r="G46" s="164">
        <v>15688896</v>
      </c>
      <c r="H46" s="164">
        <v>16021501</v>
      </c>
      <c r="I46" s="159">
        <v>16357952</v>
      </c>
      <c r="J46" s="159">
        <v>16701469</v>
      </c>
      <c r="K46" s="159">
        <v>17055540</v>
      </c>
      <c r="L46" s="159">
        <v>17420529</v>
      </c>
      <c r="M46" s="159">
        <v>17793328</v>
      </c>
      <c r="N46" s="159">
        <v>18175885</v>
      </c>
      <c r="O46" s="159">
        <v>18568484</v>
      </c>
    </row>
    <row r="47" spans="1:15" ht="15">
      <c r="A47" s="5" t="s">
        <v>160</v>
      </c>
      <c r="B47" s="159">
        <v>4151815.3900000015</v>
      </c>
      <c r="C47" s="161">
        <v>4120070</v>
      </c>
      <c r="D47" s="161">
        <v>4205122</v>
      </c>
      <c r="E47" s="164">
        <v>4237311</v>
      </c>
      <c r="F47" s="164">
        <v>4323753</v>
      </c>
      <c r="G47" s="164">
        <v>4414984</v>
      </c>
      <c r="H47" s="164">
        <v>4508581</v>
      </c>
      <c r="I47" s="159">
        <v>4603262</v>
      </c>
      <c r="J47" s="159">
        <v>4699930</v>
      </c>
      <c r="K47" s="159">
        <v>4799569</v>
      </c>
      <c r="L47" s="159">
        <v>4902279</v>
      </c>
      <c r="M47" s="159">
        <v>5007188</v>
      </c>
      <c r="N47" s="159">
        <v>5114843</v>
      </c>
      <c r="O47" s="159">
        <v>5225323</v>
      </c>
    </row>
    <row r="48" spans="1:15" ht="15">
      <c r="A48" s="5" t="s">
        <v>148</v>
      </c>
      <c r="B48" s="159">
        <v>5727799.71</v>
      </c>
      <c r="C48" s="161">
        <v>6976159</v>
      </c>
      <c r="D48" s="161">
        <v>7293865</v>
      </c>
      <c r="E48" s="164">
        <v>7437554</v>
      </c>
      <c r="F48" s="164">
        <v>7589280</v>
      </c>
      <c r="G48" s="164">
        <v>7749414</v>
      </c>
      <c r="H48" s="164">
        <v>7913701</v>
      </c>
      <c r="I48" s="159">
        <v>8079889</v>
      </c>
      <c r="J48" s="159">
        <v>8249567</v>
      </c>
      <c r="K48" s="159">
        <v>8424458</v>
      </c>
      <c r="L48" s="159">
        <v>8604741</v>
      </c>
      <c r="M48" s="159">
        <v>8788883</v>
      </c>
      <c r="N48" s="159">
        <v>8977843</v>
      </c>
      <c r="O48" s="159">
        <v>9171765</v>
      </c>
    </row>
    <row r="49" spans="1:15" ht="15">
      <c r="A49" s="5" t="s">
        <v>151</v>
      </c>
      <c r="B49" s="159">
        <v>6028002</v>
      </c>
      <c r="C49" s="161">
        <v>4704933</v>
      </c>
      <c r="D49" s="161">
        <v>4599519</v>
      </c>
      <c r="E49" s="164">
        <v>5709830</v>
      </c>
      <c r="F49" s="164">
        <v>5826310</v>
      </c>
      <c r="G49" s="164">
        <v>5949245</v>
      </c>
      <c r="H49" s="164">
        <v>6075369</v>
      </c>
      <c r="I49" s="159">
        <v>6202952</v>
      </c>
      <c r="J49" s="159">
        <v>6333214</v>
      </c>
      <c r="K49" s="159">
        <v>6467478</v>
      </c>
      <c r="L49" s="159">
        <v>6605882</v>
      </c>
      <c r="M49" s="159">
        <v>6747248</v>
      </c>
      <c r="N49" s="159">
        <v>6892314</v>
      </c>
      <c r="O49" s="159">
        <v>7041188</v>
      </c>
    </row>
    <row r="50" spans="1:8" ht="15">
      <c r="A50" s="115" t="s">
        <v>683</v>
      </c>
      <c r="C50" s="164">
        <v>500000</v>
      </c>
      <c r="D50" s="164"/>
      <c r="E50" s="164"/>
      <c r="F50" s="164"/>
      <c r="G50" s="164"/>
      <c r="H50" s="164"/>
    </row>
    <row r="51" spans="1:8" ht="15">
      <c r="A51" s="115" t="s">
        <v>684</v>
      </c>
      <c r="C51" s="164"/>
      <c r="D51" s="164"/>
      <c r="E51" s="164"/>
      <c r="F51" s="164"/>
      <c r="G51" s="164"/>
      <c r="H51" s="164"/>
    </row>
    <row r="52" spans="1:15" ht="15">
      <c r="A52" s="115" t="s">
        <v>685</v>
      </c>
      <c r="C52" s="164">
        <v>3330000</v>
      </c>
      <c r="D52" s="164">
        <v>4995000</v>
      </c>
      <c r="E52" s="164">
        <v>12500000</v>
      </c>
      <c r="F52" s="164">
        <v>11000000</v>
      </c>
      <c r="G52" s="164">
        <v>10000000</v>
      </c>
      <c r="H52" s="164">
        <v>9000000</v>
      </c>
      <c r="I52" s="159">
        <v>8000000</v>
      </c>
      <c r="J52" s="159">
        <v>7000000</v>
      </c>
      <c r="K52" s="159">
        <v>5500000</v>
      </c>
      <c r="L52" s="159">
        <v>4000000</v>
      </c>
      <c r="M52" s="159">
        <v>2500000</v>
      </c>
      <c r="N52" s="159">
        <v>1000000</v>
      </c>
      <c r="O52" s="159">
        <v>1000000</v>
      </c>
    </row>
    <row r="53" spans="1:15" ht="15">
      <c r="A53" s="162" t="s">
        <v>256</v>
      </c>
      <c r="B53" s="163">
        <v>90628268.46</v>
      </c>
      <c r="C53" s="164">
        <v>90411461</v>
      </c>
      <c r="D53" s="164">
        <v>94319069</v>
      </c>
      <c r="E53" s="164">
        <v>102473944</v>
      </c>
      <c r="F53" s="164">
        <v>102809411</v>
      </c>
      <c r="G53" s="164">
        <v>103746590</v>
      </c>
      <c r="H53" s="164">
        <v>104734017</v>
      </c>
      <c r="I53" s="159">
        <v>105744432</v>
      </c>
      <c r="J53" s="159">
        <v>106797064</v>
      </c>
      <c r="K53" s="159">
        <v>107412762</v>
      </c>
      <c r="L53" s="159">
        <v>108093694</v>
      </c>
      <c r="M53" s="159">
        <v>108821300</v>
      </c>
      <c r="N53" s="159">
        <v>109607209</v>
      </c>
      <c r="O53" s="159">
        <v>111953124</v>
      </c>
    </row>
    <row r="54" spans="1:15" s="5" customFormat="1" ht="15">
      <c r="A54" s="105" t="s">
        <v>257</v>
      </c>
      <c r="B54" s="159">
        <v>31670000.04</v>
      </c>
      <c r="C54" s="164">
        <v>33483249</v>
      </c>
      <c r="D54" s="164">
        <v>33483249</v>
      </c>
      <c r="E54" s="164">
        <v>34672087</v>
      </c>
      <c r="F54" s="164">
        <v>35379398</v>
      </c>
      <c r="G54" s="164">
        <v>36125903</v>
      </c>
      <c r="H54" s="164">
        <v>36891772</v>
      </c>
      <c r="I54" s="165">
        <v>37666499</v>
      </c>
      <c r="J54" s="165">
        <v>38457496</v>
      </c>
      <c r="K54" s="165">
        <v>39272795</v>
      </c>
      <c r="L54" s="165">
        <v>40113233</v>
      </c>
      <c r="M54" s="165">
        <v>40971656</v>
      </c>
      <c r="N54" s="165">
        <v>41852546</v>
      </c>
      <c r="O54" s="165">
        <v>42756561</v>
      </c>
    </row>
    <row r="55" spans="1:15" ht="15">
      <c r="A55" s="105" t="s">
        <v>258</v>
      </c>
      <c r="B55" s="159">
        <v>10798745.04</v>
      </c>
      <c r="C55" s="164">
        <v>11624000</v>
      </c>
      <c r="D55" s="164">
        <v>11914000</v>
      </c>
      <c r="E55" s="164">
        <v>12148706</v>
      </c>
      <c r="F55" s="164">
        <v>12396539</v>
      </c>
      <c r="G55" s="164">
        <v>12658106</v>
      </c>
      <c r="H55" s="164">
        <v>12926458</v>
      </c>
      <c r="I55" s="159">
        <v>13197914</v>
      </c>
      <c r="J55" s="159">
        <v>13475070</v>
      </c>
      <c r="K55" s="159">
        <v>13760741</v>
      </c>
      <c r="L55" s="159">
        <v>14055221</v>
      </c>
      <c r="M55" s="159">
        <v>14356003</v>
      </c>
      <c r="N55" s="159">
        <v>14664657</v>
      </c>
      <c r="O55" s="159">
        <v>14981414</v>
      </c>
    </row>
    <row r="56" spans="1:15" ht="15">
      <c r="A56" s="105" t="s">
        <v>259</v>
      </c>
      <c r="B56" s="159">
        <v>259999999.71999997</v>
      </c>
      <c r="C56" s="164">
        <v>276713282</v>
      </c>
      <c r="D56" s="164">
        <v>276703668</v>
      </c>
      <c r="E56" s="164">
        <v>281811896</v>
      </c>
      <c r="F56" s="164">
        <v>286914986</v>
      </c>
      <c r="G56" s="164">
        <v>292322151</v>
      </c>
      <c r="H56" s="164">
        <v>297872515</v>
      </c>
      <c r="I56" s="159">
        <v>303481221</v>
      </c>
      <c r="J56" s="159">
        <v>309207709</v>
      </c>
      <c r="K56" s="159">
        <v>315116047</v>
      </c>
      <c r="L56" s="159">
        <v>321212417</v>
      </c>
      <c r="M56" s="159">
        <v>327439249</v>
      </c>
      <c r="N56" s="159">
        <v>333831955</v>
      </c>
      <c r="O56" s="159">
        <v>340395363</v>
      </c>
    </row>
    <row r="57" spans="1:15" ht="15">
      <c r="A57" s="162" t="s">
        <v>260</v>
      </c>
      <c r="B57" s="163">
        <v>302468744.8</v>
      </c>
      <c r="C57" s="164">
        <v>321820531</v>
      </c>
      <c r="D57" s="164">
        <v>322100917</v>
      </c>
      <c r="E57" s="164">
        <v>328632689</v>
      </c>
      <c r="F57" s="164">
        <v>334690923</v>
      </c>
      <c r="G57" s="164">
        <v>341106160</v>
      </c>
      <c r="H57" s="164">
        <v>347690745</v>
      </c>
      <c r="I57" s="159">
        <v>354345634</v>
      </c>
      <c r="J57" s="159">
        <v>361140275</v>
      </c>
      <c r="K57" s="159">
        <v>368149583</v>
      </c>
      <c r="L57" s="159">
        <v>375380871</v>
      </c>
      <c r="M57" s="159">
        <v>382766908</v>
      </c>
      <c r="N57" s="159">
        <v>390349158</v>
      </c>
      <c r="O57" s="159">
        <v>398133338</v>
      </c>
    </row>
    <row r="58" spans="1:15" ht="15">
      <c r="A58" s="162" t="s">
        <v>431</v>
      </c>
      <c r="B58" s="163">
        <v>18819000</v>
      </c>
      <c r="C58" s="164">
        <v>14962013</v>
      </c>
      <c r="D58" s="164">
        <v>15620326</v>
      </c>
      <c r="E58" s="164">
        <v>20861270</v>
      </c>
      <c r="F58" s="164">
        <v>21784455</v>
      </c>
      <c r="G58" s="164">
        <v>22717930</v>
      </c>
      <c r="H58" s="164">
        <v>23723176</v>
      </c>
      <c r="I58" s="159">
        <v>21405123</v>
      </c>
      <c r="J58" s="159">
        <v>21854631</v>
      </c>
      <c r="K58" s="159">
        <v>22317949</v>
      </c>
      <c r="L58" s="159">
        <v>22795553</v>
      </c>
      <c r="M58" s="159">
        <v>23283378</v>
      </c>
      <c r="N58" s="159">
        <v>23783970</v>
      </c>
      <c r="O58" s="159">
        <v>24297704</v>
      </c>
    </row>
    <row r="59" spans="1:15" ht="15">
      <c r="A59" s="343" t="s">
        <v>686</v>
      </c>
      <c r="B59" s="163"/>
      <c r="C59" s="164">
        <v>53022281</v>
      </c>
      <c r="D59" s="164">
        <v>54169514</v>
      </c>
      <c r="E59" s="164">
        <v>58410233</v>
      </c>
      <c r="F59" s="164">
        <v>59345939</v>
      </c>
      <c r="G59" s="164">
        <v>60570964</v>
      </c>
      <c r="H59" s="164">
        <v>61617766</v>
      </c>
      <c r="I59" s="159">
        <v>62889103</v>
      </c>
      <c r="J59" s="159">
        <v>64187139</v>
      </c>
      <c r="K59" s="159">
        <v>65525056</v>
      </c>
      <c r="L59" s="159">
        <v>66904225</v>
      </c>
      <c r="M59" s="159">
        <v>68312909</v>
      </c>
      <c r="N59" s="159">
        <v>69758462</v>
      </c>
      <c r="O59" s="159">
        <v>71241963</v>
      </c>
    </row>
    <row r="60" spans="1:15" ht="15">
      <c r="A60" s="343" t="s">
        <v>687</v>
      </c>
      <c r="B60" s="163"/>
      <c r="C60" s="164">
        <v>11368944</v>
      </c>
      <c r="D60" s="164">
        <v>11626752</v>
      </c>
      <c r="E60" s="164">
        <v>12461415</v>
      </c>
      <c r="F60" s="164">
        <v>12715628</v>
      </c>
      <c r="G60" s="164">
        <v>12983927</v>
      </c>
      <c r="H60" s="164">
        <v>13259187</v>
      </c>
      <c r="I60" s="159">
        <v>13537630</v>
      </c>
      <c r="J60" s="159">
        <v>13821920</v>
      </c>
      <c r="K60" s="159">
        <v>14114945</v>
      </c>
      <c r="L60" s="159">
        <v>14417004</v>
      </c>
      <c r="M60" s="159">
        <v>14725528</v>
      </c>
      <c r="N60" s="159">
        <v>15042127</v>
      </c>
      <c r="O60" s="159">
        <v>15367037</v>
      </c>
    </row>
    <row r="61" spans="1:15" ht="15">
      <c r="A61" s="162" t="s">
        <v>432</v>
      </c>
      <c r="B61" s="163">
        <v>57824914.339999996</v>
      </c>
      <c r="C61" s="164">
        <v>64391225</v>
      </c>
      <c r="D61" s="164">
        <v>65796266</v>
      </c>
      <c r="E61" s="164">
        <v>70871648</v>
      </c>
      <c r="F61" s="164">
        <v>72061567</v>
      </c>
      <c r="G61" s="164">
        <v>73554891</v>
      </c>
      <c r="H61" s="164">
        <v>74876953</v>
      </c>
      <c r="I61" s="159">
        <v>76426733</v>
      </c>
      <c r="J61" s="159">
        <v>78009059</v>
      </c>
      <c r="K61" s="159">
        <v>79640001</v>
      </c>
      <c r="L61" s="159">
        <v>81321229</v>
      </c>
      <c r="M61" s="159">
        <v>83038437</v>
      </c>
      <c r="N61" s="159">
        <v>84800589</v>
      </c>
      <c r="O61" s="159">
        <v>86609000</v>
      </c>
    </row>
    <row r="62" spans="1:15" ht="15">
      <c r="A62" s="344" t="s">
        <v>688</v>
      </c>
      <c r="B62" s="163"/>
      <c r="C62" s="164">
        <v>-10000000</v>
      </c>
      <c r="D62" s="164">
        <v>-10000000</v>
      </c>
      <c r="E62" s="164">
        <v>-26787000</v>
      </c>
      <c r="F62" s="164">
        <v>-27445000</v>
      </c>
      <c r="G62" s="164">
        <v>-28790000</v>
      </c>
      <c r="H62" s="164">
        <v>-29610000</v>
      </c>
      <c r="I62" s="159">
        <v>-29837652</v>
      </c>
      <c r="J62" s="159">
        <v>-11310282</v>
      </c>
      <c r="K62" s="159">
        <v>-11550060</v>
      </c>
      <c r="L62" s="159">
        <v>-11797231</v>
      </c>
      <c r="M62" s="159">
        <v>-12049692</v>
      </c>
      <c r="N62" s="159">
        <v>-12308760</v>
      </c>
      <c r="O62" s="159">
        <v>-12574630</v>
      </c>
    </row>
    <row r="63" spans="1:15" ht="15">
      <c r="A63" s="160" t="s">
        <v>163</v>
      </c>
      <c r="B63" s="161">
        <v>1843496111.2</v>
      </c>
      <c r="C63" s="164">
        <f>+SUM(C61:C62,C57:C58,C53,C39,C34,C22:C24,C17,C13:C14,C4:C6)</f>
        <v>1907832334.1217253</v>
      </c>
      <c r="D63" s="164">
        <f>+D62+D61+D58+D57+D53+D39+D34+D24+D23+D22+D17+D14+D13+D6+D5+D4</f>
        <v>1970426073.9310255</v>
      </c>
      <c r="E63" s="164">
        <f>+E62+E61+E58+E57+E53+E39+E34+E24+E23+E22+E17+E14+E13+E6+E5+E4</f>
        <v>1673283331</v>
      </c>
      <c r="F63" s="164">
        <f>+F62+F61+F58+F57+F53+F39+F34+F24+F23+F22+F17+F14+F13+F6+F5+F4</f>
        <v>1754905234</v>
      </c>
      <c r="G63" s="164">
        <f>+G62+G61+G58+G57+G53+G39+G34+G24+G23+G22+G17+G14+G13+G6+G5+G4</f>
        <v>1768712242</v>
      </c>
      <c r="H63" s="164">
        <f>+H62+H61+H58+H57+H53+H39+H34+H24+H23+H22+H17+H14+H13+H6+H5+H4</f>
        <v>1824718744</v>
      </c>
      <c r="I63" s="164">
        <f aca="true" t="shared" si="1" ref="I63:O63">+I62+I61+I58+I57+I53+I39+I34+I24+I23+I22+I17+I14+I13+I6+I5+I4</f>
        <v>1833907931</v>
      </c>
      <c r="J63" s="164">
        <f t="shared" si="1"/>
        <v>1940003339</v>
      </c>
      <c r="K63" s="164">
        <f t="shared" si="1"/>
        <v>1943436155</v>
      </c>
      <c r="L63" s="164">
        <f t="shared" si="1"/>
        <v>2023080389</v>
      </c>
      <c r="M63" s="164">
        <f t="shared" si="1"/>
        <v>2056128889</v>
      </c>
      <c r="N63" s="164">
        <f t="shared" si="1"/>
        <v>2145607476</v>
      </c>
      <c r="O63" s="164">
        <f t="shared" si="1"/>
        <v>2156915409</v>
      </c>
    </row>
    <row r="64" spans="3:8" ht="12.75">
      <c r="C64" s="165"/>
      <c r="D64" s="165"/>
      <c r="E64" s="165"/>
      <c r="F64" s="165"/>
      <c r="G64" s="165"/>
      <c r="H64" s="165"/>
    </row>
    <row r="65" spans="3:8" ht="12.75">
      <c r="C65" s="165"/>
      <c r="D65" s="165"/>
      <c r="E65" s="165"/>
      <c r="F65" s="165"/>
      <c r="G65" s="165"/>
      <c r="H65" s="165"/>
    </row>
    <row r="66" spans="3:8" ht="12.75">
      <c r="C66" s="165"/>
      <c r="D66" s="165"/>
      <c r="E66" s="165"/>
      <c r="F66" s="165"/>
      <c r="G66" s="165"/>
      <c r="H66" s="165"/>
    </row>
    <row r="67" spans="3:8" ht="12.75">
      <c r="C67" s="165"/>
      <c r="D67" s="165"/>
      <c r="E67" s="165"/>
      <c r="F67" s="165"/>
      <c r="G67" s="165"/>
      <c r="H67" s="165"/>
    </row>
    <row r="68" spans="3:8" ht="12.75">
      <c r="C68" s="165"/>
      <c r="D68" s="165"/>
      <c r="E68" s="165"/>
      <c r="F68" s="165"/>
      <c r="G68" s="165"/>
      <c r="H68" s="165"/>
    </row>
    <row r="69" spans="3:8" ht="12.75">
      <c r="C69" s="165"/>
      <c r="D69" s="165"/>
      <c r="E69" s="165"/>
      <c r="F69" s="165"/>
      <c r="G69" s="165"/>
      <c r="H69" s="165"/>
    </row>
    <row r="70" spans="3:8" ht="12.75">
      <c r="C70" s="165"/>
      <c r="D70" s="165"/>
      <c r="E70" s="165"/>
      <c r="F70" s="165"/>
      <c r="G70" s="165"/>
      <c r="H70" s="165"/>
    </row>
    <row r="71" spans="3:8" ht="12.75">
      <c r="C71" s="165"/>
      <c r="D71" s="165"/>
      <c r="E71" s="165"/>
      <c r="F71" s="165"/>
      <c r="G71" s="165"/>
      <c r="H71" s="165"/>
    </row>
    <row r="72" spans="3:8" ht="12.75">
      <c r="C72" s="165"/>
      <c r="D72" s="165"/>
      <c r="E72" s="165"/>
      <c r="F72" s="165"/>
      <c r="G72" s="165"/>
      <c r="H72" s="165"/>
    </row>
    <row r="73" spans="3:8" ht="12.75">
      <c r="C73" s="165"/>
      <c r="D73" s="165"/>
      <c r="E73" s="165"/>
      <c r="F73" s="165"/>
      <c r="G73" s="165"/>
      <c r="H73" s="165"/>
    </row>
    <row r="74" spans="3:8" ht="12.75">
      <c r="C74" s="165"/>
      <c r="D74" s="165"/>
      <c r="E74" s="165"/>
      <c r="F74" s="165"/>
      <c r="G74" s="165"/>
      <c r="H74" s="165"/>
    </row>
    <row r="75" spans="3:8" ht="12.75">
      <c r="C75" s="165"/>
      <c r="D75" s="165"/>
      <c r="E75" s="165"/>
      <c r="F75" s="165"/>
      <c r="G75" s="165"/>
      <c r="H75" s="165"/>
    </row>
    <row r="76" spans="3:8" ht="12.75">
      <c r="C76" s="165"/>
      <c r="D76" s="165"/>
      <c r="E76" s="165"/>
      <c r="F76" s="165"/>
      <c r="G76" s="165"/>
      <c r="H76" s="165"/>
    </row>
    <row r="77" spans="3:8" ht="12.75">
      <c r="C77" s="165"/>
      <c r="D77" s="165"/>
      <c r="E77" s="165"/>
      <c r="F77" s="165"/>
      <c r="G77" s="165"/>
      <c r="H77" s="165"/>
    </row>
    <row r="78" spans="3:8" ht="12.75">
      <c r="C78" s="165"/>
      <c r="D78" s="165"/>
      <c r="E78" s="165"/>
      <c r="F78" s="165"/>
      <c r="G78" s="165"/>
      <c r="H78" s="165"/>
    </row>
    <row r="79" spans="3:8" ht="12.75">
      <c r="C79" s="165"/>
      <c r="D79" s="165"/>
      <c r="E79" s="165"/>
      <c r="F79" s="165"/>
      <c r="G79" s="165"/>
      <c r="H79" s="165"/>
    </row>
    <row r="80" spans="3:8" ht="12.75">
      <c r="C80" s="165"/>
      <c r="D80" s="165"/>
      <c r="E80" s="165"/>
      <c r="F80" s="165"/>
      <c r="G80" s="165"/>
      <c r="H80" s="165"/>
    </row>
    <row r="81" spans="3:8" ht="12.75">
      <c r="C81" s="165"/>
      <c r="D81" s="165"/>
      <c r="E81" s="165"/>
      <c r="F81" s="165"/>
      <c r="G81" s="165"/>
      <c r="H81" s="165"/>
    </row>
    <row r="82" spans="3:8" ht="12.75">
      <c r="C82" s="165"/>
      <c r="D82" s="165"/>
      <c r="E82" s="165"/>
      <c r="F82" s="165"/>
      <c r="G82" s="165"/>
      <c r="H82" s="165"/>
    </row>
    <row r="83" spans="3:8" ht="12.75">
      <c r="C83" s="165"/>
      <c r="D83" s="165"/>
      <c r="E83" s="165"/>
      <c r="F83" s="165"/>
      <c r="G83" s="165"/>
      <c r="H83" s="165"/>
    </row>
    <row r="84" spans="3:8" ht="12.75">
      <c r="C84" s="165"/>
      <c r="D84" s="165"/>
      <c r="E84" s="165"/>
      <c r="F84" s="165"/>
      <c r="G84" s="165"/>
      <c r="H84" s="165"/>
    </row>
    <row r="85" spans="3:8" ht="12.75">
      <c r="C85" s="165"/>
      <c r="D85" s="165"/>
      <c r="E85" s="165"/>
      <c r="F85" s="165"/>
      <c r="G85" s="165"/>
      <c r="H85" s="165"/>
    </row>
    <row r="86" spans="3:8" ht="12.75">
      <c r="C86" s="165"/>
      <c r="D86" s="165"/>
      <c r="E86" s="165"/>
      <c r="F86" s="165"/>
      <c r="G86" s="165"/>
      <c r="H86" s="165"/>
    </row>
    <row r="87" spans="3:8" ht="12.75">
      <c r="C87" s="165"/>
      <c r="D87" s="165"/>
      <c r="E87" s="165"/>
      <c r="F87" s="165"/>
      <c r="G87" s="165"/>
      <c r="H87" s="165"/>
    </row>
    <row r="88" spans="3:8" ht="12.75">
      <c r="C88" s="165"/>
      <c r="D88" s="165"/>
      <c r="E88" s="165"/>
      <c r="F88" s="165"/>
      <c r="G88" s="165"/>
      <c r="H88" s="165"/>
    </row>
    <row r="89" spans="3:8" ht="12.75">
      <c r="C89" s="165"/>
      <c r="D89" s="165"/>
      <c r="E89" s="165"/>
      <c r="F89" s="165"/>
      <c r="G89" s="165"/>
      <c r="H89" s="165"/>
    </row>
    <row r="90" spans="3:8" ht="12.75">
      <c r="C90" s="165"/>
      <c r="D90" s="165"/>
      <c r="E90" s="165"/>
      <c r="F90" s="165"/>
      <c r="G90" s="165"/>
      <c r="H90" s="165"/>
    </row>
    <row r="91" spans="3:8" ht="12.75">
      <c r="C91" s="165"/>
      <c r="D91" s="165"/>
      <c r="E91" s="165"/>
      <c r="F91" s="165"/>
      <c r="G91" s="165"/>
      <c r="H91" s="165"/>
    </row>
    <row r="92" spans="3:8" ht="12.75">
      <c r="C92" s="165"/>
      <c r="D92" s="165"/>
      <c r="E92" s="165"/>
      <c r="F92" s="165"/>
      <c r="G92" s="165"/>
      <c r="H92" s="165"/>
    </row>
    <row r="93" spans="3:8" ht="12.75">
      <c r="C93" s="165"/>
      <c r="D93" s="165"/>
      <c r="E93" s="165"/>
      <c r="F93" s="165"/>
      <c r="G93" s="165"/>
      <c r="H93" s="165"/>
    </row>
    <row r="94" spans="3:8" ht="12.75">
      <c r="C94" s="165"/>
      <c r="D94" s="165"/>
      <c r="E94" s="165"/>
      <c r="F94" s="165"/>
      <c r="G94" s="165"/>
      <c r="H94" s="165"/>
    </row>
    <row r="95" spans="3:8" ht="12.75">
      <c r="C95" s="165"/>
      <c r="D95" s="165"/>
      <c r="E95" s="165"/>
      <c r="F95" s="165"/>
      <c r="G95" s="165"/>
      <c r="H95" s="165"/>
    </row>
    <row r="96" spans="3:8" ht="12.75">
      <c r="C96" s="165"/>
      <c r="D96" s="165"/>
      <c r="E96" s="165"/>
      <c r="F96" s="165"/>
      <c r="G96" s="165"/>
      <c r="H96" s="165"/>
    </row>
    <row r="97" spans="3:8" ht="12.75">
      <c r="C97" s="165"/>
      <c r="D97" s="165"/>
      <c r="E97" s="165"/>
      <c r="F97" s="165"/>
      <c r="G97" s="165"/>
      <c r="H97" s="165"/>
    </row>
    <row r="98" spans="3:8" ht="12.75">
      <c r="C98" s="165"/>
      <c r="D98" s="165"/>
      <c r="E98" s="165"/>
      <c r="F98" s="165"/>
      <c r="G98" s="165"/>
      <c r="H98" s="165"/>
    </row>
    <row r="99" spans="3:8" ht="12.75">
      <c r="C99" s="165"/>
      <c r="D99" s="165"/>
      <c r="E99" s="165"/>
      <c r="F99" s="165"/>
      <c r="G99" s="165"/>
      <c r="H99" s="165"/>
    </row>
    <row r="100" spans="3:8" ht="12.75">
      <c r="C100" s="165"/>
      <c r="D100" s="165"/>
      <c r="E100" s="165"/>
      <c r="F100" s="165"/>
      <c r="G100" s="165"/>
      <c r="H100" s="165"/>
    </row>
    <row r="101" spans="3:8" ht="12.75">
      <c r="C101" s="165"/>
      <c r="D101" s="165"/>
      <c r="E101" s="165"/>
      <c r="F101" s="165"/>
      <c r="G101" s="165"/>
      <c r="H101" s="165"/>
    </row>
    <row r="102" spans="3:8" ht="12.75">
      <c r="C102" s="165"/>
      <c r="D102" s="165"/>
      <c r="E102" s="165"/>
      <c r="F102" s="165"/>
      <c r="G102" s="165"/>
      <c r="H102" s="165"/>
    </row>
    <row r="103" spans="3:8" ht="12.75">
      <c r="C103" s="165"/>
      <c r="D103" s="165"/>
      <c r="E103" s="165"/>
      <c r="F103" s="165"/>
      <c r="G103" s="165"/>
      <c r="H103" s="165"/>
    </row>
    <row r="104" spans="3:8" ht="12.75">
      <c r="C104" s="165"/>
      <c r="D104" s="165"/>
      <c r="E104" s="165"/>
      <c r="F104" s="165"/>
      <c r="G104" s="165"/>
      <c r="H104" s="165"/>
    </row>
    <row r="105" spans="3:8" ht="12.75">
      <c r="C105" s="165"/>
      <c r="D105" s="165"/>
      <c r="E105" s="165"/>
      <c r="F105" s="165"/>
      <c r="G105" s="165"/>
      <c r="H105" s="165"/>
    </row>
    <row r="106" spans="3:8" ht="12.75">
      <c r="C106" s="165"/>
      <c r="D106" s="165"/>
      <c r="E106" s="165"/>
      <c r="F106" s="165"/>
      <c r="G106" s="165"/>
      <c r="H106" s="165"/>
    </row>
    <row r="107" spans="3:8" ht="12.75">
      <c r="C107" s="165"/>
      <c r="D107" s="165"/>
      <c r="E107" s="165"/>
      <c r="F107" s="165"/>
      <c r="G107" s="165"/>
      <c r="H107" s="165"/>
    </row>
    <row r="108" spans="3:8" ht="12.75">
      <c r="C108" s="165"/>
      <c r="D108" s="165"/>
      <c r="E108" s="165"/>
      <c r="F108" s="165"/>
      <c r="G108" s="165"/>
      <c r="H108" s="165"/>
    </row>
    <row r="109" spans="3:8" ht="12.75">
      <c r="C109" s="165"/>
      <c r="D109" s="165"/>
      <c r="E109" s="165"/>
      <c r="F109" s="165"/>
      <c r="G109" s="165"/>
      <c r="H109" s="165"/>
    </row>
    <row r="110" spans="3:8" ht="12.75">
      <c r="C110" s="165"/>
      <c r="D110" s="165"/>
      <c r="E110" s="165"/>
      <c r="F110" s="165"/>
      <c r="G110" s="165"/>
      <c r="H110" s="165"/>
    </row>
    <row r="111" spans="3:8" ht="12.75">
      <c r="C111" s="165"/>
      <c r="D111" s="165"/>
      <c r="E111" s="165"/>
      <c r="F111" s="165"/>
      <c r="G111" s="165"/>
      <c r="H111" s="165"/>
    </row>
    <row r="112" spans="3:8" ht="12.75">
      <c r="C112" s="165"/>
      <c r="D112" s="165"/>
      <c r="E112" s="165"/>
      <c r="F112" s="165"/>
      <c r="G112" s="165"/>
      <c r="H112" s="165"/>
    </row>
    <row r="113" spans="3:8" ht="12.75">
      <c r="C113" s="165"/>
      <c r="D113" s="165"/>
      <c r="E113" s="165"/>
      <c r="F113" s="165"/>
      <c r="G113" s="165"/>
      <c r="H113" s="165"/>
    </row>
    <row r="114" spans="3:8" ht="12.75">
      <c r="C114" s="165"/>
      <c r="D114" s="165"/>
      <c r="E114" s="165"/>
      <c r="F114" s="165"/>
      <c r="G114" s="165"/>
      <c r="H114" s="165"/>
    </row>
    <row r="115" spans="3:8" ht="12.75">
      <c r="C115" s="165"/>
      <c r="D115" s="165"/>
      <c r="E115" s="165"/>
      <c r="F115" s="165"/>
      <c r="G115" s="165"/>
      <c r="H115" s="165"/>
    </row>
    <row r="116" spans="3:8" ht="12.75">
      <c r="C116" s="165"/>
      <c r="D116" s="165"/>
      <c r="E116" s="165"/>
      <c r="F116" s="165"/>
      <c r="G116" s="165"/>
      <c r="H116" s="165"/>
    </row>
    <row r="117" spans="3:8" ht="12.75">
      <c r="C117" s="165"/>
      <c r="D117" s="165"/>
      <c r="E117" s="165"/>
      <c r="F117" s="165"/>
      <c r="G117" s="165"/>
      <c r="H117" s="165"/>
    </row>
    <row r="118" spans="3:8" ht="12.75">
      <c r="C118" s="165"/>
      <c r="D118" s="165"/>
      <c r="E118" s="165"/>
      <c r="F118" s="165"/>
      <c r="G118" s="165"/>
      <c r="H118" s="165"/>
    </row>
    <row r="119" spans="3:8" ht="12.75">
      <c r="C119" s="165"/>
      <c r="D119" s="165"/>
      <c r="E119" s="165"/>
      <c r="F119" s="165"/>
      <c r="G119" s="165"/>
      <c r="H119" s="165"/>
    </row>
    <row r="120" spans="3:8" ht="12.75">
      <c r="C120" s="165"/>
      <c r="D120" s="165"/>
      <c r="E120" s="165"/>
      <c r="F120" s="165"/>
      <c r="G120" s="165"/>
      <c r="H120" s="165"/>
    </row>
    <row r="121" spans="3:8" ht="12.75">
      <c r="C121" s="165"/>
      <c r="D121" s="165"/>
      <c r="E121" s="165"/>
      <c r="F121" s="165"/>
      <c r="G121" s="165"/>
      <c r="H121" s="165"/>
    </row>
    <row r="122" spans="3:8" ht="12.75">
      <c r="C122" s="165"/>
      <c r="D122" s="165"/>
      <c r="E122" s="165"/>
      <c r="F122" s="165"/>
      <c r="G122" s="165"/>
      <c r="H122" s="165"/>
    </row>
    <row r="123" spans="3:8" ht="12.75">
      <c r="C123" s="165"/>
      <c r="D123" s="165"/>
      <c r="E123" s="165"/>
      <c r="F123" s="165"/>
      <c r="G123" s="165"/>
      <c r="H123" s="165"/>
    </row>
    <row r="124" spans="3:8" ht="12.75">
      <c r="C124" s="165"/>
      <c r="D124" s="165"/>
      <c r="E124" s="165"/>
      <c r="F124" s="165"/>
      <c r="G124" s="165"/>
      <c r="H124" s="165"/>
    </row>
    <row r="125" spans="3:8" ht="12.75">
      <c r="C125" s="165"/>
      <c r="D125" s="165"/>
      <c r="E125" s="165"/>
      <c r="F125" s="165"/>
      <c r="G125" s="165"/>
      <c r="H125" s="165"/>
    </row>
    <row r="126" spans="3:8" ht="12.75">
      <c r="C126" s="165"/>
      <c r="D126" s="165"/>
      <c r="E126" s="165"/>
      <c r="F126" s="165"/>
      <c r="G126" s="165"/>
      <c r="H126" s="165"/>
    </row>
    <row r="127" spans="3:8" ht="12.75">
      <c r="C127" s="165"/>
      <c r="D127" s="165"/>
      <c r="E127" s="165"/>
      <c r="F127" s="165"/>
      <c r="G127" s="165"/>
      <c r="H127" s="165"/>
    </row>
    <row r="128" spans="3:8" ht="12.75">
      <c r="C128" s="165"/>
      <c r="D128" s="165"/>
      <c r="E128" s="165"/>
      <c r="F128" s="165"/>
      <c r="G128" s="165"/>
      <c r="H128" s="165"/>
    </row>
    <row r="129" spans="3:8" ht="12.75">
      <c r="C129" s="165"/>
      <c r="D129" s="165"/>
      <c r="E129" s="165"/>
      <c r="F129" s="165"/>
      <c r="G129" s="165"/>
      <c r="H129" s="165"/>
    </row>
    <row r="130" spans="3:8" ht="12.75">
      <c r="C130" s="165"/>
      <c r="D130" s="165"/>
      <c r="E130" s="165"/>
      <c r="F130" s="165"/>
      <c r="G130" s="165"/>
      <c r="H130" s="165"/>
    </row>
    <row r="131" spans="3:8" ht="12.75">
      <c r="C131" s="165"/>
      <c r="D131" s="165"/>
      <c r="E131" s="165"/>
      <c r="F131" s="165"/>
      <c r="G131" s="165"/>
      <c r="H131" s="165"/>
    </row>
    <row r="132" spans="3:8" ht="12.75">
      <c r="C132" s="165"/>
      <c r="D132" s="165"/>
      <c r="E132" s="165"/>
      <c r="F132" s="165"/>
      <c r="G132" s="165"/>
      <c r="H132" s="165"/>
    </row>
    <row r="133" spans="3:8" ht="12.75">
      <c r="C133" s="165"/>
      <c r="D133" s="165"/>
      <c r="E133" s="165"/>
      <c r="F133" s="165"/>
      <c r="G133" s="165"/>
      <c r="H133" s="165"/>
    </row>
    <row r="134" spans="3:8" ht="12.75">
      <c r="C134" s="165"/>
      <c r="D134" s="165"/>
      <c r="E134" s="165"/>
      <c r="F134" s="165"/>
      <c r="G134" s="165"/>
      <c r="H134" s="165"/>
    </row>
    <row r="135" spans="3:8" ht="12.75">
      <c r="C135" s="165"/>
      <c r="D135" s="165"/>
      <c r="E135" s="165"/>
      <c r="F135" s="165"/>
      <c r="G135" s="165"/>
      <c r="H135" s="165"/>
    </row>
    <row r="136" spans="3:8" ht="12.75">
      <c r="C136" s="165"/>
      <c r="D136" s="165"/>
      <c r="E136" s="165"/>
      <c r="F136" s="165"/>
      <c r="G136" s="165"/>
      <c r="H136" s="165"/>
    </row>
    <row r="137" spans="3:8" ht="12.75">
      <c r="C137" s="165"/>
      <c r="D137" s="165"/>
      <c r="E137" s="165"/>
      <c r="F137" s="165"/>
      <c r="G137" s="165"/>
      <c r="H137" s="165"/>
    </row>
    <row r="138" spans="3:8" ht="12.75">
      <c r="C138" s="165"/>
      <c r="D138" s="165"/>
      <c r="E138" s="165"/>
      <c r="F138" s="165"/>
      <c r="G138" s="165"/>
      <c r="H138" s="165"/>
    </row>
    <row r="139" spans="3:8" ht="12.75">
      <c r="C139" s="165"/>
      <c r="D139" s="165"/>
      <c r="E139" s="165"/>
      <c r="F139" s="165"/>
      <c r="G139" s="165"/>
      <c r="H139" s="165"/>
    </row>
    <row r="140" spans="3:8" ht="12.75">
      <c r="C140" s="165"/>
      <c r="D140" s="165"/>
      <c r="E140" s="165"/>
      <c r="F140" s="165"/>
      <c r="G140" s="165"/>
      <c r="H140" s="165"/>
    </row>
    <row r="141" spans="3:8" ht="12.75">
      <c r="C141" s="165"/>
      <c r="D141" s="165"/>
      <c r="E141" s="165"/>
      <c r="F141" s="165"/>
      <c r="G141" s="165"/>
      <c r="H141" s="165"/>
    </row>
    <row r="142" spans="3:8" ht="12.75">
      <c r="C142" s="165"/>
      <c r="D142" s="165"/>
      <c r="E142" s="165"/>
      <c r="F142" s="165"/>
      <c r="G142" s="165"/>
      <c r="H142" s="165"/>
    </row>
    <row r="143" spans="3:8" ht="12.75">
      <c r="C143" s="165"/>
      <c r="D143" s="165"/>
      <c r="E143" s="165"/>
      <c r="F143" s="165"/>
      <c r="G143" s="165"/>
      <c r="H143" s="165"/>
    </row>
    <row r="144" spans="3:8" ht="12.75">
      <c r="C144" s="165"/>
      <c r="D144" s="165"/>
      <c r="E144" s="165"/>
      <c r="F144" s="165"/>
      <c r="G144" s="165"/>
      <c r="H144" s="165"/>
    </row>
    <row r="145" spans="3:8" ht="12.75">
      <c r="C145" s="165"/>
      <c r="D145" s="165"/>
      <c r="E145" s="165"/>
      <c r="F145" s="165"/>
      <c r="G145" s="165"/>
      <c r="H145" s="165"/>
    </row>
    <row r="146" spans="3:8" ht="12.75">
      <c r="C146" s="165"/>
      <c r="D146" s="165"/>
      <c r="E146" s="165"/>
      <c r="F146" s="165"/>
      <c r="G146" s="165"/>
      <c r="H146" s="165"/>
    </row>
    <row r="147" spans="3:8" ht="12.75">
      <c r="C147" s="165"/>
      <c r="D147" s="165"/>
      <c r="E147" s="165"/>
      <c r="F147" s="165"/>
      <c r="G147" s="165"/>
      <c r="H147" s="165"/>
    </row>
    <row r="148" spans="3:8" ht="12.75">
      <c r="C148" s="165"/>
      <c r="D148" s="165"/>
      <c r="E148" s="165"/>
      <c r="F148" s="165"/>
      <c r="G148" s="165"/>
      <c r="H148" s="165"/>
    </row>
    <row r="149" spans="3:8" ht="12.75">
      <c r="C149" s="165"/>
      <c r="D149" s="165"/>
      <c r="E149" s="165"/>
      <c r="F149" s="165"/>
      <c r="G149" s="165"/>
      <c r="H149" s="165"/>
    </row>
    <row r="150" spans="3:8" ht="12.75">
      <c r="C150" s="165"/>
      <c r="D150" s="165"/>
      <c r="E150" s="165"/>
      <c r="F150" s="165"/>
      <c r="G150" s="165"/>
      <c r="H150" s="165"/>
    </row>
    <row r="151" spans="3:8" ht="12.75">
      <c r="C151" s="165"/>
      <c r="D151" s="165"/>
      <c r="E151" s="165"/>
      <c r="F151" s="165"/>
      <c r="G151" s="165"/>
      <c r="H151" s="165"/>
    </row>
    <row r="152" spans="3:8" ht="12.75">
      <c r="C152" s="165"/>
      <c r="D152" s="165"/>
      <c r="E152" s="165"/>
      <c r="F152" s="165"/>
      <c r="G152" s="165"/>
      <c r="H152" s="165"/>
    </row>
    <row r="153" spans="3:8" ht="12.75">
      <c r="C153" s="165"/>
      <c r="D153" s="165"/>
      <c r="E153" s="165"/>
      <c r="F153" s="165"/>
      <c r="G153" s="165"/>
      <c r="H153" s="165"/>
    </row>
    <row r="154" spans="3:8" ht="12.75">
      <c r="C154" s="165"/>
      <c r="D154" s="165"/>
      <c r="E154" s="165"/>
      <c r="F154" s="165"/>
      <c r="G154" s="165"/>
      <c r="H154" s="165"/>
    </row>
    <row r="155" spans="3:8" ht="12.75">
      <c r="C155" s="165"/>
      <c r="D155" s="165"/>
      <c r="E155" s="165"/>
      <c r="F155" s="165"/>
      <c r="G155" s="165"/>
      <c r="H155" s="165"/>
    </row>
    <row r="156" spans="3:8" ht="12.75">
      <c r="C156" s="165"/>
      <c r="D156" s="165"/>
      <c r="E156" s="165"/>
      <c r="F156" s="165"/>
      <c r="G156" s="165"/>
      <c r="H156" s="165"/>
    </row>
    <row r="157" spans="3:8" ht="12.75">
      <c r="C157" s="165"/>
      <c r="D157" s="165"/>
      <c r="E157" s="165"/>
      <c r="F157" s="165"/>
      <c r="G157" s="165"/>
      <c r="H157" s="165"/>
    </row>
    <row r="158" spans="3:8" ht="12.75">
      <c r="C158" s="165"/>
      <c r="D158" s="165"/>
      <c r="E158" s="165"/>
      <c r="F158" s="165"/>
      <c r="G158" s="165"/>
      <c r="H158" s="165"/>
    </row>
    <row r="159" spans="3:8" ht="12.75">
      <c r="C159" s="165"/>
      <c r="D159" s="165"/>
      <c r="E159" s="165"/>
      <c r="F159" s="165"/>
      <c r="G159" s="165"/>
      <c r="H159" s="165"/>
    </row>
    <row r="160" spans="3:8" ht="12.75">
      <c r="C160" s="165"/>
      <c r="D160" s="165"/>
      <c r="E160" s="165"/>
      <c r="F160" s="165"/>
      <c r="G160" s="165"/>
      <c r="H160" s="165"/>
    </row>
    <row r="161" spans="3:8" ht="12.75">
      <c r="C161" s="165"/>
      <c r="D161" s="165"/>
      <c r="E161" s="165"/>
      <c r="F161" s="165"/>
      <c r="G161" s="165"/>
      <c r="H161" s="165"/>
    </row>
    <row r="162" spans="3:8" ht="12.75">
      <c r="C162" s="165"/>
      <c r="D162" s="165"/>
      <c r="E162" s="165"/>
      <c r="F162" s="165"/>
      <c r="G162" s="165"/>
      <c r="H162" s="165"/>
    </row>
    <row r="163" spans="3:8" ht="12.75">
      <c r="C163" s="165"/>
      <c r="D163" s="165"/>
      <c r="E163" s="165"/>
      <c r="F163" s="165"/>
      <c r="G163" s="165"/>
      <c r="H163" s="165"/>
    </row>
    <row r="164" spans="3:8" ht="12.75">
      <c r="C164" s="165"/>
      <c r="D164" s="165"/>
      <c r="E164" s="165"/>
      <c r="F164" s="165"/>
      <c r="G164" s="165"/>
      <c r="H164" s="165"/>
    </row>
    <row r="165" spans="3:8" ht="12.75">
      <c r="C165" s="165"/>
      <c r="D165" s="165"/>
      <c r="E165" s="165"/>
      <c r="F165" s="165"/>
      <c r="G165" s="165"/>
      <c r="H165" s="165"/>
    </row>
    <row r="166" spans="3:8" ht="12.75">
      <c r="C166" s="165"/>
      <c r="D166" s="165"/>
      <c r="E166" s="165"/>
      <c r="F166" s="165"/>
      <c r="G166" s="165"/>
      <c r="H166" s="165"/>
    </row>
    <row r="167" spans="3:8" ht="12.75">
      <c r="C167" s="165"/>
      <c r="D167" s="165"/>
      <c r="E167" s="165"/>
      <c r="F167" s="165"/>
      <c r="G167" s="165"/>
      <c r="H167" s="165"/>
    </row>
    <row r="168" spans="3:8" ht="12.75">
      <c r="C168" s="165"/>
      <c r="D168" s="165"/>
      <c r="E168" s="165"/>
      <c r="F168" s="165"/>
      <c r="G168" s="165"/>
      <c r="H168" s="165"/>
    </row>
    <row r="169" spans="3:8" ht="12.75">
      <c r="C169" s="165"/>
      <c r="D169" s="165"/>
      <c r="E169" s="165"/>
      <c r="F169" s="165"/>
      <c r="G169" s="165"/>
      <c r="H169" s="165"/>
    </row>
    <row r="170" spans="3:8" ht="12.75">
      <c r="C170" s="165"/>
      <c r="D170" s="165"/>
      <c r="E170" s="165"/>
      <c r="F170" s="165"/>
      <c r="G170" s="165"/>
      <c r="H170" s="165"/>
    </row>
    <row r="171" spans="3:8" ht="12.75">
      <c r="C171" s="165"/>
      <c r="D171" s="165"/>
      <c r="E171" s="165"/>
      <c r="F171" s="165"/>
      <c r="G171" s="165"/>
      <c r="H171" s="165"/>
    </row>
    <row r="172" spans="3:8" ht="12.75">
      <c r="C172" s="165"/>
      <c r="D172" s="165"/>
      <c r="E172" s="165"/>
      <c r="F172" s="165"/>
      <c r="G172" s="165"/>
      <c r="H172" s="165"/>
    </row>
    <row r="173" spans="3:8" ht="12.75">
      <c r="C173" s="165"/>
      <c r="D173" s="165"/>
      <c r="E173" s="165"/>
      <c r="F173" s="165"/>
      <c r="G173" s="165"/>
      <c r="H173" s="165"/>
    </row>
    <row r="174" spans="3:8" ht="12.75">
      <c r="C174" s="165"/>
      <c r="D174" s="165"/>
      <c r="E174" s="165"/>
      <c r="F174" s="165"/>
      <c r="G174" s="165"/>
      <c r="H174" s="165"/>
    </row>
    <row r="175" spans="3:8" ht="12.75">
      <c r="C175" s="165"/>
      <c r="D175" s="165"/>
      <c r="E175" s="165"/>
      <c r="F175" s="165"/>
      <c r="G175" s="165"/>
      <c r="H175" s="165"/>
    </row>
    <row r="176" spans="3:8" ht="12.75">
      <c r="C176" s="165"/>
      <c r="D176" s="165"/>
      <c r="E176" s="165"/>
      <c r="F176" s="165"/>
      <c r="G176" s="165"/>
      <c r="H176" s="165"/>
    </row>
    <row r="177" spans="3:8" ht="12.75">
      <c r="C177" s="165"/>
      <c r="D177" s="165"/>
      <c r="E177" s="165"/>
      <c r="F177" s="165"/>
      <c r="G177" s="165"/>
      <c r="H177" s="165"/>
    </row>
    <row r="178" spans="3:8" ht="12.75">
      <c r="C178" s="165"/>
      <c r="D178" s="165"/>
      <c r="E178" s="165"/>
      <c r="F178" s="165"/>
      <c r="G178" s="165"/>
      <c r="H178" s="165"/>
    </row>
    <row r="179" spans="3:8" ht="12.75">
      <c r="C179" s="165"/>
      <c r="D179" s="165"/>
      <c r="E179" s="165"/>
      <c r="F179" s="165"/>
      <c r="G179" s="165"/>
      <c r="H179" s="165"/>
    </row>
    <row r="180" spans="3:8" ht="12.75">
      <c r="C180" s="165"/>
      <c r="D180" s="165"/>
      <c r="E180" s="165"/>
      <c r="F180" s="165"/>
      <c r="G180" s="165"/>
      <c r="H180" s="165"/>
    </row>
    <row r="181" spans="3:8" ht="12.75">
      <c r="C181" s="165"/>
      <c r="D181" s="165"/>
      <c r="E181" s="165"/>
      <c r="F181" s="165"/>
      <c r="G181" s="165"/>
      <c r="H181" s="165"/>
    </row>
    <row r="182" spans="3:8" ht="12.75">
      <c r="C182" s="165"/>
      <c r="D182" s="165"/>
      <c r="E182" s="165"/>
      <c r="F182" s="165"/>
      <c r="G182" s="165"/>
      <c r="H182" s="165"/>
    </row>
    <row r="183" spans="3:8" ht="12.75">
      <c r="C183" s="165"/>
      <c r="D183" s="165"/>
      <c r="E183" s="165"/>
      <c r="F183" s="165"/>
      <c r="G183" s="165"/>
      <c r="H183" s="165"/>
    </row>
    <row r="184" spans="3:8" ht="12.75">
      <c r="C184" s="165"/>
      <c r="D184" s="165"/>
      <c r="E184" s="165"/>
      <c r="F184" s="165"/>
      <c r="G184" s="165"/>
      <c r="H184" s="165"/>
    </row>
    <row r="185" spans="3:8" ht="12.75">
      <c r="C185" s="165"/>
      <c r="D185" s="165"/>
      <c r="E185" s="165"/>
      <c r="F185" s="165"/>
      <c r="G185" s="165"/>
      <c r="H185" s="165"/>
    </row>
    <row r="186" spans="3:8" ht="12.75">
      <c r="C186" s="165"/>
      <c r="D186" s="165"/>
      <c r="E186" s="165"/>
      <c r="F186" s="165"/>
      <c r="G186" s="165"/>
      <c r="H186" s="165"/>
    </row>
    <row r="187" spans="3:8" ht="12.75">
      <c r="C187" s="165"/>
      <c r="D187" s="165"/>
      <c r="E187" s="165"/>
      <c r="F187" s="165"/>
      <c r="G187" s="165"/>
      <c r="H187" s="165"/>
    </row>
    <row r="188" spans="3:8" ht="12.75">
      <c r="C188" s="165"/>
      <c r="D188" s="165"/>
      <c r="E188" s="165"/>
      <c r="F188" s="165"/>
      <c r="G188" s="165"/>
      <c r="H188" s="165"/>
    </row>
    <row r="189" spans="3:8" ht="12.75">
      <c r="C189" s="165"/>
      <c r="D189" s="165"/>
      <c r="E189" s="165"/>
      <c r="F189" s="165"/>
      <c r="G189" s="165"/>
      <c r="H189" s="165"/>
    </row>
    <row r="190" spans="3:8" ht="12.75">
      <c r="C190" s="165"/>
      <c r="D190" s="165"/>
      <c r="E190" s="165"/>
      <c r="F190" s="165"/>
      <c r="G190" s="165"/>
      <c r="H190" s="165"/>
    </row>
    <row r="191" spans="3:8" ht="12.75">
      <c r="C191" s="165"/>
      <c r="D191" s="165"/>
      <c r="E191" s="165"/>
      <c r="F191" s="165"/>
      <c r="G191" s="165"/>
      <c r="H191" s="165"/>
    </row>
    <row r="192" spans="3:8" ht="12.75">
      <c r="C192" s="165"/>
      <c r="D192" s="165"/>
      <c r="E192" s="165"/>
      <c r="F192" s="165"/>
      <c r="G192" s="165"/>
      <c r="H192" s="165"/>
    </row>
    <row r="193" spans="3:8" ht="12.75">
      <c r="C193" s="165"/>
      <c r="D193" s="165"/>
      <c r="E193" s="165"/>
      <c r="F193" s="165"/>
      <c r="G193" s="165"/>
      <c r="H193" s="165"/>
    </row>
    <row r="194" spans="3:8" ht="12.75">
      <c r="C194" s="165"/>
      <c r="D194" s="165"/>
      <c r="E194" s="165"/>
      <c r="F194" s="165"/>
      <c r="G194" s="165"/>
      <c r="H194" s="165"/>
    </row>
    <row r="195" spans="3:8" ht="12.75">
      <c r="C195" s="165"/>
      <c r="D195" s="165"/>
      <c r="E195" s="165"/>
      <c r="F195" s="165"/>
      <c r="G195" s="165"/>
      <c r="H195" s="165"/>
    </row>
    <row r="196" spans="3:8" ht="12.75">
      <c r="C196" s="165"/>
      <c r="D196" s="165"/>
      <c r="E196" s="165"/>
      <c r="F196" s="165"/>
      <c r="G196" s="165"/>
      <c r="H196" s="165"/>
    </row>
    <row r="197" spans="3:8" ht="12.75">
      <c r="C197" s="165"/>
      <c r="D197" s="165"/>
      <c r="E197" s="165"/>
      <c r="F197" s="165"/>
      <c r="G197" s="165"/>
      <c r="H197" s="165"/>
    </row>
    <row r="198" spans="3:8" ht="12.75">
      <c r="C198" s="165"/>
      <c r="D198" s="165"/>
      <c r="E198" s="165"/>
      <c r="F198" s="165"/>
      <c r="G198" s="165"/>
      <c r="H198" s="165"/>
    </row>
    <row r="199" spans="3:8" ht="12.75">
      <c r="C199" s="165"/>
      <c r="D199" s="165"/>
      <c r="E199" s="165"/>
      <c r="F199" s="165"/>
      <c r="G199" s="165"/>
      <c r="H199" s="165"/>
    </row>
    <row r="200" spans="3:8" ht="12.75">
      <c r="C200" s="165"/>
      <c r="D200" s="165"/>
      <c r="E200" s="165"/>
      <c r="F200" s="165"/>
      <c r="G200" s="165"/>
      <c r="H200" s="165"/>
    </row>
    <row r="201" spans="3:8" ht="12.75">
      <c r="C201" s="165"/>
      <c r="D201" s="165"/>
      <c r="E201" s="165"/>
      <c r="F201" s="165"/>
      <c r="G201" s="165"/>
      <c r="H201" s="165"/>
    </row>
    <row r="202" spans="3:8" ht="12.75">
      <c r="C202" s="165"/>
      <c r="D202" s="165"/>
      <c r="E202" s="165"/>
      <c r="F202" s="165"/>
      <c r="G202" s="165"/>
      <c r="H202" s="165"/>
    </row>
  </sheetData>
  <printOptions/>
  <pageMargins left="0.25" right="0.25" top="0.75" bottom="0.75" header="0.3" footer="0.3"/>
  <pageSetup fitToHeight="1" fitToWidth="1" horizontalDpi="600" verticalDpi="600" orientation="portrait" scale="4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2:AC153"/>
  <sheetViews>
    <sheetView zoomScale="98" zoomScaleNormal="98" workbookViewId="0" topLeftCell="A72">
      <selection activeCell="C81" sqref="C81:D81"/>
    </sheetView>
  </sheetViews>
  <sheetFormatPr defaultColWidth="9.140625" defaultRowHeight="12.75"/>
  <cols>
    <col min="1" max="1" width="5.140625" style="226" customWidth="1"/>
    <col min="2" max="2" width="39.421875" style="0" customWidth="1"/>
    <col min="3" max="3" width="12.28125" style="0" bestFit="1" customWidth="1"/>
    <col min="4" max="4" width="11.57421875" style="0" bestFit="1" customWidth="1"/>
    <col min="5" max="5" width="13.140625" style="0" customWidth="1"/>
    <col min="6" max="9" width="11.57421875" style="0" bestFit="1" customWidth="1"/>
    <col min="10" max="10" width="11.421875" style="0" customWidth="1"/>
    <col min="11" max="11" width="11.57421875" style="0" customWidth="1"/>
    <col min="12" max="13" width="11.8515625" style="0" customWidth="1"/>
    <col min="14" max="15" width="11.7109375" style="0" bestFit="1" customWidth="1"/>
    <col min="16" max="19" width="13.28125" style="0" bestFit="1" customWidth="1"/>
    <col min="20" max="20" width="10.28125" style="0" bestFit="1" customWidth="1"/>
    <col min="21" max="26" width="11.00390625" style="0" bestFit="1" customWidth="1"/>
  </cols>
  <sheetData>
    <row r="2" spans="2:8" ht="12.75">
      <c r="B2" s="11" t="s">
        <v>170</v>
      </c>
      <c r="C2" s="12"/>
      <c r="D2" s="12"/>
      <c r="E2" s="12"/>
      <c r="F2" s="12"/>
      <c r="G2" s="12"/>
      <c r="H2" s="12"/>
    </row>
    <row r="3" spans="2:8" ht="12.75">
      <c r="B3" s="11" t="s">
        <v>283</v>
      </c>
      <c r="C3" s="12"/>
      <c r="D3" s="12"/>
      <c r="E3" s="12"/>
      <c r="F3" s="12"/>
      <c r="G3" s="12"/>
      <c r="H3" s="12"/>
    </row>
    <row r="5" spans="3:8" ht="12.75">
      <c r="C5" s="13" t="s">
        <v>172</v>
      </c>
      <c r="D5" s="13" t="s">
        <v>173</v>
      </c>
      <c r="E5" s="13" t="s">
        <v>174</v>
      </c>
      <c r="F5" s="13" t="s">
        <v>175</v>
      </c>
      <c r="G5" s="13" t="s">
        <v>176</v>
      </c>
      <c r="H5" s="13" t="s">
        <v>177</v>
      </c>
    </row>
    <row r="6" spans="3:26" ht="12.75">
      <c r="C6" s="14">
        <v>2018</v>
      </c>
      <c r="D6" s="14">
        <f>+C6+1</f>
        <v>2019</v>
      </c>
      <c r="E6" s="14">
        <f aca="true" t="shared" si="0" ref="E6:Q6">+D6+1</f>
        <v>2020</v>
      </c>
      <c r="F6" s="14">
        <f t="shared" si="0"/>
        <v>2021</v>
      </c>
      <c r="G6" s="14">
        <f t="shared" si="0"/>
        <v>2022</v>
      </c>
      <c r="H6" s="14">
        <f t="shared" si="0"/>
        <v>2023</v>
      </c>
      <c r="I6" s="14">
        <f t="shared" si="0"/>
        <v>2024</v>
      </c>
      <c r="J6" s="14">
        <f t="shared" si="0"/>
        <v>2025</v>
      </c>
      <c r="K6" s="14">
        <f t="shared" si="0"/>
        <v>2026</v>
      </c>
      <c r="L6" s="14">
        <f t="shared" si="0"/>
        <v>2027</v>
      </c>
      <c r="M6" s="14">
        <f t="shared" si="0"/>
        <v>2028</v>
      </c>
      <c r="N6" s="14">
        <f t="shared" si="0"/>
        <v>2029</v>
      </c>
      <c r="O6" s="14">
        <f t="shared" si="0"/>
        <v>2030</v>
      </c>
      <c r="P6" s="14">
        <f t="shared" si="0"/>
        <v>2031</v>
      </c>
      <c r="Q6" s="14">
        <f t="shared" si="0"/>
        <v>2032</v>
      </c>
      <c r="R6" s="14"/>
      <c r="S6" s="14"/>
      <c r="T6" s="14"/>
      <c r="U6" s="14"/>
      <c r="V6" s="14"/>
      <c r="W6" s="14"/>
      <c r="X6" s="14"/>
      <c r="Y6" s="14"/>
      <c r="Z6" s="14"/>
    </row>
    <row r="7" spans="1:26" ht="12.75">
      <c r="A7" s="227">
        <v>1</v>
      </c>
      <c r="B7" s="15" t="s">
        <v>178</v>
      </c>
      <c r="C7" s="8">
        <v>570255</v>
      </c>
      <c r="D7" s="8">
        <f>+C10</f>
        <v>570255</v>
      </c>
      <c r="E7" s="8">
        <f aca="true" t="shared" si="1" ref="E7:Q7">+D10</f>
        <v>570255</v>
      </c>
      <c r="F7" s="8">
        <f>+E10</f>
        <v>570255</v>
      </c>
      <c r="G7" s="8">
        <f>+F7</f>
        <v>570255</v>
      </c>
      <c r="H7" s="8">
        <f>+G7</f>
        <v>570255</v>
      </c>
      <c r="I7" s="16">
        <f t="shared" si="1"/>
        <v>570255</v>
      </c>
      <c r="J7" s="16">
        <f t="shared" si="1"/>
        <v>570255</v>
      </c>
      <c r="K7" s="16">
        <f t="shared" si="1"/>
        <v>570255</v>
      </c>
      <c r="L7" s="16">
        <f t="shared" si="1"/>
        <v>570255</v>
      </c>
      <c r="M7" s="16">
        <f t="shared" si="1"/>
        <v>570255</v>
      </c>
      <c r="N7" s="16">
        <f t="shared" si="1"/>
        <v>570255</v>
      </c>
      <c r="O7" s="16">
        <f t="shared" si="1"/>
        <v>570255</v>
      </c>
      <c r="P7" s="8">
        <f t="shared" si="1"/>
        <v>570255</v>
      </c>
      <c r="Q7" s="8">
        <f t="shared" si="1"/>
        <v>570255</v>
      </c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227">
        <v>2</v>
      </c>
      <c r="B8" s="15" t="s">
        <v>179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>
      <c r="A9" s="227">
        <v>3</v>
      </c>
      <c r="B9" s="15" t="s">
        <v>180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/>
      <c r="S9" s="20"/>
      <c r="T9" s="20"/>
      <c r="U9" s="20"/>
      <c r="V9" s="20"/>
      <c r="W9" s="20"/>
      <c r="X9" s="20"/>
      <c r="Y9" s="20"/>
      <c r="Z9" s="20"/>
    </row>
    <row r="10" spans="1:26" ht="30.75" customHeight="1">
      <c r="A10" s="227">
        <v>4</v>
      </c>
      <c r="B10" s="21" t="s">
        <v>181</v>
      </c>
      <c r="C10" s="8">
        <f>+C8+C7+C9</f>
        <v>570255</v>
      </c>
      <c r="D10" s="8">
        <f>+D8+D7+D9</f>
        <v>570255</v>
      </c>
      <c r="E10" s="8">
        <f>+E7+E8+E9</f>
        <v>570255</v>
      </c>
      <c r="F10" s="8">
        <f>+F8+F7+F9</f>
        <v>570255</v>
      </c>
      <c r="G10" s="8">
        <f>+G8+G7+G9</f>
        <v>570255</v>
      </c>
      <c r="H10" s="8">
        <f aca="true" t="shared" si="2" ref="H10:Q10">+H8+H7+H9</f>
        <v>570255</v>
      </c>
      <c r="I10" s="8">
        <f t="shared" si="2"/>
        <v>570255</v>
      </c>
      <c r="J10" s="8">
        <f t="shared" si="2"/>
        <v>570255</v>
      </c>
      <c r="K10" s="8">
        <f t="shared" si="2"/>
        <v>570255</v>
      </c>
      <c r="L10" s="8">
        <f t="shared" si="2"/>
        <v>570255</v>
      </c>
      <c r="M10" s="8">
        <f t="shared" si="2"/>
        <v>570255</v>
      </c>
      <c r="N10" s="8">
        <f t="shared" si="2"/>
        <v>570255</v>
      </c>
      <c r="O10" s="8">
        <f t="shared" si="2"/>
        <v>570255</v>
      </c>
      <c r="P10" s="8">
        <f t="shared" si="2"/>
        <v>570255</v>
      </c>
      <c r="Q10" s="8">
        <f t="shared" si="2"/>
        <v>570255</v>
      </c>
      <c r="R10" s="8"/>
      <c r="S10" s="8"/>
      <c r="T10" s="8"/>
      <c r="U10" s="8"/>
      <c r="V10" s="8"/>
      <c r="W10" s="8"/>
      <c r="X10" s="8"/>
      <c r="Y10" s="8"/>
      <c r="Z10" s="8"/>
    </row>
    <row r="11" spans="1:19" s="23" customFormat="1" ht="12.75">
      <c r="A11" s="227">
        <v>5</v>
      </c>
      <c r="B11" s="22" t="s">
        <v>182</v>
      </c>
      <c r="C11" s="369">
        <v>0.00446</v>
      </c>
      <c r="D11" s="369">
        <v>0.00663</v>
      </c>
      <c r="E11" s="369">
        <f>+D11</f>
        <v>0.00663</v>
      </c>
      <c r="F11" s="369">
        <f aca="true" t="shared" si="3" ref="F11:Q11">+E11</f>
        <v>0.00663</v>
      </c>
      <c r="G11" s="369">
        <f t="shared" si="3"/>
        <v>0.00663</v>
      </c>
      <c r="H11" s="369">
        <f t="shared" si="3"/>
        <v>0.00663</v>
      </c>
      <c r="I11" s="369">
        <f t="shared" si="3"/>
        <v>0.00663</v>
      </c>
      <c r="J11" s="369">
        <f t="shared" si="3"/>
        <v>0.00663</v>
      </c>
      <c r="K11" s="369">
        <f t="shared" si="3"/>
        <v>0.00663</v>
      </c>
      <c r="L11" s="369">
        <f t="shared" si="3"/>
        <v>0.00663</v>
      </c>
      <c r="M11" s="369">
        <f t="shared" si="3"/>
        <v>0.00663</v>
      </c>
      <c r="N11" s="369">
        <f t="shared" si="3"/>
        <v>0.00663</v>
      </c>
      <c r="O11" s="369">
        <f t="shared" si="3"/>
        <v>0.00663</v>
      </c>
      <c r="P11" s="369">
        <f t="shared" si="3"/>
        <v>0.00663</v>
      </c>
      <c r="Q11" s="369">
        <f t="shared" si="3"/>
        <v>0.00663</v>
      </c>
      <c r="S11" s="316" t="s">
        <v>732</v>
      </c>
    </row>
    <row r="12" spans="1:26" ht="25.5" customHeight="1">
      <c r="A12" s="227">
        <v>6</v>
      </c>
      <c r="B12" s="21" t="s">
        <v>183</v>
      </c>
      <c r="C12" s="16">
        <f>-C10*C11</f>
        <v>-2543.3373</v>
      </c>
      <c r="D12" s="16">
        <f>-D10*D11</f>
        <v>-3780.79065</v>
      </c>
      <c r="E12" s="16">
        <f>-E10*E11</f>
        <v>-3780.79065</v>
      </c>
      <c r="F12" s="16">
        <f aca="true" t="shared" si="4" ref="F12:Q12">-F10*F11</f>
        <v>-3780.79065</v>
      </c>
      <c r="G12" s="16">
        <f t="shared" si="4"/>
        <v>-3780.79065</v>
      </c>
      <c r="H12" s="16">
        <f t="shared" si="4"/>
        <v>-3780.79065</v>
      </c>
      <c r="I12" s="16">
        <f t="shared" si="4"/>
        <v>-3780.79065</v>
      </c>
      <c r="J12" s="16">
        <f t="shared" si="4"/>
        <v>-3780.79065</v>
      </c>
      <c r="K12" s="16">
        <f t="shared" si="4"/>
        <v>-3780.79065</v>
      </c>
      <c r="L12" s="16">
        <f t="shared" si="4"/>
        <v>-3780.79065</v>
      </c>
      <c r="M12" s="16">
        <f>-M10*M11</f>
        <v>-3780.79065</v>
      </c>
      <c r="N12" s="16">
        <f t="shared" si="4"/>
        <v>-3780.79065</v>
      </c>
      <c r="O12" s="16">
        <f t="shared" si="4"/>
        <v>-3780.79065</v>
      </c>
      <c r="P12" s="16">
        <f t="shared" si="4"/>
        <v>-3780.79065</v>
      </c>
      <c r="Q12" s="16">
        <f t="shared" si="4"/>
        <v>-3780.79065</v>
      </c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>
      <c r="A13" s="227">
        <v>7</v>
      </c>
      <c r="B13" s="15" t="s">
        <v>184</v>
      </c>
      <c r="C13" s="16">
        <f>-C43</f>
        <v>-1392.169</v>
      </c>
      <c r="D13" s="16">
        <f aca="true" t="shared" si="5" ref="D13:Q13">-D43</f>
        <v>-2205.1315</v>
      </c>
      <c r="E13" s="16">
        <f t="shared" si="5"/>
        <v>-2197.174</v>
      </c>
      <c r="F13" s="16">
        <f t="shared" si="5"/>
        <v>-2427.774</v>
      </c>
      <c r="G13" s="16">
        <f t="shared" si="5"/>
        <v>-2523.374</v>
      </c>
      <c r="H13" s="16">
        <f t="shared" si="5"/>
        <v>-2705.974</v>
      </c>
      <c r="I13" s="16">
        <f t="shared" si="5"/>
        <v>-2862.574</v>
      </c>
      <c r="J13" s="16">
        <f t="shared" si="5"/>
        <v>-2975.174</v>
      </c>
      <c r="K13" s="16">
        <f t="shared" si="5"/>
        <v>-3179.774</v>
      </c>
      <c r="L13" s="16">
        <f t="shared" si="5"/>
        <v>-3298.374</v>
      </c>
      <c r="M13" s="16">
        <f t="shared" si="5"/>
        <v>-3410.974</v>
      </c>
      <c r="N13" s="16">
        <f t="shared" si="5"/>
        <v>-4722.574</v>
      </c>
      <c r="O13" s="16">
        <f t="shared" si="5"/>
        <v>-4389.174</v>
      </c>
      <c r="P13" s="16">
        <f t="shared" si="5"/>
        <v>-4648.773999999999</v>
      </c>
      <c r="Q13" s="16">
        <f t="shared" si="5"/>
        <v>-5061.374</v>
      </c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>
      <c r="A14" s="227">
        <v>8</v>
      </c>
      <c r="B14" s="15" t="s">
        <v>647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6.25" customHeight="1">
      <c r="A15" s="227">
        <v>8</v>
      </c>
      <c r="B15" s="21" t="s">
        <v>185</v>
      </c>
      <c r="C15" s="16">
        <f>+C13-C12-C14</f>
        <v>1151.1683</v>
      </c>
      <c r="D15" s="16">
        <f>+D13-D12-D14</f>
        <v>1575.65915</v>
      </c>
      <c r="E15" s="16">
        <f aca="true" t="shared" si="6" ref="E15:P15">+E13-E12-E14</f>
        <v>1583.61665</v>
      </c>
      <c r="F15" s="16">
        <f t="shared" si="6"/>
        <v>1353.01665</v>
      </c>
      <c r="G15" s="16">
        <f t="shared" si="6"/>
        <v>1257.4166500000001</v>
      </c>
      <c r="H15" s="16">
        <f t="shared" si="6"/>
        <v>1074.8166499999998</v>
      </c>
      <c r="I15" s="16">
        <f t="shared" si="6"/>
        <v>918.2166499999998</v>
      </c>
      <c r="J15" s="16">
        <f t="shared" si="6"/>
        <v>805.6166499999999</v>
      </c>
      <c r="K15" s="16">
        <f t="shared" si="6"/>
        <v>601.01665</v>
      </c>
      <c r="L15" s="16">
        <f t="shared" si="6"/>
        <v>482.4166500000001</v>
      </c>
      <c r="M15" s="16">
        <f>+M13-M12-M14</f>
        <v>369.81664999999975</v>
      </c>
      <c r="N15" s="16">
        <f t="shared" si="6"/>
        <v>-941.7833499999997</v>
      </c>
      <c r="O15" s="16">
        <f t="shared" si="6"/>
        <v>-608.3833500000001</v>
      </c>
      <c r="P15" s="16">
        <f t="shared" si="6"/>
        <v>-867.9833499999995</v>
      </c>
      <c r="Q15" s="16">
        <f aca="true" t="shared" si="7" ref="Q15">+Q13-Q12</f>
        <v>-1280.5833499999999</v>
      </c>
      <c r="R15" s="16"/>
      <c r="S15" s="16"/>
      <c r="U15" s="237"/>
      <c r="V15" s="237"/>
      <c r="W15" s="16"/>
      <c r="X15" s="16"/>
      <c r="Y15" s="16"/>
      <c r="Z15" s="16"/>
    </row>
    <row r="16" spans="20:22" ht="12.75">
      <c r="T16" s="9"/>
      <c r="U16" s="9"/>
      <c r="V16" s="9"/>
    </row>
    <row r="17" spans="2:26" ht="12.75">
      <c r="B17" s="4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2"/>
      <c r="U17" s="32"/>
      <c r="V17" s="32"/>
      <c r="W17" s="29"/>
      <c r="X17" s="29"/>
      <c r="Y17" s="29"/>
      <c r="Z17" s="29"/>
    </row>
    <row r="18" spans="2:26" ht="12.75">
      <c r="B18" s="4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>
      <c r="A19" s="410" t="s">
        <v>394</v>
      </c>
      <c r="B19" s="410"/>
      <c r="C19" s="410"/>
      <c r="D19" s="410"/>
      <c r="E19" s="41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>
      <c r="A20" s="410" t="s">
        <v>283</v>
      </c>
      <c r="B20" s="410"/>
      <c r="C20" s="410"/>
      <c r="D20" s="410"/>
      <c r="E20" s="41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3"/>
      <c r="V20" s="29"/>
      <c r="W20" s="29"/>
      <c r="X20" s="29"/>
      <c r="Y20" s="29"/>
      <c r="Z20" s="29"/>
    </row>
    <row r="21" spans="2:26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V21" s="29"/>
      <c r="W21" s="29"/>
      <c r="X21" s="29"/>
      <c r="Y21" s="29"/>
      <c r="Z21" s="29"/>
    </row>
    <row r="22" spans="2:26" ht="12.75">
      <c r="B22" s="29"/>
      <c r="C22" s="50" t="s">
        <v>172</v>
      </c>
      <c r="D22" s="50" t="s">
        <v>173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V22" s="29"/>
      <c r="W22" s="29"/>
      <c r="X22" s="29"/>
      <c r="Y22" s="29"/>
      <c r="Z22" s="29"/>
    </row>
    <row r="23" spans="3:26" ht="12.75">
      <c r="C23" s="14">
        <v>2018</v>
      </c>
      <c r="D23" s="14">
        <f>+C23+1</f>
        <v>2019</v>
      </c>
      <c r="E23" s="14">
        <f aca="true" t="shared" si="8" ref="E23:Q23">+D23+1</f>
        <v>2020</v>
      </c>
      <c r="F23" s="14">
        <f t="shared" si="8"/>
        <v>2021</v>
      </c>
      <c r="G23" s="14">
        <f t="shared" si="8"/>
        <v>2022</v>
      </c>
      <c r="H23" s="14">
        <f t="shared" si="8"/>
        <v>2023</v>
      </c>
      <c r="I23" s="14">
        <f t="shared" si="8"/>
        <v>2024</v>
      </c>
      <c r="J23" s="14">
        <f t="shared" si="8"/>
        <v>2025</v>
      </c>
      <c r="K23" s="14">
        <f t="shared" si="8"/>
        <v>2026</v>
      </c>
      <c r="L23" s="14">
        <f t="shared" si="8"/>
        <v>2027</v>
      </c>
      <c r="M23" s="14">
        <f t="shared" si="8"/>
        <v>2028</v>
      </c>
      <c r="N23" s="14">
        <f t="shared" si="8"/>
        <v>2029</v>
      </c>
      <c r="O23" s="14">
        <f t="shared" si="8"/>
        <v>2030</v>
      </c>
      <c r="P23" s="14">
        <f t="shared" si="8"/>
        <v>2031</v>
      </c>
      <c r="Q23" s="14">
        <f t="shared" si="8"/>
        <v>2032</v>
      </c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s="36" customFormat="1" ht="12.75">
      <c r="A24" s="123">
        <v>1</v>
      </c>
      <c r="B24" s="36" t="s">
        <v>222</v>
      </c>
      <c r="C24" s="107">
        <f>+'Income Statement Cash Flows'!E88</f>
        <v>20000</v>
      </c>
      <c r="D24" s="107">
        <f>+'Income Statement Cash Flows'!F88</f>
        <v>20000</v>
      </c>
      <c r="E24" s="107">
        <f>+D24</f>
        <v>20000</v>
      </c>
      <c r="F24" s="107">
        <f aca="true" t="shared" si="9" ref="F24:Q24">+E24</f>
        <v>20000</v>
      </c>
      <c r="G24" s="107">
        <f t="shared" si="9"/>
        <v>20000</v>
      </c>
      <c r="H24" s="107">
        <f t="shared" si="9"/>
        <v>20000</v>
      </c>
      <c r="I24" s="107">
        <f t="shared" si="9"/>
        <v>20000</v>
      </c>
      <c r="J24" s="107">
        <f t="shared" si="9"/>
        <v>20000</v>
      </c>
      <c r="K24" s="107">
        <f t="shared" si="9"/>
        <v>20000</v>
      </c>
      <c r="L24" s="107">
        <f t="shared" si="9"/>
        <v>20000</v>
      </c>
      <c r="M24" s="107">
        <f t="shared" si="9"/>
        <v>20000</v>
      </c>
      <c r="N24" s="107">
        <f t="shared" si="9"/>
        <v>20000</v>
      </c>
      <c r="O24" s="107">
        <f t="shared" si="9"/>
        <v>20000</v>
      </c>
      <c r="P24" s="107">
        <f t="shared" si="9"/>
        <v>20000</v>
      </c>
      <c r="Q24" s="107">
        <f t="shared" si="9"/>
        <v>20000</v>
      </c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s="36" customFormat="1" ht="12.75">
      <c r="A25" s="226">
        <v>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2.75">
      <c r="A26" s="123">
        <v>3</v>
      </c>
      <c r="B26" t="s">
        <v>603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>
      <c r="A27" s="226">
        <v>4</v>
      </c>
      <c r="B27" t="s">
        <v>399</v>
      </c>
      <c r="C27" s="127">
        <v>21000</v>
      </c>
      <c r="D27" s="29">
        <f>+C28</f>
        <v>41000</v>
      </c>
      <c r="E27" s="29">
        <f>+D28</f>
        <v>61000</v>
      </c>
      <c r="F27" s="29">
        <f aca="true" t="shared" si="10" ref="F27:Q27">E28</f>
        <v>81000</v>
      </c>
      <c r="G27" s="29">
        <f t="shared" si="10"/>
        <v>101000</v>
      </c>
      <c r="H27" s="29">
        <f t="shared" si="10"/>
        <v>121000</v>
      </c>
      <c r="I27" s="29">
        <f t="shared" si="10"/>
        <v>141000</v>
      </c>
      <c r="J27" s="29">
        <f t="shared" si="10"/>
        <v>161000</v>
      </c>
      <c r="K27" s="29">
        <f t="shared" si="10"/>
        <v>181000</v>
      </c>
      <c r="L27" s="29">
        <f t="shared" si="10"/>
        <v>201000</v>
      </c>
      <c r="M27" s="29">
        <f t="shared" si="10"/>
        <v>221000</v>
      </c>
      <c r="N27" s="29">
        <f t="shared" si="10"/>
        <v>241000</v>
      </c>
      <c r="O27" s="29">
        <f t="shared" si="10"/>
        <v>261000</v>
      </c>
      <c r="P27" s="29">
        <f t="shared" si="10"/>
        <v>281000</v>
      </c>
      <c r="Q27" s="29">
        <f t="shared" si="10"/>
        <v>301000</v>
      </c>
      <c r="R27" s="29"/>
      <c r="S27" s="314" t="s">
        <v>733</v>
      </c>
      <c r="T27" s="29"/>
      <c r="U27" s="29"/>
      <c r="V27" s="29"/>
      <c r="W27" s="29"/>
      <c r="X27" s="29"/>
      <c r="Y27" s="29"/>
      <c r="Z27" s="29"/>
    </row>
    <row r="28" spans="1:26" ht="12.75">
      <c r="A28" s="123">
        <v>5</v>
      </c>
      <c r="B28" t="s">
        <v>400</v>
      </c>
      <c r="C28" s="8">
        <f>+C27+C24</f>
        <v>41000</v>
      </c>
      <c r="D28" s="29">
        <f>+D27+D24</f>
        <v>61000</v>
      </c>
      <c r="E28" s="29">
        <f>E27+E24</f>
        <v>81000</v>
      </c>
      <c r="F28" s="29">
        <f aca="true" t="shared" si="11" ref="F28:Q28">F27+F24</f>
        <v>101000</v>
      </c>
      <c r="G28" s="29">
        <f t="shared" si="11"/>
        <v>121000</v>
      </c>
      <c r="H28" s="29">
        <f t="shared" si="11"/>
        <v>141000</v>
      </c>
      <c r="I28" s="29">
        <f t="shared" si="11"/>
        <v>161000</v>
      </c>
      <c r="J28" s="29">
        <f t="shared" si="11"/>
        <v>181000</v>
      </c>
      <c r="K28" s="29">
        <f t="shared" si="11"/>
        <v>201000</v>
      </c>
      <c r="L28" s="29">
        <f t="shared" si="11"/>
        <v>221000</v>
      </c>
      <c r="M28" s="29">
        <f t="shared" si="11"/>
        <v>241000</v>
      </c>
      <c r="N28" s="29">
        <f t="shared" si="11"/>
        <v>261000</v>
      </c>
      <c r="O28" s="29">
        <f t="shared" si="11"/>
        <v>281000</v>
      </c>
      <c r="P28" s="29">
        <f t="shared" si="11"/>
        <v>301000</v>
      </c>
      <c r="Q28" s="29">
        <f t="shared" si="11"/>
        <v>321000</v>
      </c>
      <c r="R28" s="29"/>
      <c r="S28" s="33"/>
      <c r="T28" s="29"/>
      <c r="U28" s="29"/>
      <c r="V28" s="29"/>
      <c r="W28" s="29"/>
      <c r="X28" s="29"/>
      <c r="Y28" s="29"/>
      <c r="Z28" s="29"/>
    </row>
    <row r="29" spans="1:26" ht="12.75">
      <c r="A29" s="226">
        <v>6</v>
      </c>
      <c r="B29" s="48" t="s">
        <v>237</v>
      </c>
      <c r="C29" s="29">
        <f>AVERAGE(C27:C28)</f>
        <v>31000</v>
      </c>
      <c r="D29" s="29">
        <f>AVERAGE(D27:D28)</f>
        <v>51000</v>
      </c>
      <c r="E29" s="29">
        <f aca="true" t="shared" si="12" ref="E29:Q29">AVERAGE(E27:E28)</f>
        <v>71000</v>
      </c>
      <c r="F29" s="29">
        <f t="shared" si="12"/>
        <v>91000</v>
      </c>
      <c r="G29" s="29">
        <f t="shared" si="12"/>
        <v>111000</v>
      </c>
      <c r="H29" s="29">
        <f t="shared" si="12"/>
        <v>131000</v>
      </c>
      <c r="I29" s="29">
        <f t="shared" si="12"/>
        <v>151000</v>
      </c>
      <c r="J29" s="29">
        <f t="shared" si="12"/>
        <v>171000</v>
      </c>
      <c r="K29" s="29">
        <f t="shared" si="12"/>
        <v>191000</v>
      </c>
      <c r="L29" s="29">
        <f t="shared" si="12"/>
        <v>211000</v>
      </c>
      <c r="M29" s="29">
        <f t="shared" si="12"/>
        <v>231000</v>
      </c>
      <c r="N29" s="29">
        <f t="shared" si="12"/>
        <v>251000</v>
      </c>
      <c r="O29" s="29">
        <f t="shared" si="12"/>
        <v>271000</v>
      </c>
      <c r="P29" s="29">
        <f t="shared" si="12"/>
        <v>291000</v>
      </c>
      <c r="Q29" s="29">
        <f t="shared" si="12"/>
        <v>311000</v>
      </c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>
      <c r="A30" s="123">
        <v>7</v>
      </c>
      <c r="B30" s="15"/>
      <c r="C30" s="2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17" s="25" customFormat="1" ht="12.75">
      <c r="A31" s="226">
        <v>8</v>
      </c>
      <c r="B31" t="s">
        <v>401</v>
      </c>
      <c r="C31" s="23">
        <f>+C11</f>
        <v>0.00446</v>
      </c>
      <c r="D31" s="23">
        <f>+D11</f>
        <v>0.00663</v>
      </c>
      <c r="E31" s="23">
        <f>+D31</f>
        <v>0.00663</v>
      </c>
      <c r="F31" s="23">
        <f aca="true" t="shared" si="13" ref="F31:Q31">+E31</f>
        <v>0.00663</v>
      </c>
      <c r="G31" s="23">
        <f t="shared" si="13"/>
        <v>0.00663</v>
      </c>
      <c r="H31" s="23">
        <f t="shared" si="13"/>
        <v>0.00663</v>
      </c>
      <c r="I31" s="23">
        <f t="shared" si="13"/>
        <v>0.00663</v>
      </c>
      <c r="J31" s="23">
        <f t="shared" si="13"/>
        <v>0.00663</v>
      </c>
      <c r="K31" s="23">
        <f t="shared" si="13"/>
        <v>0.00663</v>
      </c>
      <c r="L31" s="23">
        <f t="shared" si="13"/>
        <v>0.00663</v>
      </c>
      <c r="M31" s="23">
        <f t="shared" si="13"/>
        <v>0.00663</v>
      </c>
      <c r="N31" s="23">
        <f t="shared" si="13"/>
        <v>0.00663</v>
      </c>
      <c r="O31" s="23">
        <f t="shared" si="13"/>
        <v>0.00663</v>
      </c>
      <c r="P31" s="23">
        <f t="shared" si="13"/>
        <v>0.00663</v>
      </c>
      <c r="Q31" s="23">
        <f t="shared" si="13"/>
        <v>0.00663</v>
      </c>
    </row>
    <row r="32" spans="1:17" s="25" customFormat="1" ht="12.75">
      <c r="A32" s="123">
        <v>9</v>
      </c>
      <c r="B32" t="s">
        <v>402</v>
      </c>
      <c r="C32" s="8">
        <f>+C31*C29</f>
        <v>138.26000000000002</v>
      </c>
      <c r="D32" s="8">
        <f>+D31*D29</f>
        <v>338.13</v>
      </c>
      <c r="E32" s="8">
        <f aca="true" t="shared" si="14" ref="E32:Q32">+E31*E29</f>
        <v>470.72999999999996</v>
      </c>
      <c r="F32" s="8">
        <f t="shared" si="14"/>
        <v>603.3299999999999</v>
      </c>
      <c r="G32" s="8">
        <f t="shared" si="14"/>
        <v>735.93</v>
      </c>
      <c r="H32" s="8">
        <f t="shared" si="14"/>
        <v>868.53</v>
      </c>
      <c r="I32" s="8">
        <f t="shared" si="14"/>
        <v>1001.13</v>
      </c>
      <c r="J32" s="8">
        <f t="shared" si="14"/>
        <v>1133.73</v>
      </c>
      <c r="K32" s="8">
        <f t="shared" si="14"/>
        <v>1266.33</v>
      </c>
      <c r="L32" s="8">
        <f t="shared" si="14"/>
        <v>1398.9299999999998</v>
      </c>
      <c r="M32" s="8">
        <f t="shared" si="14"/>
        <v>1531.53</v>
      </c>
      <c r="N32" s="8">
        <f t="shared" si="14"/>
        <v>1664.1299999999999</v>
      </c>
      <c r="O32" s="8">
        <f t="shared" si="14"/>
        <v>1796.7299999999998</v>
      </c>
      <c r="P32" s="8">
        <f t="shared" si="14"/>
        <v>1929.33</v>
      </c>
      <c r="Q32" s="8">
        <f t="shared" si="14"/>
        <v>2061.93</v>
      </c>
    </row>
    <row r="33" spans="1:2" s="25" customFormat="1" ht="12.75">
      <c r="A33" s="226">
        <v>10</v>
      </c>
      <c r="B33" s="34"/>
    </row>
    <row r="34" spans="1:29" s="36" customFormat="1" ht="12.75">
      <c r="A34" s="123">
        <v>11</v>
      </c>
      <c r="B34" s="36" t="s">
        <v>225</v>
      </c>
      <c r="C34" s="116">
        <f>+'Federal Capital Costs'!C9</f>
        <v>611</v>
      </c>
      <c r="D34" s="116">
        <f>+'Federal Capital Costs'!D9</f>
        <v>1144</v>
      </c>
      <c r="E34" s="116">
        <f>+'Federal Capital Costs'!E48</f>
        <v>1204</v>
      </c>
      <c r="F34" s="116">
        <f>+'Federal Capital Costs'!F48</f>
        <v>1302</v>
      </c>
      <c r="G34" s="116">
        <f>+'Federal Capital Costs'!G48</f>
        <v>1265</v>
      </c>
      <c r="H34" s="116">
        <f>+'Federal Capital Costs'!H48</f>
        <v>1315</v>
      </c>
      <c r="I34" s="116">
        <f>+'Federal Capital Costs'!I48</f>
        <v>1339</v>
      </c>
      <c r="J34" s="116">
        <f>+'Federal Capital Costs'!J48</f>
        <v>1319</v>
      </c>
      <c r="K34" s="116">
        <f>+'Federal Capital Costs'!K48</f>
        <v>1391</v>
      </c>
      <c r="L34" s="116">
        <f>+'Federal Capital Costs'!L48</f>
        <v>1377</v>
      </c>
      <c r="M34" s="116">
        <f>+'Federal Capital Costs'!M48</f>
        <v>1357</v>
      </c>
      <c r="N34" s="116">
        <f>+'Federal Capital Costs'!N48</f>
        <v>2536</v>
      </c>
      <c r="O34" s="116">
        <f>+'Federal Capital Costs'!O48</f>
        <v>2070</v>
      </c>
      <c r="P34" s="116">
        <f>+'Federal Capital Costs'!P48</f>
        <v>2197</v>
      </c>
      <c r="Q34" s="116">
        <f>+'Federal Capital Costs'!Q48</f>
        <v>2477</v>
      </c>
      <c r="R34" s="116"/>
      <c r="S34" s="116"/>
      <c r="T34" s="116"/>
      <c r="U34" s="116"/>
      <c r="V34" s="116"/>
      <c r="W34" s="116"/>
      <c r="X34" s="116"/>
      <c r="Y34" s="116"/>
      <c r="Z34" s="116"/>
      <c r="AA34" s="37"/>
      <c r="AB34" s="37"/>
      <c r="AC34" s="37"/>
    </row>
    <row r="35" ht="12.75">
      <c r="A35" s="226">
        <v>12</v>
      </c>
    </row>
    <row r="36" spans="1:5" ht="12.75">
      <c r="A36" s="123">
        <v>13</v>
      </c>
      <c r="B36" t="s">
        <v>703</v>
      </c>
      <c r="C36" s="29"/>
      <c r="D36" s="47"/>
      <c r="E36" s="47"/>
    </row>
    <row r="37" spans="1:19" ht="12.75">
      <c r="A37" s="226">
        <v>14</v>
      </c>
      <c r="B37" t="s">
        <v>235</v>
      </c>
      <c r="C37" s="315">
        <v>149000</v>
      </c>
      <c r="D37" s="127">
        <f>+C38</f>
        <v>139300</v>
      </c>
      <c r="E37" s="127">
        <f>+D38</f>
        <v>78800</v>
      </c>
      <c r="F37" s="127">
        <f aca="true" t="shared" si="15" ref="F37:Q37">+E38</f>
        <v>78800</v>
      </c>
      <c r="G37" s="127">
        <f t="shared" si="15"/>
        <v>78800</v>
      </c>
      <c r="H37" s="127">
        <f t="shared" si="15"/>
        <v>78800</v>
      </c>
      <c r="I37" s="127">
        <f t="shared" si="15"/>
        <v>78800</v>
      </c>
      <c r="J37" s="127">
        <f t="shared" si="15"/>
        <v>78800</v>
      </c>
      <c r="K37" s="127">
        <f t="shared" si="15"/>
        <v>78800</v>
      </c>
      <c r="L37" s="127">
        <f t="shared" si="15"/>
        <v>78800</v>
      </c>
      <c r="M37" s="127">
        <f t="shared" si="15"/>
        <v>78800</v>
      </c>
      <c r="N37" s="127">
        <f t="shared" si="15"/>
        <v>78800</v>
      </c>
      <c r="O37" s="127">
        <f t="shared" si="15"/>
        <v>78800</v>
      </c>
      <c r="P37" s="127">
        <f t="shared" si="15"/>
        <v>78800</v>
      </c>
      <c r="Q37" s="127">
        <f t="shared" si="15"/>
        <v>78800</v>
      </c>
      <c r="S37" s="314" t="str">
        <f>+S27</f>
        <v>&lt;&lt;from Q2 FY17 QRM reserves split, assume FY17 EOY forecast carries forward</v>
      </c>
    </row>
    <row r="38" spans="1:19" ht="12.75">
      <c r="A38" s="123">
        <v>15</v>
      </c>
      <c r="B38" t="s">
        <v>236</v>
      </c>
      <c r="C38" s="29">
        <f>+C37-70200+60500</f>
        <v>139300</v>
      </c>
      <c r="D38" s="29">
        <f>+D37-60500</f>
        <v>78800</v>
      </c>
      <c r="E38" s="29">
        <f aca="true" t="shared" si="16" ref="E38:Q38">+E37</f>
        <v>78800</v>
      </c>
      <c r="F38" s="29">
        <f t="shared" si="16"/>
        <v>78800</v>
      </c>
      <c r="G38" s="29">
        <f t="shared" si="16"/>
        <v>78800</v>
      </c>
      <c r="H38" s="29">
        <f t="shared" si="16"/>
        <v>78800</v>
      </c>
      <c r="I38" s="29">
        <f t="shared" si="16"/>
        <v>78800</v>
      </c>
      <c r="J38" s="29">
        <f t="shared" si="16"/>
        <v>78800</v>
      </c>
      <c r="K38" s="29">
        <f t="shared" si="16"/>
        <v>78800</v>
      </c>
      <c r="L38" s="29">
        <f t="shared" si="16"/>
        <v>78800</v>
      </c>
      <c r="M38" s="29">
        <f t="shared" si="16"/>
        <v>78800</v>
      </c>
      <c r="N38" s="29">
        <f t="shared" si="16"/>
        <v>78800</v>
      </c>
      <c r="O38" s="29">
        <f t="shared" si="16"/>
        <v>78800</v>
      </c>
      <c r="P38" s="29">
        <f t="shared" si="16"/>
        <v>78800</v>
      </c>
      <c r="Q38" s="29">
        <f t="shared" si="16"/>
        <v>78800</v>
      </c>
      <c r="R38" s="29" t="e">
        <f>+C37+#REF!</f>
        <v>#REF!</v>
      </c>
      <c r="S38" s="314" t="s">
        <v>734</v>
      </c>
    </row>
    <row r="39" spans="1:26" ht="12.75">
      <c r="A39" s="226">
        <v>16</v>
      </c>
      <c r="B39" s="48" t="s">
        <v>237</v>
      </c>
      <c r="C39" s="46">
        <f aca="true" t="shared" si="17" ref="C39:Q39">(C37+C38)/2</f>
        <v>144150</v>
      </c>
      <c r="D39" s="46">
        <f t="shared" si="17"/>
        <v>109050</v>
      </c>
      <c r="E39" s="46">
        <f t="shared" si="17"/>
        <v>78800</v>
      </c>
      <c r="F39" s="46">
        <f t="shared" si="17"/>
        <v>78800</v>
      </c>
      <c r="G39" s="46">
        <f t="shared" si="17"/>
        <v>78800</v>
      </c>
      <c r="H39" s="46">
        <f t="shared" si="17"/>
        <v>78800</v>
      </c>
      <c r="I39" s="46">
        <f t="shared" si="17"/>
        <v>78800</v>
      </c>
      <c r="J39" s="46">
        <f t="shared" si="17"/>
        <v>78800</v>
      </c>
      <c r="K39" s="46">
        <f t="shared" si="17"/>
        <v>78800</v>
      </c>
      <c r="L39" s="46">
        <f t="shared" si="17"/>
        <v>78800</v>
      </c>
      <c r="M39" s="46">
        <f t="shared" si="17"/>
        <v>78800</v>
      </c>
      <c r="N39" s="46">
        <f t="shared" si="17"/>
        <v>78800</v>
      </c>
      <c r="O39" s="46">
        <f t="shared" si="17"/>
        <v>78800</v>
      </c>
      <c r="P39" s="46">
        <f t="shared" si="17"/>
        <v>78800</v>
      </c>
      <c r="Q39" s="46">
        <f t="shared" si="17"/>
        <v>78800</v>
      </c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6" customFormat="1" ht="12.75">
      <c r="A40" s="123">
        <v>17</v>
      </c>
      <c r="B40" s="36" t="s">
        <v>155</v>
      </c>
      <c r="C40" s="117">
        <f aca="true" t="shared" si="18" ref="C40:Q40">C39*C31</f>
        <v>642.9090000000001</v>
      </c>
      <c r="D40" s="117">
        <f t="shared" si="18"/>
        <v>723.0015</v>
      </c>
      <c r="E40" s="117">
        <f t="shared" si="18"/>
        <v>522.444</v>
      </c>
      <c r="F40" s="117">
        <f t="shared" si="18"/>
        <v>522.444</v>
      </c>
      <c r="G40" s="117">
        <f t="shared" si="18"/>
        <v>522.444</v>
      </c>
      <c r="H40" s="117">
        <f t="shared" si="18"/>
        <v>522.444</v>
      </c>
      <c r="I40" s="117">
        <f t="shared" si="18"/>
        <v>522.444</v>
      </c>
      <c r="J40" s="117">
        <f t="shared" si="18"/>
        <v>522.444</v>
      </c>
      <c r="K40" s="117">
        <f t="shared" si="18"/>
        <v>522.444</v>
      </c>
      <c r="L40" s="117">
        <f t="shared" si="18"/>
        <v>522.444</v>
      </c>
      <c r="M40" s="117">
        <f t="shared" si="18"/>
        <v>522.444</v>
      </c>
      <c r="N40" s="117">
        <f t="shared" si="18"/>
        <v>522.444</v>
      </c>
      <c r="O40" s="117">
        <f t="shared" si="18"/>
        <v>522.444</v>
      </c>
      <c r="P40" s="117">
        <f t="shared" si="18"/>
        <v>522.444</v>
      </c>
      <c r="Q40" s="117">
        <f t="shared" si="18"/>
        <v>522.444</v>
      </c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s="36" customFormat="1" ht="12.75">
      <c r="A41" s="226">
        <v>18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ht="12.75">
      <c r="A42" s="123">
        <v>25</v>
      </c>
    </row>
    <row r="43" spans="1:26" ht="12.75">
      <c r="A43" s="226">
        <v>26</v>
      </c>
      <c r="B43" s="38" t="s">
        <v>447</v>
      </c>
      <c r="C43" s="32">
        <f>+C40+C34+C32</f>
        <v>1392.169</v>
      </c>
      <c r="D43" s="32">
        <f>+D40+D34+D32</f>
        <v>2205.1315</v>
      </c>
      <c r="E43" s="32">
        <f aca="true" t="shared" si="19" ref="E43:Q43">+E40+E34+E32</f>
        <v>2197.174</v>
      </c>
      <c r="F43" s="32">
        <f t="shared" si="19"/>
        <v>2427.774</v>
      </c>
      <c r="G43" s="32">
        <f t="shared" si="19"/>
        <v>2523.374</v>
      </c>
      <c r="H43" s="32">
        <f t="shared" si="19"/>
        <v>2705.974</v>
      </c>
      <c r="I43" s="32">
        <f t="shared" si="19"/>
        <v>2862.574</v>
      </c>
      <c r="J43" s="32">
        <f t="shared" si="19"/>
        <v>2975.174</v>
      </c>
      <c r="K43" s="32">
        <f t="shared" si="19"/>
        <v>3179.774</v>
      </c>
      <c r="L43" s="32">
        <f t="shared" si="19"/>
        <v>3298.374</v>
      </c>
      <c r="M43" s="32">
        <f t="shared" si="19"/>
        <v>3410.974</v>
      </c>
      <c r="N43" s="32">
        <f t="shared" si="19"/>
        <v>4722.574</v>
      </c>
      <c r="O43" s="32">
        <f t="shared" si="19"/>
        <v>4389.174</v>
      </c>
      <c r="P43" s="32">
        <f t="shared" si="19"/>
        <v>4648.773999999999</v>
      </c>
      <c r="Q43" s="32">
        <f t="shared" si="19"/>
        <v>5061.374</v>
      </c>
      <c r="R43" s="32"/>
      <c r="S43" s="32"/>
      <c r="T43" s="32"/>
      <c r="U43" s="32"/>
      <c r="V43" s="32"/>
      <c r="W43" s="32"/>
      <c r="X43" s="32"/>
      <c r="Y43" s="32"/>
      <c r="Z43" s="32"/>
    </row>
    <row r="44" spans="3:4" ht="12.75">
      <c r="C44">
        <v>2374</v>
      </c>
      <c r="D44">
        <v>2797</v>
      </c>
    </row>
    <row r="45" spans="3:4" ht="12.75">
      <c r="C45" s="29">
        <f>+C43-C44</f>
        <v>-981.8309999999999</v>
      </c>
      <c r="D45" s="29">
        <f>+D43-D44</f>
        <v>-591.8685</v>
      </c>
    </row>
    <row r="47" ht="12.75">
      <c r="C47" s="27"/>
    </row>
    <row r="48" spans="2:26" ht="12.75">
      <c r="B48" s="28"/>
      <c r="C48" s="35"/>
      <c r="D48" s="35"/>
      <c r="E48" s="35"/>
      <c r="F48" s="35"/>
      <c r="G48" s="35"/>
      <c r="H48" s="35"/>
      <c r="I48" s="35"/>
      <c r="J48" s="3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3:26" ht="12.7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5" ht="12.75">
      <c r="A50" s="410" t="s">
        <v>394</v>
      </c>
      <c r="B50" s="410"/>
      <c r="C50" s="410"/>
      <c r="D50" s="410"/>
      <c r="E50" s="410"/>
    </row>
    <row r="51" spans="1:6" ht="12.75">
      <c r="A51" s="410" t="s">
        <v>395</v>
      </c>
      <c r="B51" s="410"/>
      <c r="C51" s="410"/>
      <c r="D51" s="410"/>
      <c r="E51" s="410"/>
      <c r="F51" s="106"/>
    </row>
    <row r="52" spans="1:26" ht="12.75">
      <c r="A52" s="410" t="s">
        <v>283</v>
      </c>
      <c r="B52" s="410"/>
      <c r="C52" s="410"/>
      <c r="D52" s="410"/>
      <c r="E52" s="410"/>
      <c r="F52" s="30"/>
      <c r="G52" s="30"/>
      <c r="H52" s="30"/>
      <c r="I52" s="30"/>
      <c r="J52" s="3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6:26" ht="12.75"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3:26" ht="12.75">
      <c r="C54" s="124" t="s">
        <v>172</v>
      </c>
      <c r="D54" s="124" t="s">
        <v>173</v>
      </c>
      <c r="E54" s="124" t="s">
        <v>174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5:26" ht="12.75">
      <c r="E55" s="102" t="s">
        <v>396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3:26" ht="12.75">
      <c r="C56" s="102">
        <v>2018</v>
      </c>
      <c r="D56" s="124">
        <v>2019</v>
      </c>
      <c r="E56" s="102" t="s">
        <v>397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>
      <c r="A57" s="226">
        <v>1</v>
      </c>
      <c r="B57" t="s">
        <v>398</v>
      </c>
      <c r="C57" s="108">
        <f>+'Revised Revenue Test'!E93</f>
        <v>8.610459247138351</v>
      </c>
      <c r="D57" s="108">
        <f>+'Revised Revenue Test'!F93</f>
        <v>40552.706060368975</v>
      </c>
      <c r="E57" s="10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.75">
      <c r="A58" s="226">
        <v>2</v>
      </c>
      <c r="C58" s="108"/>
      <c r="D58" s="108"/>
      <c r="E58" s="10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5" ht="12.75">
      <c r="A59" s="226">
        <v>3</v>
      </c>
      <c r="B59" t="s">
        <v>603</v>
      </c>
      <c r="C59" s="108"/>
      <c r="D59" s="108"/>
      <c r="E59" s="108"/>
    </row>
    <row r="60" spans="1:5" ht="12.75">
      <c r="A60" s="226">
        <v>4</v>
      </c>
      <c r="B60" t="s">
        <v>399</v>
      </c>
      <c r="C60" s="108">
        <f>+C27</f>
        <v>21000</v>
      </c>
      <c r="D60" s="108">
        <f>+C61</f>
        <v>81508.61045924714</v>
      </c>
      <c r="E60" s="108">
        <f>D61</f>
        <v>61561.31651961611</v>
      </c>
    </row>
    <row r="61" spans="1:5" ht="12.75">
      <c r="A61" s="226">
        <v>5</v>
      </c>
      <c r="B61" t="s">
        <v>400</v>
      </c>
      <c r="C61" s="108">
        <f>C60+C57+60500</f>
        <v>81508.61045924714</v>
      </c>
      <c r="D61" s="108">
        <f>D60+D57-60500</f>
        <v>61561.31651961611</v>
      </c>
      <c r="E61" s="108">
        <f>E60</f>
        <v>61561.31651961611</v>
      </c>
    </row>
    <row r="62" spans="1:5" ht="12.75">
      <c r="A62" s="226">
        <v>6</v>
      </c>
      <c r="B62" s="48" t="s">
        <v>237</v>
      </c>
      <c r="C62" s="108">
        <f>ROUND((C60+C61)*0.5,0)</f>
        <v>51254</v>
      </c>
      <c r="D62" s="108">
        <f>ROUND((D60+D61)*0.5,0)</f>
        <v>71535</v>
      </c>
      <c r="E62" s="108">
        <f>ROUND((E60+E61)*0.5,0)</f>
        <v>61561</v>
      </c>
    </row>
    <row r="63" spans="1:5" ht="12.75">
      <c r="A63" s="226">
        <v>7</v>
      </c>
      <c r="C63" s="108"/>
      <c r="D63" s="108"/>
      <c r="E63" s="108"/>
    </row>
    <row r="64" spans="1:5" ht="12.75">
      <c r="A64" s="226">
        <v>8</v>
      </c>
      <c r="B64" t="s">
        <v>401</v>
      </c>
      <c r="C64" s="110">
        <f>+C31</f>
        <v>0.00446</v>
      </c>
      <c r="D64" s="110">
        <f>+D31</f>
        <v>0.00663</v>
      </c>
      <c r="E64" s="110">
        <f>D64</f>
        <v>0.00663</v>
      </c>
    </row>
    <row r="65" spans="1:5" ht="12.75">
      <c r="A65" s="226">
        <v>9</v>
      </c>
      <c r="B65" t="s">
        <v>402</v>
      </c>
      <c r="C65" s="109">
        <f>ROUND(C62*C64,0)</f>
        <v>229</v>
      </c>
      <c r="D65" s="109">
        <f>ROUND(D62*D64,0)</f>
        <v>474</v>
      </c>
      <c r="E65" s="109">
        <f>ROUND(E62*E64,0)</f>
        <v>408</v>
      </c>
    </row>
    <row r="66" spans="1:5" ht="12.75">
      <c r="A66" s="226">
        <v>10</v>
      </c>
      <c r="C66" s="111"/>
      <c r="D66" s="111"/>
      <c r="E66" s="111"/>
    </row>
    <row r="67" spans="1:5" ht="12.75">
      <c r="A67" s="226">
        <v>11</v>
      </c>
      <c r="B67" t="s">
        <v>403</v>
      </c>
      <c r="C67" s="112">
        <f>+C34</f>
        <v>611</v>
      </c>
      <c r="D67" s="112">
        <f>+D34</f>
        <v>1144</v>
      </c>
      <c r="E67" s="112">
        <f>+E34</f>
        <v>1204</v>
      </c>
    </row>
    <row r="68" spans="1:5" ht="12.75">
      <c r="A68" s="226">
        <v>12</v>
      </c>
      <c r="C68" s="108"/>
      <c r="D68" s="108"/>
      <c r="E68" s="108"/>
    </row>
    <row r="69" spans="1:5" ht="12" customHeight="1">
      <c r="A69" s="226">
        <v>13</v>
      </c>
      <c r="B69" t="s">
        <v>703</v>
      </c>
      <c r="C69" s="113"/>
      <c r="D69" s="113"/>
      <c r="E69" s="113"/>
    </row>
    <row r="70" spans="1:5" ht="12.75">
      <c r="A70" s="226">
        <v>14</v>
      </c>
      <c r="B70" t="s">
        <v>235</v>
      </c>
      <c r="C70" s="108">
        <f>+C37</f>
        <v>149000</v>
      </c>
      <c r="D70" s="108">
        <f>+C71</f>
        <v>139300</v>
      </c>
      <c r="E70" s="108">
        <f>D71</f>
        <v>78800</v>
      </c>
    </row>
    <row r="71" spans="1:5" ht="12.75">
      <c r="A71" s="226">
        <v>15</v>
      </c>
      <c r="B71" t="s">
        <v>236</v>
      </c>
      <c r="C71" s="108">
        <f>+C38</f>
        <v>139300</v>
      </c>
      <c r="D71" s="108">
        <f>+D38</f>
        <v>78800</v>
      </c>
      <c r="E71" s="109">
        <f>E70</f>
        <v>78800</v>
      </c>
    </row>
    <row r="72" spans="1:5" ht="12.75">
      <c r="A72" s="226">
        <v>16</v>
      </c>
      <c r="B72" s="48" t="s">
        <v>237</v>
      </c>
      <c r="C72" s="108">
        <f>+C39</f>
        <v>144150</v>
      </c>
      <c r="D72" s="108">
        <f>+D39</f>
        <v>109050</v>
      </c>
      <c r="E72" s="108">
        <f>E71</f>
        <v>78800</v>
      </c>
    </row>
    <row r="73" spans="1:5" ht="12.75">
      <c r="A73" s="226">
        <v>17</v>
      </c>
      <c r="B73" s="36" t="s">
        <v>155</v>
      </c>
      <c r="C73" s="108">
        <f>+C72*C64</f>
        <v>642.9090000000001</v>
      </c>
      <c r="D73" s="108">
        <f>+D72*D64</f>
        <v>723.0015</v>
      </c>
      <c r="E73" s="112">
        <f>E72*E64</f>
        <v>522.444</v>
      </c>
    </row>
    <row r="74" ht="10.5" customHeight="1">
      <c r="A74" s="226">
        <v>18</v>
      </c>
    </row>
    <row r="75" spans="1:5" ht="12.75">
      <c r="A75" s="306">
        <v>19</v>
      </c>
      <c r="B75" s="305" t="s">
        <v>408</v>
      </c>
      <c r="C75" s="305"/>
      <c r="D75" s="307"/>
      <c r="E75" s="307"/>
    </row>
    <row r="76" spans="1:5" ht="12.75">
      <c r="A76" s="306">
        <v>20</v>
      </c>
      <c r="B76" s="305" t="s">
        <v>235</v>
      </c>
      <c r="C76" s="307"/>
      <c r="D76" s="307"/>
      <c r="E76" s="307"/>
    </row>
    <row r="77" spans="1:5" ht="12.75">
      <c r="A77" s="306">
        <v>21</v>
      </c>
      <c r="B77" s="308" t="s">
        <v>400</v>
      </c>
      <c r="C77" s="307"/>
      <c r="D77" s="307"/>
      <c r="E77" s="307"/>
    </row>
    <row r="78" spans="1:5" ht="12.75">
      <c r="A78" s="306">
        <v>22</v>
      </c>
      <c r="B78" s="309" t="s">
        <v>237</v>
      </c>
      <c r="C78" s="307"/>
      <c r="D78" s="307"/>
      <c r="E78" s="307"/>
    </row>
    <row r="79" spans="1:5" ht="12.75">
      <c r="A79" s="306">
        <v>24</v>
      </c>
      <c r="B79" s="308" t="s">
        <v>155</v>
      </c>
      <c r="C79" s="310"/>
      <c r="D79" s="310"/>
      <c r="E79" s="310"/>
    </row>
    <row r="80" spans="1:5" ht="12.75">
      <c r="A80" s="306">
        <v>25</v>
      </c>
      <c r="B80" s="305"/>
      <c r="C80" s="305"/>
      <c r="D80" s="305"/>
      <c r="E80" s="305"/>
    </row>
    <row r="81" spans="1:5" ht="12.75">
      <c r="A81" s="226">
        <v>26</v>
      </c>
      <c r="B81" s="36" t="s">
        <v>404</v>
      </c>
      <c r="C81" s="109">
        <f>C65+C67+C73+C79</f>
        <v>1482.909</v>
      </c>
      <c r="D81" s="109">
        <f>D65+D67+D73+D79</f>
        <v>2341.0015</v>
      </c>
      <c r="E81" s="109">
        <f>E65+E67+E73+E79</f>
        <v>2134.444</v>
      </c>
    </row>
    <row r="82" ht="12.75">
      <c r="A82" s="226">
        <v>27</v>
      </c>
    </row>
    <row r="83" spans="1:5" ht="12.75">
      <c r="A83" s="226">
        <v>28</v>
      </c>
      <c r="B83" s="9" t="s">
        <v>405</v>
      </c>
      <c r="C83" s="125">
        <f>ROUND((C60+C70+C76)*C64,0)</f>
        <v>758</v>
      </c>
      <c r="D83" s="125">
        <f>ROUND((D60+D70+D76)*D64,0)</f>
        <v>1464</v>
      </c>
      <c r="E83" s="108"/>
    </row>
    <row r="84" spans="1:5" ht="12.75">
      <c r="A84" s="226">
        <v>29</v>
      </c>
      <c r="B84" s="9" t="s">
        <v>406</v>
      </c>
      <c r="C84" s="32">
        <f>C67</f>
        <v>611</v>
      </c>
      <c r="D84" s="32">
        <f>D67</f>
        <v>1144</v>
      </c>
      <c r="E84" s="108"/>
    </row>
    <row r="85" spans="1:5" ht="12.75">
      <c r="A85" s="226">
        <v>30</v>
      </c>
      <c r="B85" s="126" t="s">
        <v>407</v>
      </c>
      <c r="C85" s="125">
        <f>SUM(C83:C84)</f>
        <v>1369</v>
      </c>
      <c r="D85" s="125">
        <f>SUM(D83:D84)</f>
        <v>2608</v>
      </c>
      <c r="E85" s="108"/>
    </row>
    <row r="89" spans="1:5" ht="12.75">
      <c r="A89" s="410" t="s">
        <v>394</v>
      </c>
      <c r="B89" s="410"/>
      <c r="C89" s="410"/>
      <c r="D89" s="410"/>
      <c r="E89" s="410"/>
    </row>
    <row r="90" spans="1:5" ht="12.75">
      <c r="A90" s="410" t="s">
        <v>409</v>
      </c>
      <c r="B90" s="410"/>
      <c r="C90" s="410"/>
      <c r="D90" s="410"/>
      <c r="E90" s="410"/>
    </row>
    <row r="91" spans="1:5" ht="12.75">
      <c r="A91" s="410" t="s">
        <v>283</v>
      </c>
      <c r="B91" s="410"/>
      <c r="C91" s="410"/>
      <c r="D91" s="410"/>
      <c r="E91" s="410"/>
    </row>
    <row r="93" spans="3:5" ht="12.75">
      <c r="C93" s="124" t="s">
        <v>172</v>
      </c>
      <c r="D93" s="124" t="s">
        <v>173</v>
      </c>
      <c r="E93" s="124" t="s">
        <v>174</v>
      </c>
    </row>
    <row r="94" ht="12.75">
      <c r="E94" s="114" t="s">
        <v>396</v>
      </c>
    </row>
    <row r="95" spans="3:5" ht="12.75">
      <c r="C95" s="114">
        <f>+C56</f>
        <v>2018</v>
      </c>
      <c r="D95" s="124">
        <f>+D56</f>
        <v>2019</v>
      </c>
      <c r="E95" s="114" t="s">
        <v>397</v>
      </c>
    </row>
    <row r="96" spans="1:5" ht="12.75">
      <c r="A96" s="226">
        <v>1</v>
      </c>
      <c r="B96" t="s">
        <v>398</v>
      </c>
      <c r="C96" s="108">
        <f>+'Current Revenue Test'!E93</f>
        <v>-100020.67545929097</v>
      </c>
      <c r="D96" s="108">
        <f>+'Current Revenue Test'!F93</f>
        <v>-14468.825992788945</v>
      </c>
      <c r="E96" s="108"/>
    </row>
    <row r="97" spans="1:5" ht="12.75">
      <c r="A97" s="226">
        <v>2</v>
      </c>
      <c r="C97" s="108"/>
      <c r="D97" s="108"/>
      <c r="E97" s="109"/>
    </row>
    <row r="98" spans="2:5" ht="12.75">
      <c r="B98" t="s">
        <v>646</v>
      </c>
      <c r="C98" s="108"/>
      <c r="D98" s="108"/>
      <c r="E98" s="109"/>
    </row>
    <row r="99" spans="3:5" ht="12.75">
      <c r="C99" s="108"/>
      <c r="D99" s="108"/>
      <c r="E99" s="109"/>
    </row>
    <row r="100" spans="1:5" ht="12.75">
      <c r="A100" s="226">
        <v>3</v>
      </c>
      <c r="B100" t="s">
        <v>603</v>
      </c>
      <c r="C100" s="108"/>
      <c r="D100" s="108"/>
      <c r="E100" s="108"/>
    </row>
    <row r="101" spans="1:5" ht="12.75">
      <c r="A101" s="226">
        <v>4</v>
      </c>
      <c r="B101" t="s">
        <v>399</v>
      </c>
      <c r="C101" s="108">
        <f>+C27</f>
        <v>21000</v>
      </c>
      <c r="D101" s="108">
        <f>+C102</f>
        <v>-18520.67545929097</v>
      </c>
      <c r="E101" s="108">
        <f>D102</f>
        <v>-93489.50145207992</v>
      </c>
    </row>
    <row r="102" spans="1:5" ht="12.75">
      <c r="A102" s="226">
        <v>5</v>
      </c>
      <c r="B102" t="s">
        <v>400</v>
      </c>
      <c r="C102" s="108">
        <f>C101+C96+C97+60500</f>
        <v>-18520.67545929097</v>
      </c>
      <c r="D102" s="108">
        <f>D101+D96+D97-60500</f>
        <v>-93489.50145207992</v>
      </c>
      <c r="E102" s="108">
        <f>E101</f>
        <v>-93489.50145207992</v>
      </c>
    </row>
    <row r="103" spans="1:5" ht="12.75">
      <c r="A103" s="226">
        <v>6</v>
      </c>
      <c r="B103" s="48" t="s">
        <v>237</v>
      </c>
      <c r="C103" s="108">
        <f>ROUND((C101+C102)*0.5,0)</f>
        <v>1240</v>
      </c>
      <c r="D103" s="108">
        <f>ROUND((D101+D102)*0.5,0)</f>
        <v>-56005</v>
      </c>
      <c r="E103" s="108">
        <f>ROUND((E101+E102)*0.5,0)</f>
        <v>-93490</v>
      </c>
    </row>
    <row r="104" spans="1:5" ht="12.75">
      <c r="A104" s="226">
        <v>7</v>
      </c>
      <c r="C104" s="108"/>
      <c r="D104" s="108"/>
      <c r="E104" s="108"/>
    </row>
    <row r="105" spans="1:5" ht="12.75">
      <c r="A105" s="226">
        <v>8</v>
      </c>
      <c r="B105" s="36" t="s">
        <v>401</v>
      </c>
      <c r="C105" s="118">
        <f>+C64</f>
        <v>0.00446</v>
      </c>
      <c r="D105" s="118">
        <f>+D64</f>
        <v>0.00663</v>
      </c>
      <c r="E105" s="118">
        <f>D105</f>
        <v>0.00663</v>
      </c>
    </row>
    <row r="106" spans="1:5" ht="12.75">
      <c r="A106" s="226">
        <v>9</v>
      </c>
      <c r="B106" s="36" t="s">
        <v>402</v>
      </c>
      <c r="C106" s="109">
        <f>ROUND(C103*C105,0)</f>
        <v>6</v>
      </c>
      <c r="D106" s="109">
        <f>ROUND(D103*D105,0)</f>
        <v>-371</v>
      </c>
      <c r="E106" s="109">
        <f>ROUND(E103*E105,0)</f>
        <v>-620</v>
      </c>
    </row>
    <row r="107" spans="1:5" ht="12.75">
      <c r="A107" s="226">
        <v>10</v>
      </c>
      <c r="B107" s="36"/>
      <c r="C107" s="109"/>
      <c r="D107" s="109"/>
      <c r="E107" s="109"/>
    </row>
    <row r="108" spans="1:5" ht="12.75">
      <c r="A108" s="226">
        <v>11</v>
      </c>
      <c r="B108" s="36" t="s">
        <v>403</v>
      </c>
      <c r="C108" s="119">
        <f>+'Federal Capital Costs'!C9</f>
        <v>611</v>
      </c>
      <c r="D108" s="119">
        <f>+'Federal Capital Costs'!D9</f>
        <v>1144</v>
      </c>
      <c r="E108" s="119"/>
    </row>
    <row r="109" spans="1:5" ht="12.75">
      <c r="A109" s="226">
        <v>12</v>
      </c>
      <c r="B109" s="36"/>
      <c r="C109" s="109"/>
      <c r="D109" s="109"/>
      <c r="E109" s="109"/>
    </row>
    <row r="110" spans="1:5" ht="12.75">
      <c r="A110" s="226">
        <v>13</v>
      </c>
      <c r="B110" t="s">
        <v>703</v>
      </c>
      <c r="C110" s="119"/>
      <c r="D110" s="119"/>
      <c r="E110" s="119"/>
    </row>
    <row r="111" spans="1:5" ht="12.75">
      <c r="A111" s="226">
        <v>14</v>
      </c>
      <c r="B111" s="36" t="s">
        <v>235</v>
      </c>
      <c r="C111" s="109">
        <f aca="true" t="shared" si="20" ref="C111:D113">+C70</f>
        <v>149000</v>
      </c>
      <c r="D111" s="109">
        <f t="shared" si="20"/>
        <v>139300</v>
      </c>
      <c r="E111" s="109">
        <f>D112</f>
        <v>78800</v>
      </c>
    </row>
    <row r="112" spans="1:5" ht="12.75">
      <c r="A112" s="226">
        <v>15</v>
      </c>
      <c r="B112" s="36" t="s">
        <v>236</v>
      </c>
      <c r="C112" s="109">
        <f t="shared" si="20"/>
        <v>139300</v>
      </c>
      <c r="D112" s="109">
        <f t="shared" si="20"/>
        <v>78800</v>
      </c>
      <c r="E112" s="109">
        <f>E111</f>
        <v>78800</v>
      </c>
    </row>
    <row r="113" spans="1:5" ht="12.75">
      <c r="A113" s="226">
        <v>16</v>
      </c>
      <c r="B113" s="120" t="s">
        <v>237</v>
      </c>
      <c r="C113" s="109">
        <f t="shared" si="20"/>
        <v>144150</v>
      </c>
      <c r="D113" s="109">
        <f t="shared" si="20"/>
        <v>109050</v>
      </c>
      <c r="E113" s="109">
        <f>E112</f>
        <v>78800</v>
      </c>
    </row>
    <row r="114" spans="1:5" ht="12.75">
      <c r="A114" s="226">
        <v>17</v>
      </c>
      <c r="B114" s="36" t="s">
        <v>155</v>
      </c>
      <c r="C114" s="109">
        <f>+C113*C105</f>
        <v>642.9090000000001</v>
      </c>
      <c r="D114" s="109">
        <f>+D113*D105</f>
        <v>723.0015</v>
      </c>
      <c r="E114" s="119">
        <f>E113*E105</f>
        <v>522.444</v>
      </c>
    </row>
    <row r="115" spans="1:5" ht="12.75">
      <c r="A115" s="226">
        <v>18</v>
      </c>
      <c r="B115" s="36"/>
      <c r="C115" s="36"/>
      <c r="D115" s="36"/>
      <c r="E115" s="36"/>
    </row>
    <row r="116" spans="1:5" ht="12.75">
      <c r="A116" s="306">
        <v>19</v>
      </c>
      <c r="B116" s="308" t="s">
        <v>408</v>
      </c>
      <c r="C116" s="308"/>
      <c r="D116" s="311"/>
      <c r="E116" s="311"/>
    </row>
    <row r="117" spans="1:5" ht="12.75">
      <c r="A117" s="306">
        <v>20</v>
      </c>
      <c r="B117" s="308" t="s">
        <v>235</v>
      </c>
      <c r="C117" s="311"/>
      <c r="D117" s="311"/>
      <c r="E117" s="311"/>
    </row>
    <row r="118" spans="1:5" ht="12.75">
      <c r="A118" s="306">
        <v>21</v>
      </c>
      <c r="B118" s="308" t="s">
        <v>236</v>
      </c>
      <c r="C118" s="311"/>
      <c r="D118" s="311"/>
      <c r="E118" s="311"/>
    </row>
    <row r="119" spans="1:5" ht="12.75">
      <c r="A119" s="306">
        <v>22</v>
      </c>
      <c r="B119" s="312" t="s">
        <v>237</v>
      </c>
      <c r="C119" s="311"/>
      <c r="D119" s="311"/>
      <c r="E119" s="311"/>
    </row>
    <row r="120" spans="1:5" ht="12.75">
      <c r="A120" s="306">
        <v>24</v>
      </c>
      <c r="B120" s="308" t="s">
        <v>155</v>
      </c>
      <c r="C120" s="313"/>
      <c r="D120" s="313"/>
      <c r="E120" s="313"/>
    </row>
    <row r="121" spans="1:5" ht="12.75">
      <c r="A121" s="306">
        <v>25</v>
      </c>
      <c r="B121" s="308"/>
      <c r="C121" s="310"/>
      <c r="D121" s="310"/>
      <c r="E121" s="310"/>
    </row>
    <row r="122" spans="1:5" ht="12.75">
      <c r="A122" s="226">
        <v>26</v>
      </c>
      <c r="B122" s="36" t="s">
        <v>404</v>
      </c>
      <c r="C122" s="109">
        <f>C106+C108+C114+C120</f>
        <v>1259.909</v>
      </c>
      <c r="D122" s="109">
        <f>D106+D108+D114+D120</f>
        <v>1496.0014999999999</v>
      </c>
      <c r="E122" s="109">
        <f>E106+E108+E114+E120</f>
        <v>-97.55600000000004</v>
      </c>
    </row>
    <row r="123" ht="12.75">
      <c r="A123" s="226">
        <v>27</v>
      </c>
    </row>
    <row r="124" spans="1:5" ht="12.75">
      <c r="A124" s="226">
        <v>28</v>
      </c>
      <c r="B124" s="9" t="s">
        <v>405</v>
      </c>
      <c r="C124" s="125">
        <f>ROUND((C101+C111+C117)*C105,0)</f>
        <v>758</v>
      </c>
      <c r="D124" s="125">
        <f>ROUND((D101+D111+D117)*D105,0)</f>
        <v>801</v>
      </c>
      <c r="E124" s="108"/>
    </row>
    <row r="125" spans="1:5" ht="12.75">
      <c r="A125" s="226">
        <v>29</v>
      </c>
      <c r="B125" s="9" t="s">
        <v>406</v>
      </c>
      <c r="C125" s="32">
        <f>C108</f>
        <v>611</v>
      </c>
      <c r="D125" s="32">
        <f>D108</f>
        <v>1144</v>
      </c>
      <c r="E125" s="108"/>
    </row>
    <row r="126" spans="1:5" ht="12.75">
      <c r="A126" s="226">
        <v>30</v>
      </c>
      <c r="B126" s="126" t="s">
        <v>407</v>
      </c>
      <c r="C126" s="125">
        <f>SUM(C124:C125)</f>
        <v>1369</v>
      </c>
      <c r="D126" s="125">
        <f>SUM(D124:D125)</f>
        <v>1945</v>
      </c>
      <c r="E126" s="108"/>
    </row>
    <row r="134" ht="12.75">
      <c r="B134" s="36" t="s">
        <v>393</v>
      </c>
    </row>
    <row r="135" ht="12.75">
      <c r="B135" s="36" t="s">
        <v>283</v>
      </c>
    </row>
    <row r="138" spans="3:17" ht="12.75">
      <c r="C138" s="124">
        <v>2016</v>
      </c>
      <c r="D138" s="124">
        <f aca="true" t="shared" si="21" ref="D138">C138+1</f>
        <v>2017</v>
      </c>
      <c r="E138" s="124">
        <f aca="true" t="shared" si="22" ref="E138">D138+1</f>
        <v>2018</v>
      </c>
      <c r="F138" s="124">
        <f aca="true" t="shared" si="23" ref="F138">E138+1</f>
        <v>2019</v>
      </c>
      <c r="G138" s="124">
        <f aca="true" t="shared" si="24" ref="G138">F138+1</f>
        <v>2020</v>
      </c>
      <c r="H138" s="124">
        <f aca="true" t="shared" si="25" ref="H138">G138+1</f>
        <v>2021</v>
      </c>
      <c r="I138" s="124">
        <f aca="true" t="shared" si="26" ref="I138">H138+1</f>
        <v>2022</v>
      </c>
      <c r="J138" s="124">
        <f aca="true" t="shared" si="27" ref="J138">I138+1</f>
        <v>2023</v>
      </c>
      <c r="K138" s="124">
        <f aca="true" t="shared" si="28" ref="K138">J138+1</f>
        <v>2024</v>
      </c>
      <c r="L138" s="124">
        <f aca="true" t="shared" si="29" ref="L138">K138+1</f>
        <v>2025</v>
      </c>
      <c r="M138" s="124">
        <f aca="true" t="shared" si="30" ref="M138">L138+1</f>
        <v>2026</v>
      </c>
      <c r="N138" s="124">
        <f aca="true" t="shared" si="31" ref="N138">M138+1</f>
        <v>2027</v>
      </c>
      <c r="O138" s="124">
        <f aca="true" t="shared" si="32" ref="O138">N138+1</f>
        <v>2028</v>
      </c>
      <c r="P138" s="13">
        <f aca="true" t="shared" si="33" ref="P138:Q138">O138+1</f>
        <v>2029</v>
      </c>
      <c r="Q138" s="13">
        <f t="shared" si="33"/>
        <v>2030</v>
      </c>
    </row>
    <row r="139" spans="3:17" ht="12.7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2:17" ht="12.75">
      <c r="B140" s="28" t="s">
        <v>219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2:17" ht="12.75">
      <c r="B141" t="s">
        <v>218</v>
      </c>
      <c r="C141" s="29"/>
      <c r="D141" s="29"/>
      <c r="E141" s="29">
        <f>+'Federal Capital Costs'!C52</f>
        <v>91070</v>
      </c>
      <c r="F141" s="29">
        <f>+'Federal Capital Costs'!D52</f>
        <v>17371</v>
      </c>
      <c r="G141" s="29">
        <f>+'Federal Capital Costs'!E52</f>
        <v>21480</v>
      </c>
      <c r="H141" s="29">
        <f>+'Federal Capital Costs'!F52</f>
        <v>21901</v>
      </c>
      <c r="I141" s="29">
        <f>+'Federal Capital Costs'!G52</f>
        <v>76140</v>
      </c>
      <c r="J141" s="29">
        <f>+'Federal Capital Costs'!H52</f>
        <v>24766</v>
      </c>
      <c r="K141" s="29">
        <f>+'Federal Capital Costs'!I52</f>
        <v>39310</v>
      </c>
      <c r="L141" s="29">
        <f>+'Federal Capital Costs'!J52</f>
        <v>54013</v>
      </c>
      <c r="M141" s="29">
        <f>+'Federal Capital Costs'!K52</f>
        <v>41134</v>
      </c>
      <c r="N141" s="29">
        <f>+'Federal Capital Costs'!L52</f>
        <v>98275</v>
      </c>
      <c r="O141" s="29">
        <f>+'Federal Capital Costs'!M52</f>
        <v>66985</v>
      </c>
      <c r="P141" s="29">
        <f>+'Federal Capital Costs'!N52</f>
        <v>57013</v>
      </c>
      <c r="Q141" s="29">
        <f>+'Federal Capital Costs'!O52</f>
        <v>0</v>
      </c>
    </row>
    <row r="142" spans="2:17" ht="12.75">
      <c r="B142" t="s">
        <v>217</v>
      </c>
      <c r="C142" s="29"/>
      <c r="D142" s="29"/>
      <c r="E142" s="29">
        <f>+'Federal Capital Costs'!C51</f>
        <v>44150</v>
      </c>
      <c r="F142" s="29">
        <f>+'Federal Capital Costs'!D51</f>
        <v>156250</v>
      </c>
      <c r="G142" s="29">
        <f>+'Federal Capital Costs'!E51</f>
        <v>138100</v>
      </c>
      <c r="H142" s="29">
        <f>+'Federal Capital Costs'!F51</f>
        <v>158000</v>
      </c>
      <c r="I142" s="29">
        <f>+'Federal Capital Costs'!G51</f>
        <v>85800</v>
      </c>
      <c r="J142" s="29">
        <f>+'Federal Capital Costs'!H51</f>
        <v>150150</v>
      </c>
      <c r="K142" s="29">
        <f>+'Federal Capital Costs'!I51</f>
        <v>132600</v>
      </c>
      <c r="L142" s="29">
        <f>+'Federal Capital Costs'!J51</f>
        <v>101492</v>
      </c>
      <c r="M142" s="29">
        <f>+'Federal Capital Costs'!K51</f>
        <v>124132</v>
      </c>
      <c r="N142" s="29">
        <f>+'Federal Capital Costs'!L51</f>
        <v>66134</v>
      </c>
      <c r="O142" s="29">
        <f>+'Federal Capital Costs'!M51</f>
        <v>81948</v>
      </c>
      <c r="P142" s="29">
        <f>+'Federal Capital Costs'!N51</f>
        <v>390751</v>
      </c>
      <c r="Q142" s="29">
        <f>+'Federal Capital Costs'!O51</f>
        <v>339616</v>
      </c>
    </row>
    <row r="143" spans="1:17" ht="12.75">
      <c r="A143" s="228"/>
      <c r="B143" s="43" t="s">
        <v>199</v>
      </c>
      <c r="C143" s="33"/>
      <c r="D143" s="33"/>
      <c r="E143" s="33">
        <f>+'Federal Capital Costs'!C53</f>
        <v>27234</v>
      </c>
      <c r="F143" s="33">
        <f>+'Federal Capital Costs'!D53</f>
        <v>56573</v>
      </c>
      <c r="G143" s="33">
        <f>+'Federal Capital Costs'!E53</f>
        <v>24317</v>
      </c>
      <c r="H143" s="33">
        <f>+'Federal Capital Costs'!F53</f>
        <v>14747</v>
      </c>
      <c r="I143" s="33">
        <f>+'Federal Capital Costs'!G53</f>
        <v>16060</v>
      </c>
      <c r="J143" s="33">
        <f>+'Federal Capital Costs'!H53</f>
        <v>12846</v>
      </c>
      <c r="K143" s="33">
        <f>+'Federal Capital Costs'!I53</f>
        <v>15117</v>
      </c>
      <c r="L143" s="33">
        <f>+'Federal Capital Costs'!J53</f>
        <v>13543</v>
      </c>
      <c r="M143" s="33">
        <f>+'Federal Capital Costs'!K53</f>
        <v>20755</v>
      </c>
      <c r="N143" s="33">
        <f>+'Federal Capital Costs'!L53</f>
        <v>6118</v>
      </c>
      <c r="O143" s="33">
        <f>+'Federal Capital Costs'!M53</f>
        <v>11186</v>
      </c>
      <c r="P143" s="33">
        <f>+'Federal Capital Costs'!N53</f>
        <v>4065</v>
      </c>
      <c r="Q143" s="33">
        <f>+'Federal Capital Costs'!O53</f>
        <v>1996</v>
      </c>
    </row>
    <row r="144" spans="2:17" ht="12.75">
      <c r="B144" t="s">
        <v>124</v>
      </c>
      <c r="C144" s="30"/>
      <c r="D144" s="30"/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</row>
    <row r="145" spans="2:17" ht="12.75">
      <c r="B145" s="41" t="s">
        <v>224</v>
      </c>
      <c r="C145" s="29"/>
      <c r="D145" s="29"/>
      <c r="E145" s="29">
        <f>SUM(E139:E144)</f>
        <v>162454</v>
      </c>
      <c r="F145" s="29">
        <f aca="true" t="shared" si="34" ref="F145:Q145">SUM(F139:F144)</f>
        <v>230194</v>
      </c>
      <c r="G145" s="29">
        <f t="shared" si="34"/>
        <v>183897</v>
      </c>
      <c r="H145" s="29">
        <f t="shared" si="34"/>
        <v>194648</v>
      </c>
      <c r="I145" s="29">
        <f t="shared" si="34"/>
        <v>178000</v>
      </c>
      <c r="J145" s="29">
        <f t="shared" si="34"/>
        <v>187762</v>
      </c>
      <c r="K145" s="29">
        <f t="shared" si="34"/>
        <v>187027</v>
      </c>
      <c r="L145" s="29">
        <f t="shared" si="34"/>
        <v>169048</v>
      </c>
      <c r="M145" s="29">
        <f t="shared" si="34"/>
        <v>186021</v>
      </c>
      <c r="N145" s="29">
        <f t="shared" si="34"/>
        <v>170527</v>
      </c>
      <c r="O145" s="29">
        <f t="shared" si="34"/>
        <v>160119</v>
      </c>
      <c r="P145" s="29">
        <f t="shared" si="34"/>
        <v>451829</v>
      </c>
      <c r="Q145" s="29">
        <f t="shared" si="34"/>
        <v>341612</v>
      </c>
    </row>
    <row r="146" spans="3:17" ht="12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2:17" ht="12.75">
      <c r="B147" s="28" t="s">
        <v>220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2:17" ht="12.75">
      <c r="B148" s="38" t="s">
        <v>200</v>
      </c>
      <c r="C148" s="29"/>
      <c r="D148" s="29"/>
      <c r="E148" s="29">
        <f>SUM('cost table'!D78:D84)</f>
        <v>230887.74216833335</v>
      </c>
      <c r="F148" s="29">
        <f>SUM('cost table'!E78:E84)</f>
        <v>231523.75265333333</v>
      </c>
      <c r="G148" s="29">
        <f>SUM('cost table'!F78:F84)</f>
        <v>236636.90431743333</v>
      </c>
      <c r="H148" s="29">
        <f>SUM('cost table'!G78:G84)</f>
        <v>242267.95696898844</v>
      </c>
      <c r="I148" s="29">
        <f>SUM('cost table'!H78:H84)</f>
        <v>246681.65020861238</v>
      </c>
      <c r="J148" s="29">
        <f>SUM('cost table'!I78:I84)</f>
        <v>246946.25824659644</v>
      </c>
      <c r="K148" s="29">
        <f>SUM('cost table'!J78:J84)</f>
        <v>241577.72319191188</v>
      </c>
      <c r="L148" s="29">
        <f>SUM('cost table'!K78:K84)</f>
        <v>241045.04051738736</v>
      </c>
      <c r="M148" s="29">
        <f>SUM('cost table'!L78:L84)</f>
        <v>237184.69495084905</v>
      </c>
      <c r="N148" s="29">
        <f>SUM('cost table'!M78:M84)</f>
        <v>237752.666524172</v>
      </c>
      <c r="O148" s="29">
        <f>SUM('cost table'!N78:N84)</f>
        <v>235916.46808468777</v>
      </c>
      <c r="P148" s="29">
        <f>SUM('cost table'!O78:O84)</f>
        <v>242324.18463078563</v>
      </c>
      <c r="Q148" s="29">
        <f>SUM('cost table'!P78:P84)</f>
        <v>248839.30934079512</v>
      </c>
    </row>
    <row r="149" spans="2:17" ht="12.75">
      <c r="B149" s="39" t="s">
        <v>62</v>
      </c>
      <c r="C149" s="24"/>
      <c r="D149" s="24"/>
      <c r="E149" s="24">
        <v>-45937</v>
      </c>
      <c r="F149" s="24">
        <v>-45937</v>
      </c>
      <c r="G149" s="24">
        <v>-45937</v>
      </c>
      <c r="H149" s="24">
        <v>-45937</v>
      </c>
      <c r="I149" s="24">
        <v>-45937</v>
      </c>
      <c r="J149" s="24">
        <v>-45937</v>
      </c>
      <c r="K149" s="24">
        <v>-45937</v>
      </c>
      <c r="L149" s="24">
        <v>-45937</v>
      </c>
      <c r="M149" s="24">
        <v>-45937</v>
      </c>
      <c r="N149" s="24">
        <v>-45937</v>
      </c>
      <c r="O149" s="24">
        <v>-45937</v>
      </c>
      <c r="P149" s="24">
        <v>-45937</v>
      </c>
      <c r="Q149" s="24">
        <v>-45937</v>
      </c>
    </row>
    <row r="150" spans="2:17" ht="12.75">
      <c r="B150" s="40" t="s">
        <v>221</v>
      </c>
      <c r="C150" s="29"/>
      <c r="D150" s="29"/>
      <c r="E150" s="29">
        <v>-3524</v>
      </c>
      <c r="F150" s="29">
        <v>-3524</v>
      </c>
      <c r="G150" s="29">
        <v>-3524</v>
      </c>
      <c r="H150" s="29">
        <v>-3524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2:17" ht="12.75">
      <c r="B151" s="40" t="s">
        <v>238</v>
      </c>
      <c r="C151" s="29">
        <f>+D151</f>
        <v>-30600</v>
      </c>
      <c r="D151" s="29">
        <f>+E151</f>
        <v>-30600</v>
      </c>
      <c r="E151" s="29">
        <v>-30600</v>
      </c>
      <c r="F151" s="29">
        <f aca="true" t="shared" si="35" ref="F151:Q151">+E151</f>
        <v>-30600</v>
      </c>
      <c r="G151" s="29">
        <f t="shared" si="35"/>
        <v>-30600</v>
      </c>
      <c r="H151" s="29">
        <f t="shared" si="35"/>
        <v>-30600</v>
      </c>
      <c r="I151" s="29">
        <f t="shared" si="35"/>
        <v>-30600</v>
      </c>
      <c r="J151" s="29">
        <f t="shared" si="35"/>
        <v>-30600</v>
      </c>
      <c r="K151" s="29">
        <f t="shared" si="35"/>
        <v>-30600</v>
      </c>
      <c r="L151" s="29">
        <f t="shared" si="35"/>
        <v>-30600</v>
      </c>
      <c r="M151" s="29">
        <f t="shared" si="35"/>
        <v>-30600</v>
      </c>
      <c r="N151" s="29">
        <f t="shared" si="35"/>
        <v>-30600</v>
      </c>
      <c r="O151" s="29">
        <f t="shared" si="35"/>
        <v>-30600</v>
      </c>
      <c r="P151" s="29">
        <f t="shared" si="35"/>
        <v>-30600</v>
      </c>
      <c r="Q151" s="29">
        <f t="shared" si="35"/>
        <v>-30600</v>
      </c>
    </row>
    <row r="152" spans="2:17" ht="12.75">
      <c r="B152" s="40" t="s">
        <v>239</v>
      </c>
      <c r="C152" s="29"/>
      <c r="D152" s="29"/>
      <c r="E152" s="29">
        <f>+'Federal Capital Costs'!C45</f>
        <v>11627.714081461887</v>
      </c>
      <c r="F152" s="29">
        <f>+'Federal Capital Costs'!D45</f>
        <v>10747.46794684212</v>
      </c>
      <c r="G152" s="29">
        <f>+'Federal Capital Costs'!E45</f>
        <v>9826.374364535337</v>
      </c>
      <c r="H152" s="29">
        <f>+'Federal Capital Costs'!F45</f>
        <v>8862.537513691579</v>
      </c>
      <c r="I152" s="29">
        <f>+'Federal Capital Costs'!G45</f>
        <v>7853.97357060828</v>
      </c>
      <c r="J152" s="29">
        <f>+'Federal Capital Costs'!H45</f>
        <v>6798.60662309995</v>
      </c>
      <c r="K152" s="29">
        <f>+'Federal Capital Costs'!I45</f>
        <v>5694.264395162258</v>
      </c>
      <c r="L152" s="29">
        <f>+'Federal Capital Costs'!J45</f>
        <v>4538.673773120818</v>
      </c>
      <c r="M152" s="29">
        <f>+'Federal Capital Costs'!K45</f>
        <v>3329.456124045985</v>
      </c>
      <c r="N152" s="29">
        <f>+'Federal Capital Costs'!L45</f>
        <v>2064.1223967866927</v>
      </c>
      <c r="O152" s="29">
        <f>+'Federal Capital Costs'!M45</f>
        <v>740.067995528412</v>
      </c>
      <c r="P152" s="29">
        <f>+'Federal Capital Costs'!N45</f>
        <v>0</v>
      </c>
      <c r="Q152" s="29">
        <f>+'Federal Capital Costs'!O45</f>
        <v>0</v>
      </c>
    </row>
    <row r="153" spans="2:17" ht="12.75">
      <c r="B153" s="42" t="s">
        <v>223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</sheetData>
  <mergeCells count="8">
    <mergeCell ref="A19:E19"/>
    <mergeCell ref="A20:E20"/>
    <mergeCell ref="A89:E89"/>
    <mergeCell ref="A90:E90"/>
    <mergeCell ref="A91:E91"/>
    <mergeCell ref="A50:E50"/>
    <mergeCell ref="A52:E52"/>
    <mergeCell ref="A51:E51"/>
  </mergeCells>
  <conditionalFormatting sqref="C149:Q149">
    <cfRule type="expression" priority="15" dxfId="0" stopIfTrue="1">
      <formula>IF(AND(C43="",ROW()&lt;MATCH($B:$B,"Revenue Credits / Rate Design Adjustments",0)),TRUE,FALSE)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B4:AE7"/>
  <sheetViews>
    <sheetView workbookViewId="0" topLeftCell="A1">
      <selection activeCell="K28" sqref="K28"/>
    </sheetView>
  </sheetViews>
  <sheetFormatPr defaultColWidth="9.140625" defaultRowHeight="12.75"/>
  <cols>
    <col min="2" max="2" width="23.140625" style="0" bestFit="1" customWidth="1"/>
  </cols>
  <sheetData>
    <row r="4" spans="3:31" ht="12.75">
      <c r="C4">
        <v>2016</v>
      </c>
      <c r="D4">
        <v>2017</v>
      </c>
      <c r="E4">
        <v>2018</v>
      </c>
      <c r="F4">
        <v>2019</v>
      </c>
      <c r="G4">
        <v>2020</v>
      </c>
      <c r="H4">
        <v>2021</v>
      </c>
      <c r="I4">
        <v>2022</v>
      </c>
      <c r="J4">
        <v>2023</v>
      </c>
      <c r="K4">
        <v>2024</v>
      </c>
      <c r="L4">
        <v>2025</v>
      </c>
      <c r="M4">
        <v>2026</v>
      </c>
      <c r="N4">
        <v>2027</v>
      </c>
      <c r="O4">
        <v>2028</v>
      </c>
      <c r="P4">
        <v>2029</v>
      </c>
      <c r="Q4">
        <v>2030</v>
      </c>
      <c r="R4">
        <v>2031</v>
      </c>
      <c r="S4">
        <v>2032</v>
      </c>
      <c r="T4">
        <v>2033</v>
      </c>
      <c r="U4">
        <v>2034</v>
      </c>
      <c r="V4">
        <v>2035</v>
      </c>
      <c r="W4">
        <v>2036</v>
      </c>
      <c r="X4">
        <v>2037</v>
      </c>
      <c r="Y4">
        <v>2038</v>
      </c>
      <c r="Z4">
        <v>2039</v>
      </c>
      <c r="AA4">
        <v>2040</v>
      </c>
      <c r="AB4">
        <v>2041</v>
      </c>
      <c r="AC4">
        <v>2042</v>
      </c>
      <c r="AD4">
        <v>2043</v>
      </c>
      <c r="AE4">
        <v>2044</v>
      </c>
    </row>
    <row r="5" ht="12.75">
      <c r="B5" t="s">
        <v>261</v>
      </c>
    </row>
    <row r="6" ht="12.75">
      <c r="B6" t="s">
        <v>455</v>
      </c>
    </row>
    <row r="7" ht="12.75">
      <c r="B7" t="s">
        <v>456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B1:BB68"/>
  <sheetViews>
    <sheetView zoomScale="80" zoomScaleNormal="80" workbookViewId="0" topLeftCell="A1">
      <selection activeCell="C4" sqref="C4:D4"/>
    </sheetView>
  </sheetViews>
  <sheetFormatPr defaultColWidth="9.140625" defaultRowHeight="12.75"/>
  <cols>
    <col min="1" max="1" width="9.140625" style="9" customWidth="1"/>
    <col min="2" max="2" width="20.28125" style="9" customWidth="1"/>
    <col min="3" max="26" width="11.28125" style="9" bestFit="1" customWidth="1"/>
    <col min="27" max="29" width="9.57421875" style="9" bestFit="1" customWidth="1"/>
    <col min="30" max="16384" width="9.140625" style="9" customWidth="1"/>
  </cols>
  <sheetData>
    <row r="1" spans="2:4" ht="18">
      <c r="B1" s="372" t="s">
        <v>657</v>
      </c>
      <c r="D1" s="372" t="s">
        <v>728</v>
      </c>
    </row>
    <row r="2" spans="3:54" ht="12.75">
      <c r="C2" s="128">
        <v>2018</v>
      </c>
      <c r="D2" s="128">
        <v>2019</v>
      </c>
      <c r="E2" s="128">
        <v>2020</v>
      </c>
      <c r="F2" s="128">
        <v>2021</v>
      </c>
      <c r="G2" s="128">
        <v>2022</v>
      </c>
      <c r="H2" s="128">
        <v>2023</v>
      </c>
      <c r="I2" s="128">
        <v>2024</v>
      </c>
      <c r="J2" s="128">
        <v>2025</v>
      </c>
      <c r="K2" s="128">
        <v>2026</v>
      </c>
      <c r="L2" s="128">
        <v>2027</v>
      </c>
      <c r="M2" s="128">
        <v>2028</v>
      </c>
      <c r="N2" s="128">
        <v>2029</v>
      </c>
      <c r="O2" s="128">
        <v>2030</v>
      </c>
      <c r="P2" s="128">
        <v>2031</v>
      </c>
      <c r="Q2" s="128">
        <v>2032</v>
      </c>
      <c r="R2" s="128">
        <v>2033</v>
      </c>
      <c r="S2" s="128">
        <v>2034</v>
      </c>
      <c r="T2" s="128">
        <v>2035</v>
      </c>
      <c r="U2" s="128">
        <v>2036</v>
      </c>
      <c r="V2" s="128">
        <v>2037</v>
      </c>
      <c r="W2" s="128">
        <v>2038</v>
      </c>
      <c r="X2" s="128">
        <v>2039</v>
      </c>
      <c r="Y2" s="128">
        <v>2040</v>
      </c>
      <c r="Z2" s="128">
        <v>2041</v>
      </c>
      <c r="AA2" s="128">
        <v>2042</v>
      </c>
      <c r="AB2" s="128">
        <v>2043</v>
      </c>
      <c r="AC2" s="128">
        <v>2044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9" ht="12.75">
      <c r="B3" s="128" t="s">
        <v>261</v>
      </c>
      <c r="C3" s="316" t="s">
        <v>717</v>
      </c>
      <c r="D3" s="237"/>
      <c r="E3" s="237"/>
      <c r="F3" s="237"/>
      <c r="G3" s="237"/>
      <c r="H3" s="237"/>
      <c r="I3" s="237"/>
    </row>
    <row r="4" spans="2:54" s="347" customFormat="1" ht="12.75">
      <c r="B4" s="347" t="s">
        <v>415</v>
      </c>
      <c r="C4" s="122">
        <v>56449</v>
      </c>
      <c r="D4" s="122">
        <v>63302</v>
      </c>
      <c r="E4" s="122">
        <v>76627</v>
      </c>
      <c r="F4" s="122">
        <v>83988</v>
      </c>
      <c r="G4" s="122">
        <v>90758</v>
      </c>
      <c r="H4" s="122">
        <v>96470</v>
      </c>
      <c r="I4" s="122">
        <v>101480</v>
      </c>
      <c r="J4" s="122">
        <v>109841</v>
      </c>
      <c r="K4" s="122">
        <v>115553</v>
      </c>
      <c r="L4" s="122">
        <v>122671</v>
      </c>
      <c r="M4" s="122">
        <v>131733</v>
      </c>
      <c r="N4" s="122">
        <v>135417</v>
      </c>
      <c r="O4" s="122">
        <v>138895</v>
      </c>
      <c r="P4" s="122">
        <v>139356</v>
      </c>
      <c r="Q4" s="122">
        <v>145733</v>
      </c>
      <c r="R4" s="122">
        <v>146433</v>
      </c>
      <c r="S4" s="122">
        <v>144645</v>
      </c>
      <c r="T4" s="122">
        <v>148841</v>
      </c>
      <c r="U4" s="122">
        <v>147941</v>
      </c>
      <c r="V4" s="122">
        <v>137391</v>
      </c>
      <c r="W4" s="122">
        <v>120783</v>
      </c>
      <c r="X4" s="122">
        <v>102277</v>
      </c>
      <c r="Y4" s="122">
        <v>82352</v>
      </c>
      <c r="Z4" s="122">
        <v>60959</v>
      </c>
      <c r="AA4" s="122">
        <v>40153</v>
      </c>
      <c r="AB4" s="122">
        <v>18412</v>
      </c>
      <c r="AC4" s="122">
        <v>6279</v>
      </c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</row>
    <row r="5" spans="2:54" s="347" customFormat="1" ht="12.75">
      <c r="B5" s="347" t="s">
        <v>416</v>
      </c>
      <c r="C5" s="122">
        <v>83294</v>
      </c>
      <c r="D5" s="122">
        <v>82687</v>
      </c>
      <c r="E5" s="122">
        <v>84133</v>
      </c>
      <c r="F5" s="122">
        <v>83749</v>
      </c>
      <c r="G5" s="122">
        <v>83623</v>
      </c>
      <c r="H5" s="122">
        <v>81408</v>
      </c>
      <c r="I5" s="122">
        <v>81408</v>
      </c>
      <c r="J5" s="122">
        <v>81121</v>
      </c>
      <c r="K5" s="122">
        <v>79538</v>
      </c>
      <c r="L5" s="122">
        <v>79485</v>
      </c>
      <c r="M5" s="122">
        <v>76377</v>
      </c>
      <c r="N5" s="122">
        <v>76128</v>
      </c>
      <c r="O5" s="122">
        <v>64014</v>
      </c>
      <c r="P5" s="122">
        <v>57664</v>
      </c>
      <c r="Q5" s="122">
        <v>48734</v>
      </c>
      <c r="R5" s="122">
        <v>35336</v>
      </c>
      <c r="S5" s="122">
        <v>31507</v>
      </c>
      <c r="T5" s="122">
        <v>22074</v>
      </c>
      <c r="U5" s="122">
        <v>7506</v>
      </c>
      <c r="V5" s="122">
        <v>3017</v>
      </c>
      <c r="W5" s="122">
        <v>3017</v>
      </c>
      <c r="X5" s="122">
        <v>3017</v>
      </c>
      <c r="Y5" s="122">
        <v>3017</v>
      </c>
      <c r="Z5" s="122">
        <v>3017</v>
      </c>
      <c r="AA5" s="122">
        <v>3017</v>
      </c>
      <c r="AB5" s="122">
        <v>3017</v>
      </c>
      <c r="AC5" s="122">
        <v>3017</v>
      </c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</row>
    <row r="6" spans="2:23" s="347" customFormat="1" ht="12.75">
      <c r="B6" s="377" t="s">
        <v>534</v>
      </c>
      <c r="C6" s="26">
        <v>11627.714081461887</v>
      </c>
      <c r="D6" s="26">
        <v>10747.46794684212</v>
      </c>
      <c r="E6" s="26">
        <v>9826.374364535337</v>
      </c>
      <c r="F6" s="26">
        <v>8862.537513691579</v>
      </c>
      <c r="G6" s="26">
        <v>7853.97357060828</v>
      </c>
      <c r="H6" s="26">
        <v>6798.60662309995</v>
      </c>
      <c r="I6" s="26">
        <v>5694.264395162258</v>
      </c>
      <c r="J6" s="26">
        <v>4538.673773120818</v>
      </c>
      <c r="K6" s="26">
        <v>3329.456124045985</v>
      </c>
      <c r="L6" s="26">
        <v>2064.1223967866927</v>
      </c>
      <c r="M6" s="26">
        <v>740.067995528412</v>
      </c>
      <c r="N6" s="26"/>
      <c r="O6" s="26"/>
      <c r="P6" s="122"/>
      <c r="Q6" s="122"/>
      <c r="R6" s="122"/>
      <c r="S6" s="122"/>
      <c r="T6" s="122"/>
      <c r="U6" s="122"/>
      <c r="V6" s="122"/>
      <c r="W6" s="122"/>
    </row>
    <row r="7" spans="2:25" s="347" customFormat="1" ht="12.75">
      <c r="B7" s="347" t="s">
        <v>418</v>
      </c>
      <c r="C7" s="347">
        <v>0</v>
      </c>
      <c r="D7" s="347">
        <v>0</v>
      </c>
      <c r="E7" s="347">
        <v>0</v>
      </c>
      <c r="F7" s="347">
        <v>0</v>
      </c>
      <c r="G7" s="347">
        <v>0</v>
      </c>
      <c r="H7" s="347">
        <v>0</v>
      </c>
      <c r="I7" s="347">
        <v>0</v>
      </c>
      <c r="J7" s="347">
        <v>0</v>
      </c>
      <c r="K7" s="347">
        <v>0</v>
      </c>
      <c r="L7" s="347">
        <v>0</v>
      </c>
      <c r="M7" s="347">
        <v>0</v>
      </c>
      <c r="N7" s="347">
        <v>0</v>
      </c>
      <c r="O7" s="347">
        <v>0</v>
      </c>
      <c r="P7" s="347">
        <v>0</v>
      </c>
      <c r="Q7" s="347">
        <v>0</v>
      </c>
      <c r="R7" s="347">
        <v>0</v>
      </c>
      <c r="S7" s="347">
        <v>0</v>
      </c>
      <c r="T7" s="347">
        <v>0</v>
      </c>
      <c r="U7" s="347">
        <v>0</v>
      </c>
      <c r="V7" s="347">
        <v>0</v>
      </c>
      <c r="W7" s="347">
        <v>0</v>
      </c>
      <c r="X7" s="347">
        <v>0</v>
      </c>
      <c r="Y7" s="347">
        <v>0</v>
      </c>
    </row>
    <row r="8" s="347" customFormat="1" ht="12.75"/>
    <row r="9" spans="2:29" s="347" customFormat="1" ht="12.75">
      <c r="B9" s="129" t="s">
        <v>420</v>
      </c>
      <c r="C9" s="347">
        <v>611</v>
      </c>
      <c r="D9" s="347">
        <v>1144</v>
      </c>
      <c r="E9" s="347">
        <v>975</v>
      </c>
      <c r="F9" s="347">
        <v>1006</v>
      </c>
      <c r="G9" s="347">
        <v>898</v>
      </c>
      <c r="H9" s="347">
        <v>977</v>
      </c>
      <c r="I9" s="347">
        <v>951</v>
      </c>
      <c r="J9" s="347">
        <v>847</v>
      </c>
      <c r="K9" s="347">
        <v>928</v>
      </c>
      <c r="L9" s="347">
        <v>889</v>
      </c>
      <c r="M9" s="347">
        <v>784</v>
      </c>
      <c r="N9" s="347">
        <v>1861</v>
      </c>
      <c r="O9" s="347">
        <v>1585</v>
      </c>
      <c r="P9" s="347">
        <v>1690</v>
      </c>
      <c r="Q9" s="347">
        <v>2030</v>
      </c>
      <c r="R9" s="347">
        <v>2048</v>
      </c>
      <c r="S9" s="347">
        <v>2038</v>
      </c>
      <c r="T9" s="347">
        <v>2068</v>
      </c>
      <c r="U9" s="347">
        <v>2154</v>
      </c>
      <c r="V9" s="347">
        <v>2165</v>
      </c>
      <c r="W9" s="347">
        <v>2224</v>
      </c>
      <c r="X9" s="347">
        <v>2360</v>
      </c>
      <c r="Y9" s="347">
        <v>2399</v>
      </c>
      <c r="Z9" s="347">
        <v>2456</v>
      </c>
      <c r="AA9" s="347">
        <v>2492</v>
      </c>
      <c r="AB9" s="347">
        <v>2525</v>
      </c>
      <c r="AC9" s="347">
        <v>2172</v>
      </c>
    </row>
    <row r="10" s="347" customFormat="1" ht="12.75"/>
    <row r="11" s="347" customFormat="1" ht="12.75">
      <c r="B11" s="129" t="s">
        <v>419</v>
      </c>
    </row>
    <row r="12" spans="2:29" s="347" customFormat="1" ht="12.75">
      <c r="B12" s="347" t="s">
        <v>415</v>
      </c>
      <c r="C12" s="347">
        <v>44150</v>
      </c>
      <c r="D12" s="347">
        <v>156250</v>
      </c>
      <c r="E12" s="347">
        <v>138100</v>
      </c>
      <c r="F12" s="347">
        <v>158000</v>
      </c>
      <c r="G12" s="347">
        <v>85800</v>
      </c>
      <c r="H12" s="347">
        <v>150150</v>
      </c>
      <c r="I12" s="347">
        <v>132600</v>
      </c>
      <c r="J12" s="347">
        <v>74950</v>
      </c>
      <c r="K12" s="347">
        <v>119000</v>
      </c>
      <c r="L12" s="347">
        <v>61000</v>
      </c>
      <c r="M12" s="347">
        <v>76000</v>
      </c>
      <c r="N12" s="347">
        <v>177000</v>
      </c>
      <c r="O12" s="347">
        <v>211484</v>
      </c>
      <c r="P12" s="347">
        <v>167516</v>
      </c>
      <c r="Q12" s="347">
        <v>187389</v>
      </c>
      <c r="R12" s="347">
        <v>414591</v>
      </c>
      <c r="S12" s="347">
        <v>264409</v>
      </c>
      <c r="T12" s="347">
        <v>82000</v>
      </c>
      <c r="U12" s="347">
        <v>376751</v>
      </c>
      <c r="V12" s="347">
        <v>569491</v>
      </c>
      <c r="W12" s="347">
        <v>611840</v>
      </c>
      <c r="X12" s="347">
        <v>648262</v>
      </c>
      <c r="Y12" s="347">
        <v>684639</v>
      </c>
      <c r="Z12" s="347">
        <v>712908</v>
      </c>
      <c r="AA12" s="347">
        <v>660020</v>
      </c>
      <c r="AB12" s="347">
        <v>755389</v>
      </c>
      <c r="AC12" s="347">
        <v>261149</v>
      </c>
    </row>
    <row r="13" spans="2:29" s="347" customFormat="1" ht="12.75">
      <c r="B13" s="347" t="s">
        <v>416</v>
      </c>
      <c r="C13" s="347">
        <v>91070</v>
      </c>
      <c r="D13" s="347">
        <v>17371</v>
      </c>
      <c r="E13" s="347">
        <v>6543</v>
      </c>
      <c r="F13" s="347">
        <v>2140</v>
      </c>
      <c r="G13" s="347">
        <v>37701</v>
      </c>
      <c r="H13" s="347">
        <v>0</v>
      </c>
      <c r="I13" s="347">
        <v>4879</v>
      </c>
      <c r="J13" s="347">
        <v>28522</v>
      </c>
      <c r="K13" s="347">
        <v>990</v>
      </c>
      <c r="L13" s="347">
        <v>57837</v>
      </c>
      <c r="M13" s="347">
        <v>4624</v>
      </c>
      <c r="N13" s="347">
        <v>232473</v>
      </c>
      <c r="O13" s="347">
        <v>125306</v>
      </c>
      <c r="P13" s="347">
        <v>198429</v>
      </c>
      <c r="Q13" s="347">
        <v>301106</v>
      </c>
      <c r="R13" s="347">
        <v>89285</v>
      </c>
      <c r="S13" s="347">
        <v>245606</v>
      </c>
      <c r="T13" s="347">
        <v>435209</v>
      </c>
      <c r="U13" s="347">
        <v>167051</v>
      </c>
      <c r="V13" s="347">
        <v>0</v>
      </c>
      <c r="W13" s="347">
        <v>0</v>
      </c>
      <c r="X13" s="347">
        <v>0</v>
      </c>
      <c r="Y13" s="347">
        <v>0</v>
      </c>
      <c r="Z13" s="347">
        <v>0</v>
      </c>
      <c r="AA13" s="347">
        <v>0</v>
      </c>
      <c r="AB13" s="347">
        <v>0</v>
      </c>
      <c r="AC13" s="347">
        <v>0</v>
      </c>
    </row>
    <row r="14" spans="2:29" s="347" customFormat="1" ht="12.75">
      <c r="B14" s="347" t="s">
        <v>199</v>
      </c>
      <c r="C14" s="347">
        <v>27234</v>
      </c>
      <c r="D14" s="347">
        <v>56573</v>
      </c>
      <c r="E14" s="347">
        <v>24317</v>
      </c>
      <c r="F14" s="347">
        <v>14747</v>
      </c>
      <c r="G14" s="347">
        <v>16060</v>
      </c>
      <c r="H14" s="347">
        <v>12846</v>
      </c>
      <c r="I14" s="347">
        <v>15117</v>
      </c>
      <c r="J14" s="347">
        <v>13543</v>
      </c>
      <c r="K14" s="347">
        <v>20755</v>
      </c>
      <c r="L14" s="347">
        <v>6118</v>
      </c>
      <c r="M14" s="347">
        <v>11186</v>
      </c>
      <c r="N14" s="347">
        <v>4065</v>
      </c>
      <c r="O14" s="347">
        <v>1996</v>
      </c>
      <c r="P14" s="347">
        <v>10524</v>
      </c>
      <c r="Q14" s="347">
        <v>0</v>
      </c>
      <c r="R14" s="347">
        <v>4347</v>
      </c>
      <c r="S14" s="347">
        <v>0</v>
      </c>
      <c r="T14" s="347">
        <v>7761</v>
      </c>
      <c r="U14" s="347">
        <v>28920</v>
      </c>
      <c r="V14" s="347">
        <v>15778</v>
      </c>
      <c r="W14" s="347">
        <v>0</v>
      </c>
      <c r="X14" s="347">
        <v>14181</v>
      </c>
      <c r="Y14" s="347">
        <v>0</v>
      </c>
      <c r="Z14" s="347">
        <v>0</v>
      </c>
      <c r="AA14" s="347">
        <v>73659</v>
      </c>
      <c r="AB14" s="347">
        <v>0</v>
      </c>
      <c r="AC14" s="347">
        <v>0</v>
      </c>
    </row>
    <row r="15" spans="2:26" s="347" customFormat="1" ht="12.75">
      <c r="B15" s="347" t="s">
        <v>423</v>
      </c>
      <c r="C15" s="347">
        <v>30600</v>
      </c>
      <c r="D15" s="347">
        <v>30600</v>
      </c>
      <c r="E15" s="347">
        <v>30600</v>
      </c>
      <c r="F15" s="347">
        <v>30600</v>
      </c>
      <c r="G15" s="347">
        <v>30600</v>
      </c>
      <c r="H15" s="347">
        <v>30600</v>
      </c>
      <c r="I15" s="347">
        <v>30600</v>
      </c>
      <c r="J15" s="347">
        <v>30600</v>
      </c>
      <c r="K15" s="347">
        <v>30600</v>
      </c>
      <c r="L15" s="347">
        <v>30600</v>
      </c>
      <c r="M15" s="347">
        <v>30600</v>
      </c>
      <c r="R15" s="347">
        <v>0</v>
      </c>
      <c r="S15" s="347">
        <v>0</v>
      </c>
      <c r="T15" s="347">
        <v>0</v>
      </c>
      <c r="U15" s="347">
        <v>0</v>
      </c>
      <c r="V15" s="347">
        <v>0</v>
      </c>
      <c r="W15" s="347">
        <v>0</v>
      </c>
      <c r="X15" s="347">
        <v>0</v>
      </c>
      <c r="Y15" s="347">
        <v>0</v>
      </c>
      <c r="Z15" s="347">
        <v>0</v>
      </c>
    </row>
    <row r="16" spans="2:26" s="347" customFormat="1" ht="12.75">
      <c r="B16" s="347" t="s">
        <v>418</v>
      </c>
      <c r="C16" s="347">
        <v>0</v>
      </c>
      <c r="D16" s="347">
        <v>0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47">
        <v>0</v>
      </c>
      <c r="N16" s="347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347">
        <v>0</v>
      </c>
      <c r="X16" s="347">
        <v>0</v>
      </c>
      <c r="Y16" s="347">
        <v>0</v>
      </c>
      <c r="Z16" s="347">
        <v>0</v>
      </c>
    </row>
    <row r="17" spans="3:14" ht="12.75"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</row>
    <row r="18" spans="2:4" ht="20.25">
      <c r="B18" s="372" t="s">
        <v>657</v>
      </c>
      <c r="D18" s="382" t="s">
        <v>730</v>
      </c>
    </row>
    <row r="20" spans="3:4" ht="12.75">
      <c r="C20" s="128">
        <v>2018</v>
      </c>
      <c r="D20" s="128">
        <v>2019</v>
      </c>
    </row>
    <row r="21" spans="2:4" ht="12.75">
      <c r="B21" s="128" t="s">
        <v>261</v>
      </c>
      <c r="C21" s="316"/>
      <c r="D21" s="237"/>
    </row>
    <row r="22" spans="2:4" ht="12.75">
      <c r="B22" s="347" t="s">
        <v>415</v>
      </c>
      <c r="C22" s="122">
        <v>56545</v>
      </c>
      <c r="D22" s="122">
        <v>63148</v>
      </c>
    </row>
    <row r="23" spans="2:4" ht="12.75">
      <c r="B23" s="347" t="s">
        <v>416</v>
      </c>
      <c r="C23" s="122">
        <v>83294</v>
      </c>
      <c r="D23" s="122">
        <v>83981</v>
      </c>
    </row>
    <row r="24" spans="2:4" ht="12.75">
      <c r="B24" s="377" t="s">
        <v>534</v>
      </c>
      <c r="C24" s="122">
        <f aca="true" t="shared" si="0" ref="C24:D33">+C6</f>
        <v>11627.714081461887</v>
      </c>
      <c r="D24" s="122">
        <f t="shared" si="0"/>
        <v>10747.46794684212</v>
      </c>
    </row>
    <row r="25" spans="2:4" ht="12.75">
      <c r="B25" s="347" t="s">
        <v>418</v>
      </c>
      <c r="C25" s="122">
        <f t="shared" si="0"/>
        <v>0</v>
      </c>
      <c r="D25" s="122">
        <f t="shared" si="0"/>
        <v>0</v>
      </c>
    </row>
    <row r="26" spans="2:4" ht="12.75">
      <c r="B26" s="347"/>
      <c r="C26" s="122">
        <f t="shared" si="0"/>
        <v>0</v>
      </c>
      <c r="D26" s="122">
        <f t="shared" si="0"/>
        <v>0</v>
      </c>
    </row>
    <row r="27" spans="2:4" ht="12.75">
      <c r="B27" s="129" t="s">
        <v>420</v>
      </c>
      <c r="C27" s="122">
        <v>563</v>
      </c>
      <c r="D27" s="122">
        <v>1221</v>
      </c>
    </row>
    <row r="28" spans="2:4" ht="12.75">
      <c r="B28" s="347"/>
      <c r="C28" s="122">
        <f t="shared" si="0"/>
        <v>0</v>
      </c>
      <c r="D28" s="122">
        <f t="shared" si="0"/>
        <v>0</v>
      </c>
    </row>
    <row r="29" spans="2:4" ht="12.75">
      <c r="B29" s="129" t="s">
        <v>419</v>
      </c>
      <c r="C29" s="122">
        <f t="shared" si="0"/>
        <v>0</v>
      </c>
      <c r="D29" s="122">
        <f t="shared" si="0"/>
        <v>0</v>
      </c>
    </row>
    <row r="30" spans="2:4" ht="12.75">
      <c r="B30" s="347" t="s">
        <v>415</v>
      </c>
      <c r="C30" s="122">
        <v>44150</v>
      </c>
      <c r="D30" s="122">
        <v>156250</v>
      </c>
    </row>
    <row r="31" spans="2:4" ht="12.75">
      <c r="B31" s="347" t="s">
        <v>416</v>
      </c>
      <c r="C31" s="122">
        <v>69070</v>
      </c>
      <c r="D31" s="122">
        <v>39372</v>
      </c>
    </row>
    <row r="32" spans="2:4" ht="12.75">
      <c r="B32" s="347" t="s">
        <v>199</v>
      </c>
      <c r="C32" s="122">
        <f t="shared" si="0"/>
        <v>27234</v>
      </c>
      <c r="D32" s="122">
        <f t="shared" si="0"/>
        <v>56573</v>
      </c>
    </row>
    <row r="33" spans="2:4" ht="12.75">
      <c r="B33" s="347" t="s">
        <v>423</v>
      </c>
      <c r="C33" s="122">
        <f t="shared" si="0"/>
        <v>30600</v>
      </c>
      <c r="D33" s="122">
        <f t="shared" si="0"/>
        <v>30600</v>
      </c>
    </row>
    <row r="34" spans="2:30" s="146" customFormat="1" ht="12.75">
      <c r="B34" s="347" t="s">
        <v>418</v>
      </c>
      <c r="C34" s="122"/>
      <c r="D34" s="122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</row>
    <row r="35" spans="2:54" s="146" customFormat="1" ht="12.75">
      <c r="B35" s="233" t="s">
        <v>422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</row>
    <row r="37" spans="2:26" ht="12.75">
      <c r="B37" s="378" t="s">
        <v>124</v>
      </c>
      <c r="C37" s="347">
        <v>0</v>
      </c>
      <c r="D37" s="347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v>0</v>
      </c>
      <c r="J37" s="347">
        <v>0</v>
      </c>
      <c r="K37" s="347">
        <v>0</v>
      </c>
      <c r="L37" s="347">
        <v>0</v>
      </c>
      <c r="M37" s="347">
        <v>0</v>
      </c>
      <c r="N37" s="347">
        <v>0</v>
      </c>
      <c r="O37" s="347">
        <v>0</v>
      </c>
      <c r="P37" s="347">
        <v>0</v>
      </c>
      <c r="Q37" s="347">
        <v>0</v>
      </c>
      <c r="R37" s="347">
        <v>0</v>
      </c>
      <c r="S37" s="347">
        <v>0</v>
      </c>
      <c r="T37" s="347">
        <v>0</v>
      </c>
      <c r="U37" s="347">
        <v>0</v>
      </c>
      <c r="V37" s="347">
        <v>0</v>
      </c>
      <c r="W37" s="347">
        <v>0</v>
      </c>
      <c r="X37" s="347">
        <v>0</v>
      </c>
      <c r="Y37" s="347">
        <v>0</v>
      </c>
      <c r="Z37" s="347">
        <v>0</v>
      </c>
    </row>
    <row r="40" spans="2:4" ht="18">
      <c r="B40" s="372" t="s">
        <v>458</v>
      </c>
      <c r="D40" s="372" t="s">
        <v>729</v>
      </c>
    </row>
    <row r="41" spans="3:54" ht="12.75">
      <c r="C41" s="128">
        <v>2018</v>
      </c>
      <c r="D41" s="128">
        <v>2019</v>
      </c>
      <c r="E41" s="128">
        <v>2020</v>
      </c>
      <c r="F41" s="128">
        <v>2021</v>
      </c>
      <c r="G41" s="128">
        <v>2022</v>
      </c>
      <c r="H41" s="128">
        <v>2023</v>
      </c>
      <c r="I41" s="128">
        <v>2024</v>
      </c>
      <c r="J41" s="128">
        <v>2025</v>
      </c>
      <c r="K41" s="128">
        <v>2026</v>
      </c>
      <c r="L41" s="128">
        <v>2027</v>
      </c>
      <c r="M41" s="128">
        <v>2028</v>
      </c>
      <c r="N41" s="128">
        <v>2029</v>
      </c>
      <c r="O41" s="128">
        <v>2030</v>
      </c>
      <c r="P41" s="128">
        <v>2031</v>
      </c>
      <c r="Q41" s="128">
        <v>2032</v>
      </c>
      <c r="R41" s="128">
        <v>2033</v>
      </c>
      <c r="S41" s="128">
        <v>2034</v>
      </c>
      <c r="T41" s="128">
        <v>2035</v>
      </c>
      <c r="U41" s="128">
        <v>2036</v>
      </c>
      <c r="V41" s="128">
        <v>2037</v>
      </c>
      <c r="W41" s="128">
        <v>2038</v>
      </c>
      <c r="X41" s="128">
        <v>2039</v>
      </c>
      <c r="Y41" s="128">
        <v>2040</v>
      </c>
      <c r="Z41" s="128">
        <v>2041</v>
      </c>
      <c r="AA41" s="128">
        <v>2042</v>
      </c>
      <c r="AB41" s="128">
        <v>2043</v>
      </c>
      <c r="AC41" s="128">
        <v>2044</v>
      </c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</row>
    <row r="42" spans="2:11" ht="12.75">
      <c r="B42" s="128" t="s">
        <v>261</v>
      </c>
      <c r="C42" s="237"/>
      <c r="D42" s="237"/>
      <c r="E42" s="237"/>
      <c r="F42" s="237"/>
      <c r="G42" s="237"/>
      <c r="H42" s="237"/>
      <c r="I42" s="237"/>
      <c r="J42" s="237"/>
      <c r="K42" s="237"/>
    </row>
    <row r="43" spans="2:54" s="347" customFormat="1" ht="12.75">
      <c r="B43" s="347" t="s">
        <v>415</v>
      </c>
      <c r="C43" s="122">
        <v>56449</v>
      </c>
      <c r="D43" s="122">
        <v>63302</v>
      </c>
      <c r="E43" s="122">
        <v>78646</v>
      </c>
      <c r="F43" s="122">
        <v>91865</v>
      </c>
      <c r="G43" s="122">
        <v>106040</v>
      </c>
      <c r="H43" s="122">
        <v>120051</v>
      </c>
      <c r="I43" s="122">
        <v>133671</v>
      </c>
      <c r="J43" s="122">
        <v>150691</v>
      </c>
      <c r="K43" s="122">
        <v>164867</v>
      </c>
      <c r="L43" s="122">
        <v>181645</v>
      </c>
      <c r="M43" s="122">
        <v>200618</v>
      </c>
      <c r="N43" s="122">
        <v>211428</v>
      </c>
      <c r="O43" s="122">
        <v>216682</v>
      </c>
      <c r="P43" s="122">
        <v>221413</v>
      </c>
      <c r="Q43" s="122">
        <v>228519</v>
      </c>
      <c r="R43" s="122">
        <v>234418</v>
      </c>
      <c r="S43" s="122">
        <v>238913</v>
      </c>
      <c r="T43" s="122">
        <v>241225</v>
      </c>
      <c r="U43" s="122">
        <v>243857</v>
      </c>
      <c r="V43" s="122">
        <v>246136</v>
      </c>
      <c r="W43" s="122">
        <v>247028</v>
      </c>
      <c r="X43" s="122">
        <v>245584</v>
      </c>
      <c r="Y43" s="122">
        <v>245810</v>
      </c>
      <c r="Z43" s="122">
        <v>244635</v>
      </c>
      <c r="AA43" s="122">
        <v>244982</v>
      </c>
      <c r="AB43" s="122">
        <v>244818</v>
      </c>
      <c r="AC43" s="122">
        <v>243629</v>
      </c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</row>
    <row r="44" spans="2:48" s="347" customFormat="1" ht="12.75">
      <c r="B44" s="347" t="s">
        <v>416</v>
      </c>
      <c r="C44" s="122">
        <v>83294</v>
      </c>
      <c r="D44" s="122">
        <v>82687</v>
      </c>
      <c r="E44" s="122">
        <v>84133</v>
      </c>
      <c r="F44" s="122">
        <v>84197</v>
      </c>
      <c r="G44" s="122">
        <v>84435</v>
      </c>
      <c r="H44" s="122">
        <v>80483</v>
      </c>
      <c r="I44" s="122">
        <v>80376</v>
      </c>
      <c r="J44" s="122">
        <v>81954</v>
      </c>
      <c r="K44" s="122">
        <v>79730</v>
      </c>
      <c r="L44" s="122">
        <v>81978</v>
      </c>
      <c r="M44" s="122">
        <v>77532</v>
      </c>
      <c r="N44" s="122">
        <v>74793</v>
      </c>
      <c r="O44" s="122">
        <v>72635</v>
      </c>
      <c r="P44" s="122">
        <v>73329</v>
      </c>
      <c r="Q44" s="122">
        <v>74022</v>
      </c>
      <c r="R44" s="122">
        <v>74715</v>
      </c>
      <c r="S44" s="122">
        <v>75408</v>
      </c>
      <c r="T44" s="122">
        <v>76102</v>
      </c>
      <c r="U44" s="122">
        <v>76795</v>
      </c>
      <c r="V44" s="122">
        <v>77488</v>
      </c>
      <c r="W44" s="122">
        <v>78181</v>
      </c>
      <c r="X44" s="122">
        <v>78875</v>
      </c>
      <c r="Y44" s="122">
        <v>79568</v>
      </c>
      <c r="Z44" s="122">
        <v>80261</v>
      </c>
      <c r="AA44" s="122">
        <v>80954</v>
      </c>
      <c r="AB44" s="122">
        <v>81648</v>
      </c>
      <c r="AC44" s="122">
        <v>82341</v>
      </c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</row>
    <row r="45" spans="2:48" s="347" customFormat="1" ht="12.75">
      <c r="B45" s="347" t="s">
        <v>417</v>
      </c>
      <c r="C45" s="26">
        <v>11627.714081461887</v>
      </c>
      <c r="D45" s="26">
        <v>10747.46794684212</v>
      </c>
      <c r="E45" s="26">
        <v>9826.374364535337</v>
      </c>
      <c r="F45" s="26">
        <v>8862.537513691579</v>
      </c>
      <c r="G45" s="26">
        <v>7853.97357060828</v>
      </c>
      <c r="H45" s="26">
        <v>6798.60662309995</v>
      </c>
      <c r="I45" s="26">
        <v>5694.264395162258</v>
      </c>
      <c r="J45" s="26">
        <v>4538.673773120818</v>
      </c>
      <c r="K45" s="26">
        <v>3329.456124045985</v>
      </c>
      <c r="L45" s="26">
        <v>2064.1223967866927</v>
      </c>
      <c r="M45" s="26">
        <v>740.067995528412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2:29" s="347" customFormat="1" ht="12.75">
      <c r="B46" s="347" t="s">
        <v>418</v>
      </c>
      <c r="C46" s="347">
        <v>0</v>
      </c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7">
        <v>0</v>
      </c>
      <c r="J46" s="347">
        <v>0</v>
      </c>
      <c r="K46" s="347">
        <v>0</v>
      </c>
      <c r="L46" s="347">
        <v>0</v>
      </c>
      <c r="M46" s="347">
        <v>0</v>
      </c>
      <c r="N46" s="347">
        <v>0</v>
      </c>
      <c r="O46" s="347">
        <v>0</v>
      </c>
      <c r="P46" s="347">
        <v>0</v>
      </c>
      <c r="Q46" s="347">
        <v>0</v>
      </c>
      <c r="R46" s="347">
        <v>0</v>
      </c>
      <c r="S46" s="347">
        <v>0</v>
      </c>
      <c r="T46" s="347">
        <v>0</v>
      </c>
      <c r="U46" s="347">
        <v>0</v>
      </c>
      <c r="V46" s="347">
        <v>0</v>
      </c>
      <c r="W46" s="347">
        <v>0</v>
      </c>
      <c r="X46" s="347">
        <v>0</v>
      </c>
      <c r="Y46" s="347">
        <v>0</v>
      </c>
      <c r="Z46" s="347">
        <v>0</v>
      </c>
      <c r="AA46" s="347">
        <v>0</v>
      </c>
      <c r="AB46" s="347">
        <v>0</v>
      </c>
      <c r="AC46" s="347">
        <v>0</v>
      </c>
    </row>
    <row r="47" s="347" customFormat="1" ht="12.75"/>
    <row r="48" spans="2:29" s="347" customFormat="1" ht="12.75">
      <c r="B48" s="129" t="s">
        <v>420</v>
      </c>
      <c r="C48" s="347">
        <v>611</v>
      </c>
      <c r="D48" s="347">
        <v>1144</v>
      </c>
      <c r="E48" s="347">
        <v>1204</v>
      </c>
      <c r="F48" s="347">
        <v>1302</v>
      </c>
      <c r="G48" s="347">
        <v>1265</v>
      </c>
      <c r="H48" s="347">
        <v>1315</v>
      </c>
      <c r="I48" s="347">
        <v>1339</v>
      </c>
      <c r="J48" s="347">
        <v>1319</v>
      </c>
      <c r="K48" s="347">
        <v>1391</v>
      </c>
      <c r="L48" s="347">
        <v>1377</v>
      </c>
      <c r="M48" s="347">
        <v>1357</v>
      </c>
      <c r="N48" s="347">
        <v>2536</v>
      </c>
      <c r="O48" s="347">
        <v>2070</v>
      </c>
      <c r="P48" s="347">
        <v>2197</v>
      </c>
      <c r="Q48" s="347">
        <v>2477</v>
      </c>
      <c r="R48" s="347">
        <v>2539</v>
      </c>
      <c r="S48" s="347">
        <v>2607</v>
      </c>
      <c r="T48" s="347">
        <v>2680</v>
      </c>
      <c r="U48" s="347">
        <v>2753</v>
      </c>
      <c r="V48" s="347">
        <v>2827</v>
      </c>
      <c r="W48" s="347">
        <v>2899</v>
      </c>
      <c r="X48" s="347">
        <v>2973</v>
      </c>
      <c r="Y48" s="347">
        <v>3041</v>
      </c>
      <c r="Z48" s="347">
        <v>3113</v>
      </c>
      <c r="AA48" s="347">
        <v>3182</v>
      </c>
      <c r="AB48" s="347">
        <v>3282</v>
      </c>
      <c r="AC48" s="347">
        <v>3198</v>
      </c>
    </row>
    <row r="49" s="347" customFormat="1" ht="12.75"/>
    <row r="50" s="347" customFormat="1" ht="12.75">
      <c r="B50" s="129" t="s">
        <v>419</v>
      </c>
    </row>
    <row r="51" spans="2:29" s="347" customFormat="1" ht="12.75">
      <c r="B51" s="347" t="s">
        <v>415</v>
      </c>
      <c r="C51" s="347">
        <v>44150</v>
      </c>
      <c r="D51" s="347">
        <v>156250</v>
      </c>
      <c r="E51" s="347">
        <v>138100</v>
      </c>
      <c r="F51" s="347">
        <v>158000</v>
      </c>
      <c r="G51" s="347">
        <v>85800</v>
      </c>
      <c r="H51" s="347">
        <v>150150</v>
      </c>
      <c r="I51" s="347">
        <v>132600</v>
      </c>
      <c r="J51" s="347">
        <v>101492</v>
      </c>
      <c r="K51" s="347">
        <v>124132</v>
      </c>
      <c r="L51" s="347">
        <v>66134</v>
      </c>
      <c r="M51" s="347">
        <v>81948</v>
      </c>
      <c r="N51" s="347">
        <v>390751</v>
      </c>
      <c r="O51" s="347">
        <v>339616</v>
      </c>
      <c r="P51" s="347">
        <v>358824</v>
      </c>
      <c r="Q51" s="347">
        <v>435474</v>
      </c>
      <c r="R51" s="347">
        <v>443065</v>
      </c>
      <c r="S51" s="347">
        <v>462145</v>
      </c>
      <c r="T51" s="347">
        <v>471194</v>
      </c>
      <c r="U51" s="347">
        <v>466256</v>
      </c>
      <c r="V51" s="347">
        <v>496599</v>
      </c>
      <c r="W51" s="347">
        <v>529583</v>
      </c>
      <c r="X51" s="347">
        <v>534493</v>
      </c>
      <c r="Y51" s="347">
        <v>565672</v>
      </c>
      <c r="Z51" s="347">
        <v>583592</v>
      </c>
      <c r="AA51" s="347">
        <v>525839</v>
      </c>
      <c r="AB51" s="347">
        <v>625219</v>
      </c>
      <c r="AC51" s="347">
        <v>604160</v>
      </c>
    </row>
    <row r="52" spans="2:29" s="347" customFormat="1" ht="12.75">
      <c r="B52" s="347" t="s">
        <v>416</v>
      </c>
      <c r="C52" s="347">
        <v>91070</v>
      </c>
      <c r="D52" s="347">
        <v>17371</v>
      </c>
      <c r="E52" s="347">
        <v>21480</v>
      </c>
      <c r="F52" s="347">
        <v>21901</v>
      </c>
      <c r="G52" s="347">
        <v>76140</v>
      </c>
      <c r="H52" s="347">
        <v>24766</v>
      </c>
      <c r="I52" s="347">
        <v>39310</v>
      </c>
      <c r="J52" s="347">
        <v>54013</v>
      </c>
      <c r="K52" s="347">
        <v>41134</v>
      </c>
      <c r="L52" s="347">
        <v>98275</v>
      </c>
      <c r="M52" s="347">
        <v>66985</v>
      </c>
      <c r="N52" s="347">
        <v>57013</v>
      </c>
      <c r="O52" s="347">
        <v>0</v>
      </c>
      <c r="P52" s="347">
        <v>0</v>
      </c>
      <c r="Q52" s="347">
        <v>0</v>
      </c>
      <c r="R52" s="347">
        <v>0</v>
      </c>
      <c r="S52" s="347">
        <v>0</v>
      </c>
      <c r="T52" s="347">
        <v>0</v>
      </c>
      <c r="U52" s="347">
        <v>0</v>
      </c>
      <c r="V52" s="347">
        <v>0</v>
      </c>
      <c r="W52" s="347">
        <v>0</v>
      </c>
      <c r="X52" s="347">
        <v>0</v>
      </c>
      <c r="Y52" s="347">
        <v>0</v>
      </c>
      <c r="Z52" s="347">
        <v>0</v>
      </c>
      <c r="AA52" s="347">
        <v>0</v>
      </c>
      <c r="AB52" s="347">
        <v>0</v>
      </c>
      <c r="AC52" s="347">
        <v>0</v>
      </c>
    </row>
    <row r="53" spans="2:29" s="347" customFormat="1" ht="12.75">
      <c r="B53" s="347" t="s">
        <v>199</v>
      </c>
      <c r="C53" s="347">
        <v>27234</v>
      </c>
      <c r="D53" s="347">
        <v>56573</v>
      </c>
      <c r="E53" s="347">
        <v>24317</v>
      </c>
      <c r="F53" s="347">
        <v>14747</v>
      </c>
      <c r="G53" s="347">
        <v>16060</v>
      </c>
      <c r="H53" s="347">
        <v>12846</v>
      </c>
      <c r="I53" s="347">
        <v>15117</v>
      </c>
      <c r="J53" s="347">
        <v>13543</v>
      </c>
      <c r="K53" s="347">
        <v>20755</v>
      </c>
      <c r="L53" s="347">
        <v>6118</v>
      </c>
      <c r="M53" s="347">
        <v>11186</v>
      </c>
      <c r="N53" s="347">
        <v>4065</v>
      </c>
      <c r="O53" s="347">
        <v>1996</v>
      </c>
      <c r="P53" s="347">
        <v>10524</v>
      </c>
      <c r="Q53" s="347">
        <v>0</v>
      </c>
      <c r="R53" s="347">
        <v>4347</v>
      </c>
      <c r="S53" s="347">
        <v>0</v>
      </c>
      <c r="T53" s="347">
        <v>7761</v>
      </c>
      <c r="U53" s="347">
        <v>28920</v>
      </c>
      <c r="V53" s="347">
        <v>15778</v>
      </c>
      <c r="W53" s="347">
        <v>0</v>
      </c>
      <c r="X53" s="347">
        <v>14181</v>
      </c>
      <c r="Y53" s="347">
        <v>0</v>
      </c>
      <c r="Z53" s="347">
        <v>0</v>
      </c>
      <c r="AA53" s="347">
        <v>73659</v>
      </c>
      <c r="AB53" s="347">
        <v>0</v>
      </c>
      <c r="AC53" s="347">
        <v>0</v>
      </c>
    </row>
    <row r="54" spans="2:26" s="347" customFormat="1" ht="12.75">
      <c r="B54" s="347" t="s">
        <v>423</v>
      </c>
      <c r="C54" s="347">
        <v>30600</v>
      </c>
      <c r="D54" s="347">
        <v>30600</v>
      </c>
      <c r="E54" s="347">
        <v>30600</v>
      </c>
      <c r="F54" s="347">
        <v>30600</v>
      </c>
      <c r="G54" s="347">
        <v>30600</v>
      </c>
      <c r="H54" s="347">
        <v>30600</v>
      </c>
      <c r="I54" s="347">
        <v>30600</v>
      </c>
      <c r="J54" s="347">
        <v>30600</v>
      </c>
      <c r="K54" s="347">
        <v>30600</v>
      </c>
      <c r="L54" s="347">
        <v>30600</v>
      </c>
      <c r="M54" s="347">
        <v>30600</v>
      </c>
      <c r="R54" s="347">
        <v>0</v>
      </c>
      <c r="S54" s="347">
        <v>0</v>
      </c>
      <c r="T54" s="347">
        <v>0</v>
      </c>
      <c r="U54" s="347">
        <v>0</v>
      </c>
      <c r="V54" s="347">
        <v>0</v>
      </c>
      <c r="W54" s="347">
        <v>0</v>
      </c>
      <c r="X54" s="347">
        <v>0</v>
      </c>
      <c r="Y54" s="347">
        <v>0</v>
      </c>
      <c r="Z54" s="347">
        <v>0</v>
      </c>
    </row>
    <row r="55" spans="2:26" s="347" customFormat="1" ht="12.75">
      <c r="B55" s="347" t="s">
        <v>418</v>
      </c>
      <c r="C55" s="347">
        <v>0</v>
      </c>
      <c r="D55" s="347">
        <v>0</v>
      </c>
      <c r="E55" s="347">
        <v>0</v>
      </c>
      <c r="F55" s="347">
        <v>0</v>
      </c>
      <c r="G55" s="347">
        <v>0</v>
      </c>
      <c r="H55" s="347">
        <v>0</v>
      </c>
      <c r="I55" s="347">
        <v>0</v>
      </c>
      <c r="J55" s="347">
        <v>0</v>
      </c>
      <c r="K55" s="347">
        <v>0</v>
      </c>
      <c r="L55" s="347">
        <v>0</v>
      </c>
      <c r="M55" s="347">
        <v>0</v>
      </c>
      <c r="N55" s="347">
        <v>0</v>
      </c>
      <c r="O55" s="347">
        <v>0</v>
      </c>
      <c r="P55" s="347">
        <v>0</v>
      </c>
      <c r="Q55" s="347">
        <v>0</v>
      </c>
      <c r="R55" s="347">
        <v>0</v>
      </c>
      <c r="S55" s="347">
        <v>0</v>
      </c>
      <c r="T55" s="347">
        <v>0</v>
      </c>
      <c r="U55" s="347">
        <v>0</v>
      </c>
      <c r="V55" s="347">
        <v>0</v>
      </c>
      <c r="W55" s="347">
        <v>0</v>
      </c>
      <c r="X55" s="347">
        <v>0</v>
      </c>
      <c r="Y55" s="347">
        <v>0</v>
      </c>
      <c r="Z55" s="347">
        <v>0</v>
      </c>
    </row>
    <row r="56" spans="3:29" ht="12.75"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</row>
    <row r="58" spans="2:38" ht="12.75">
      <c r="B58" s="379" t="s">
        <v>421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</row>
    <row r="59" spans="2:29" ht="12.75">
      <c r="B59" s="379" t="s">
        <v>422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</row>
    <row r="61" spans="2:26" ht="12.75">
      <c r="B61" s="378" t="s">
        <v>124</v>
      </c>
      <c r="C61" s="347">
        <v>0</v>
      </c>
      <c r="D61" s="347">
        <v>0</v>
      </c>
      <c r="E61" s="347">
        <v>0</v>
      </c>
      <c r="F61" s="347">
        <v>0</v>
      </c>
      <c r="G61" s="347">
        <v>0</v>
      </c>
      <c r="H61" s="347">
        <v>0</v>
      </c>
      <c r="I61" s="347">
        <v>0</v>
      </c>
      <c r="J61" s="347">
        <v>0</v>
      </c>
      <c r="K61" s="347">
        <v>0</v>
      </c>
      <c r="L61" s="347">
        <v>0</v>
      </c>
      <c r="M61" s="347">
        <v>0</v>
      </c>
      <c r="N61" s="347">
        <v>0</v>
      </c>
      <c r="O61" s="347">
        <v>0</v>
      </c>
      <c r="P61" s="347">
        <v>0</v>
      </c>
      <c r="Q61" s="347">
        <v>0</v>
      </c>
      <c r="R61" s="347">
        <v>0</v>
      </c>
      <c r="S61" s="347">
        <v>0</v>
      </c>
      <c r="T61" s="347">
        <v>0</v>
      </c>
      <c r="U61" s="347">
        <v>0</v>
      </c>
      <c r="V61" s="347">
        <v>0</v>
      </c>
      <c r="W61" s="347">
        <v>0</v>
      </c>
      <c r="X61" s="347">
        <v>0</v>
      </c>
      <c r="Y61" s="347">
        <v>0</v>
      </c>
      <c r="Z61" s="347">
        <v>0</v>
      </c>
    </row>
    <row r="67" spans="2:4" ht="12.75">
      <c r="B67" s="351"/>
      <c r="C67" s="351">
        <v>2018</v>
      </c>
      <c r="D67" s="351">
        <v>2019</v>
      </c>
    </row>
    <row r="68" spans="2:4" ht="12.75">
      <c r="B68" s="351" t="s">
        <v>658</v>
      </c>
      <c r="C68" s="380">
        <v>-60500</v>
      </c>
      <c r="D68" s="380">
        <v>-60500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B8:I301"/>
  <sheetViews>
    <sheetView workbookViewId="0" topLeftCell="A7">
      <selection activeCell="I23" sqref="I23"/>
    </sheetView>
  </sheetViews>
  <sheetFormatPr defaultColWidth="9.140625" defaultRowHeight="12.75"/>
  <cols>
    <col min="1" max="1" width="0.13671875" style="133" customWidth="1"/>
    <col min="2" max="2" width="31.421875" style="147" customWidth="1"/>
    <col min="3" max="3" width="25.00390625" style="136" customWidth="1"/>
    <col min="4" max="5" width="11.28125" style="133" bestFit="1" customWidth="1"/>
    <col min="6" max="251" width="9.140625" style="133" customWidth="1"/>
    <col min="252" max="252" width="0.13671875" style="133" customWidth="1"/>
    <col min="253" max="253" width="35.140625" style="133" customWidth="1"/>
    <col min="254" max="254" width="9.7109375" style="133" customWidth="1"/>
    <col min="255" max="255" width="9.421875" style="133" customWidth="1"/>
    <col min="256" max="256" width="10.421875" style="133" customWidth="1"/>
    <col min="257" max="259" width="13.7109375" style="133" customWidth="1"/>
    <col min="260" max="507" width="9.140625" style="133" customWidth="1"/>
    <col min="508" max="508" width="0.13671875" style="133" customWidth="1"/>
    <col min="509" max="509" width="35.140625" style="133" customWidth="1"/>
    <col min="510" max="510" width="9.7109375" style="133" customWidth="1"/>
    <col min="511" max="511" width="9.421875" style="133" customWidth="1"/>
    <col min="512" max="512" width="10.421875" style="133" customWidth="1"/>
    <col min="513" max="515" width="13.7109375" style="133" customWidth="1"/>
    <col min="516" max="763" width="9.140625" style="133" customWidth="1"/>
    <col min="764" max="764" width="0.13671875" style="133" customWidth="1"/>
    <col min="765" max="765" width="35.140625" style="133" customWidth="1"/>
    <col min="766" max="766" width="9.7109375" style="133" customWidth="1"/>
    <col min="767" max="767" width="9.421875" style="133" customWidth="1"/>
    <col min="768" max="768" width="10.421875" style="133" customWidth="1"/>
    <col min="769" max="771" width="13.7109375" style="133" customWidth="1"/>
    <col min="772" max="1019" width="9.140625" style="133" customWidth="1"/>
    <col min="1020" max="1020" width="0.13671875" style="133" customWidth="1"/>
    <col min="1021" max="1021" width="35.140625" style="133" customWidth="1"/>
    <col min="1022" max="1022" width="9.7109375" style="133" customWidth="1"/>
    <col min="1023" max="1023" width="9.421875" style="133" customWidth="1"/>
    <col min="1024" max="1024" width="10.421875" style="133" customWidth="1"/>
    <col min="1025" max="1027" width="13.7109375" style="133" customWidth="1"/>
    <col min="1028" max="1275" width="9.140625" style="133" customWidth="1"/>
    <col min="1276" max="1276" width="0.13671875" style="133" customWidth="1"/>
    <col min="1277" max="1277" width="35.140625" style="133" customWidth="1"/>
    <col min="1278" max="1278" width="9.7109375" style="133" customWidth="1"/>
    <col min="1279" max="1279" width="9.421875" style="133" customWidth="1"/>
    <col min="1280" max="1280" width="10.421875" style="133" customWidth="1"/>
    <col min="1281" max="1283" width="13.7109375" style="133" customWidth="1"/>
    <col min="1284" max="1531" width="9.140625" style="133" customWidth="1"/>
    <col min="1532" max="1532" width="0.13671875" style="133" customWidth="1"/>
    <col min="1533" max="1533" width="35.140625" style="133" customWidth="1"/>
    <col min="1534" max="1534" width="9.7109375" style="133" customWidth="1"/>
    <col min="1535" max="1535" width="9.421875" style="133" customWidth="1"/>
    <col min="1536" max="1536" width="10.421875" style="133" customWidth="1"/>
    <col min="1537" max="1539" width="13.7109375" style="133" customWidth="1"/>
    <col min="1540" max="1787" width="9.140625" style="133" customWidth="1"/>
    <col min="1788" max="1788" width="0.13671875" style="133" customWidth="1"/>
    <col min="1789" max="1789" width="35.140625" style="133" customWidth="1"/>
    <col min="1790" max="1790" width="9.7109375" style="133" customWidth="1"/>
    <col min="1791" max="1791" width="9.421875" style="133" customWidth="1"/>
    <col min="1792" max="1792" width="10.421875" style="133" customWidth="1"/>
    <col min="1793" max="1795" width="13.7109375" style="133" customWidth="1"/>
    <col min="1796" max="2043" width="9.140625" style="133" customWidth="1"/>
    <col min="2044" max="2044" width="0.13671875" style="133" customWidth="1"/>
    <col min="2045" max="2045" width="35.140625" style="133" customWidth="1"/>
    <col min="2046" max="2046" width="9.7109375" style="133" customWidth="1"/>
    <col min="2047" max="2047" width="9.421875" style="133" customWidth="1"/>
    <col min="2048" max="2048" width="10.421875" style="133" customWidth="1"/>
    <col min="2049" max="2051" width="13.7109375" style="133" customWidth="1"/>
    <col min="2052" max="2299" width="9.140625" style="133" customWidth="1"/>
    <col min="2300" max="2300" width="0.13671875" style="133" customWidth="1"/>
    <col min="2301" max="2301" width="35.140625" style="133" customWidth="1"/>
    <col min="2302" max="2302" width="9.7109375" style="133" customWidth="1"/>
    <col min="2303" max="2303" width="9.421875" style="133" customWidth="1"/>
    <col min="2304" max="2304" width="10.421875" style="133" customWidth="1"/>
    <col min="2305" max="2307" width="13.7109375" style="133" customWidth="1"/>
    <col min="2308" max="2555" width="9.140625" style="133" customWidth="1"/>
    <col min="2556" max="2556" width="0.13671875" style="133" customWidth="1"/>
    <col min="2557" max="2557" width="35.140625" style="133" customWidth="1"/>
    <col min="2558" max="2558" width="9.7109375" style="133" customWidth="1"/>
    <col min="2559" max="2559" width="9.421875" style="133" customWidth="1"/>
    <col min="2560" max="2560" width="10.421875" style="133" customWidth="1"/>
    <col min="2561" max="2563" width="13.7109375" style="133" customWidth="1"/>
    <col min="2564" max="2811" width="9.140625" style="133" customWidth="1"/>
    <col min="2812" max="2812" width="0.13671875" style="133" customWidth="1"/>
    <col min="2813" max="2813" width="35.140625" style="133" customWidth="1"/>
    <col min="2814" max="2814" width="9.7109375" style="133" customWidth="1"/>
    <col min="2815" max="2815" width="9.421875" style="133" customWidth="1"/>
    <col min="2816" max="2816" width="10.421875" style="133" customWidth="1"/>
    <col min="2817" max="2819" width="13.7109375" style="133" customWidth="1"/>
    <col min="2820" max="3067" width="9.140625" style="133" customWidth="1"/>
    <col min="3068" max="3068" width="0.13671875" style="133" customWidth="1"/>
    <col min="3069" max="3069" width="35.140625" style="133" customWidth="1"/>
    <col min="3070" max="3070" width="9.7109375" style="133" customWidth="1"/>
    <col min="3071" max="3071" width="9.421875" style="133" customWidth="1"/>
    <col min="3072" max="3072" width="10.421875" style="133" customWidth="1"/>
    <col min="3073" max="3075" width="13.7109375" style="133" customWidth="1"/>
    <col min="3076" max="3323" width="9.140625" style="133" customWidth="1"/>
    <col min="3324" max="3324" width="0.13671875" style="133" customWidth="1"/>
    <col min="3325" max="3325" width="35.140625" style="133" customWidth="1"/>
    <col min="3326" max="3326" width="9.7109375" style="133" customWidth="1"/>
    <col min="3327" max="3327" width="9.421875" style="133" customWidth="1"/>
    <col min="3328" max="3328" width="10.421875" style="133" customWidth="1"/>
    <col min="3329" max="3331" width="13.7109375" style="133" customWidth="1"/>
    <col min="3332" max="3579" width="9.140625" style="133" customWidth="1"/>
    <col min="3580" max="3580" width="0.13671875" style="133" customWidth="1"/>
    <col min="3581" max="3581" width="35.140625" style="133" customWidth="1"/>
    <col min="3582" max="3582" width="9.7109375" style="133" customWidth="1"/>
    <col min="3583" max="3583" width="9.421875" style="133" customWidth="1"/>
    <col min="3584" max="3584" width="10.421875" style="133" customWidth="1"/>
    <col min="3585" max="3587" width="13.7109375" style="133" customWidth="1"/>
    <col min="3588" max="3835" width="9.140625" style="133" customWidth="1"/>
    <col min="3836" max="3836" width="0.13671875" style="133" customWidth="1"/>
    <col min="3837" max="3837" width="35.140625" style="133" customWidth="1"/>
    <col min="3838" max="3838" width="9.7109375" style="133" customWidth="1"/>
    <col min="3839" max="3839" width="9.421875" style="133" customWidth="1"/>
    <col min="3840" max="3840" width="10.421875" style="133" customWidth="1"/>
    <col min="3841" max="3843" width="13.7109375" style="133" customWidth="1"/>
    <col min="3844" max="4091" width="9.140625" style="133" customWidth="1"/>
    <col min="4092" max="4092" width="0.13671875" style="133" customWidth="1"/>
    <col min="4093" max="4093" width="35.140625" style="133" customWidth="1"/>
    <col min="4094" max="4094" width="9.7109375" style="133" customWidth="1"/>
    <col min="4095" max="4095" width="9.421875" style="133" customWidth="1"/>
    <col min="4096" max="4096" width="10.421875" style="133" customWidth="1"/>
    <col min="4097" max="4099" width="13.7109375" style="133" customWidth="1"/>
    <col min="4100" max="4347" width="9.140625" style="133" customWidth="1"/>
    <col min="4348" max="4348" width="0.13671875" style="133" customWidth="1"/>
    <col min="4349" max="4349" width="35.140625" style="133" customWidth="1"/>
    <col min="4350" max="4350" width="9.7109375" style="133" customWidth="1"/>
    <col min="4351" max="4351" width="9.421875" style="133" customWidth="1"/>
    <col min="4352" max="4352" width="10.421875" style="133" customWidth="1"/>
    <col min="4353" max="4355" width="13.7109375" style="133" customWidth="1"/>
    <col min="4356" max="4603" width="9.140625" style="133" customWidth="1"/>
    <col min="4604" max="4604" width="0.13671875" style="133" customWidth="1"/>
    <col min="4605" max="4605" width="35.140625" style="133" customWidth="1"/>
    <col min="4606" max="4606" width="9.7109375" style="133" customWidth="1"/>
    <col min="4607" max="4607" width="9.421875" style="133" customWidth="1"/>
    <col min="4608" max="4608" width="10.421875" style="133" customWidth="1"/>
    <col min="4609" max="4611" width="13.7109375" style="133" customWidth="1"/>
    <col min="4612" max="4859" width="9.140625" style="133" customWidth="1"/>
    <col min="4860" max="4860" width="0.13671875" style="133" customWidth="1"/>
    <col min="4861" max="4861" width="35.140625" style="133" customWidth="1"/>
    <col min="4862" max="4862" width="9.7109375" style="133" customWidth="1"/>
    <col min="4863" max="4863" width="9.421875" style="133" customWidth="1"/>
    <col min="4864" max="4864" width="10.421875" style="133" customWidth="1"/>
    <col min="4865" max="4867" width="13.7109375" style="133" customWidth="1"/>
    <col min="4868" max="5115" width="9.140625" style="133" customWidth="1"/>
    <col min="5116" max="5116" width="0.13671875" style="133" customWidth="1"/>
    <col min="5117" max="5117" width="35.140625" style="133" customWidth="1"/>
    <col min="5118" max="5118" width="9.7109375" style="133" customWidth="1"/>
    <col min="5119" max="5119" width="9.421875" style="133" customWidth="1"/>
    <col min="5120" max="5120" width="10.421875" style="133" customWidth="1"/>
    <col min="5121" max="5123" width="13.7109375" style="133" customWidth="1"/>
    <col min="5124" max="5371" width="9.140625" style="133" customWidth="1"/>
    <col min="5372" max="5372" width="0.13671875" style="133" customWidth="1"/>
    <col min="5373" max="5373" width="35.140625" style="133" customWidth="1"/>
    <col min="5374" max="5374" width="9.7109375" style="133" customWidth="1"/>
    <col min="5375" max="5375" width="9.421875" style="133" customWidth="1"/>
    <col min="5376" max="5376" width="10.421875" style="133" customWidth="1"/>
    <col min="5377" max="5379" width="13.7109375" style="133" customWidth="1"/>
    <col min="5380" max="5627" width="9.140625" style="133" customWidth="1"/>
    <col min="5628" max="5628" width="0.13671875" style="133" customWidth="1"/>
    <col min="5629" max="5629" width="35.140625" style="133" customWidth="1"/>
    <col min="5630" max="5630" width="9.7109375" style="133" customWidth="1"/>
    <col min="5631" max="5631" width="9.421875" style="133" customWidth="1"/>
    <col min="5632" max="5632" width="10.421875" style="133" customWidth="1"/>
    <col min="5633" max="5635" width="13.7109375" style="133" customWidth="1"/>
    <col min="5636" max="5883" width="9.140625" style="133" customWidth="1"/>
    <col min="5884" max="5884" width="0.13671875" style="133" customWidth="1"/>
    <col min="5885" max="5885" width="35.140625" style="133" customWidth="1"/>
    <col min="5886" max="5886" width="9.7109375" style="133" customWidth="1"/>
    <col min="5887" max="5887" width="9.421875" style="133" customWidth="1"/>
    <col min="5888" max="5888" width="10.421875" style="133" customWidth="1"/>
    <col min="5889" max="5891" width="13.7109375" style="133" customWidth="1"/>
    <col min="5892" max="6139" width="9.140625" style="133" customWidth="1"/>
    <col min="6140" max="6140" width="0.13671875" style="133" customWidth="1"/>
    <col min="6141" max="6141" width="35.140625" style="133" customWidth="1"/>
    <col min="6142" max="6142" width="9.7109375" style="133" customWidth="1"/>
    <col min="6143" max="6143" width="9.421875" style="133" customWidth="1"/>
    <col min="6144" max="6144" width="10.421875" style="133" customWidth="1"/>
    <col min="6145" max="6147" width="13.7109375" style="133" customWidth="1"/>
    <col min="6148" max="6395" width="9.140625" style="133" customWidth="1"/>
    <col min="6396" max="6396" width="0.13671875" style="133" customWidth="1"/>
    <col min="6397" max="6397" width="35.140625" style="133" customWidth="1"/>
    <col min="6398" max="6398" width="9.7109375" style="133" customWidth="1"/>
    <col min="6399" max="6399" width="9.421875" style="133" customWidth="1"/>
    <col min="6400" max="6400" width="10.421875" style="133" customWidth="1"/>
    <col min="6401" max="6403" width="13.7109375" style="133" customWidth="1"/>
    <col min="6404" max="6651" width="9.140625" style="133" customWidth="1"/>
    <col min="6652" max="6652" width="0.13671875" style="133" customWidth="1"/>
    <col min="6653" max="6653" width="35.140625" style="133" customWidth="1"/>
    <col min="6654" max="6654" width="9.7109375" style="133" customWidth="1"/>
    <col min="6655" max="6655" width="9.421875" style="133" customWidth="1"/>
    <col min="6656" max="6656" width="10.421875" style="133" customWidth="1"/>
    <col min="6657" max="6659" width="13.7109375" style="133" customWidth="1"/>
    <col min="6660" max="6907" width="9.140625" style="133" customWidth="1"/>
    <col min="6908" max="6908" width="0.13671875" style="133" customWidth="1"/>
    <col min="6909" max="6909" width="35.140625" style="133" customWidth="1"/>
    <col min="6910" max="6910" width="9.7109375" style="133" customWidth="1"/>
    <col min="6911" max="6911" width="9.421875" style="133" customWidth="1"/>
    <col min="6912" max="6912" width="10.421875" style="133" customWidth="1"/>
    <col min="6913" max="6915" width="13.7109375" style="133" customWidth="1"/>
    <col min="6916" max="7163" width="9.140625" style="133" customWidth="1"/>
    <col min="7164" max="7164" width="0.13671875" style="133" customWidth="1"/>
    <col min="7165" max="7165" width="35.140625" style="133" customWidth="1"/>
    <col min="7166" max="7166" width="9.7109375" style="133" customWidth="1"/>
    <col min="7167" max="7167" width="9.421875" style="133" customWidth="1"/>
    <col min="7168" max="7168" width="10.421875" style="133" customWidth="1"/>
    <col min="7169" max="7171" width="13.7109375" style="133" customWidth="1"/>
    <col min="7172" max="7419" width="9.140625" style="133" customWidth="1"/>
    <col min="7420" max="7420" width="0.13671875" style="133" customWidth="1"/>
    <col min="7421" max="7421" width="35.140625" style="133" customWidth="1"/>
    <col min="7422" max="7422" width="9.7109375" style="133" customWidth="1"/>
    <col min="7423" max="7423" width="9.421875" style="133" customWidth="1"/>
    <col min="7424" max="7424" width="10.421875" style="133" customWidth="1"/>
    <col min="7425" max="7427" width="13.7109375" style="133" customWidth="1"/>
    <col min="7428" max="7675" width="9.140625" style="133" customWidth="1"/>
    <col min="7676" max="7676" width="0.13671875" style="133" customWidth="1"/>
    <col min="7677" max="7677" width="35.140625" style="133" customWidth="1"/>
    <col min="7678" max="7678" width="9.7109375" style="133" customWidth="1"/>
    <col min="7679" max="7679" width="9.421875" style="133" customWidth="1"/>
    <col min="7680" max="7680" width="10.421875" style="133" customWidth="1"/>
    <col min="7681" max="7683" width="13.7109375" style="133" customWidth="1"/>
    <col min="7684" max="7931" width="9.140625" style="133" customWidth="1"/>
    <col min="7932" max="7932" width="0.13671875" style="133" customWidth="1"/>
    <col min="7933" max="7933" width="35.140625" style="133" customWidth="1"/>
    <col min="7934" max="7934" width="9.7109375" style="133" customWidth="1"/>
    <col min="7935" max="7935" width="9.421875" style="133" customWidth="1"/>
    <col min="7936" max="7936" width="10.421875" style="133" customWidth="1"/>
    <col min="7937" max="7939" width="13.7109375" style="133" customWidth="1"/>
    <col min="7940" max="8187" width="9.140625" style="133" customWidth="1"/>
    <col min="8188" max="8188" width="0.13671875" style="133" customWidth="1"/>
    <col min="8189" max="8189" width="35.140625" style="133" customWidth="1"/>
    <col min="8190" max="8190" width="9.7109375" style="133" customWidth="1"/>
    <col min="8191" max="8191" width="9.421875" style="133" customWidth="1"/>
    <col min="8192" max="8192" width="10.421875" style="133" customWidth="1"/>
    <col min="8193" max="8195" width="13.7109375" style="133" customWidth="1"/>
    <col min="8196" max="8443" width="9.140625" style="133" customWidth="1"/>
    <col min="8444" max="8444" width="0.13671875" style="133" customWidth="1"/>
    <col min="8445" max="8445" width="35.140625" style="133" customWidth="1"/>
    <col min="8446" max="8446" width="9.7109375" style="133" customWidth="1"/>
    <col min="8447" max="8447" width="9.421875" style="133" customWidth="1"/>
    <col min="8448" max="8448" width="10.421875" style="133" customWidth="1"/>
    <col min="8449" max="8451" width="13.7109375" style="133" customWidth="1"/>
    <col min="8452" max="8699" width="9.140625" style="133" customWidth="1"/>
    <col min="8700" max="8700" width="0.13671875" style="133" customWidth="1"/>
    <col min="8701" max="8701" width="35.140625" style="133" customWidth="1"/>
    <col min="8702" max="8702" width="9.7109375" style="133" customWidth="1"/>
    <col min="8703" max="8703" width="9.421875" style="133" customWidth="1"/>
    <col min="8704" max="8704" width="10.421875" style="133" customWidth="1"/>
    <col min="8705" max="8707" width="13.7109375" style="133" customWidth="1"/>
    <col min="8708" max="8955" width="9.140625" style="133" customWidth="1"/>
    <col min="8956" max="8956" width="0.13671875" style="133" customWidth="1"/>
    <col min="8957" max="8957" width="35.140625" style="133" customWidth="1"/>
    <col min="8958" max="8958" width="9.7109375" style="133" customWidth="1"/>
    <col min="8959" max="8959" width="9.421875" style="133" customWidth="1"/>
    <col min="8960" max="8960" width="10.421875" style="133" customWidth="1"/>
    <col min="8961" max="8963" width="13.7109375" style="133" customWidth="1"/>
    <col min="8964" max="9211" width="9.140625" style="133" customWidth="1"/>
    <col min="9212" max="9212" width="0.13671875" style="133" customWidth="1"/>
    <col min="9213" max="9213" width="35.140625" style="133" customWidth="1"/>
    <col min="9214" max="9214" width="9.7109375" style="133" customWidth="1"/>
    <col min="9215" max="9215" width="9.421875" style="133" customWidth="1"/>
    <col min="9216" max="9216" width="10.421875" style="133" customWidth="1"/>
    <col min="9217" max="9219" width="13.7109375" style="133" customWidth="1"/>
    <col min="9220" max="9467" width="9.140625" style="133" customWidth="1"/>
    <col min="9468" max="9468" width="0.13671875" style="133" customWidth="1"/>
    <col min="9469" max="9469" width="35.140625" style="133" customWidth="1"/>
    <col min="9470" max="9470" width="9.7109375" style="133" customWidth="1"/>
    <col min="9471" max="9471" width="9.421875" style="133" customWidth="1"/>
    <col min="9472" max="9472" width="10.421875" style="133" customWidth="1"/>
    <col min="9473" max="9475" width="13.7109375" style="133" customWidth="1"/>
    <col min="9476" max="9723" width="9.140625" style="133" customWidth="1"/>
    <col min="9724" max="9724" width="0.13671875" style="133" customWidth="1"/>
    <col min="9725" max="9725" width="35.140625" style="133" customWidth="1"/>
    <col min="9726" max="9726" width="9.7109375" style="133" customWidth="1"/>
    <col min="9727" max="9727" width="9.421875" style="133" customWidth="1"/>
    <col min="9728" max="9728" width="10.421875" style="133" customWidth="1"/>
    <col min="9729" max="9731" width="13.7109375" style="133" customWidth="1"/>
    <col min="9732" max="9979" width="9.140625" style="133" customWidth="1"/>
    <col min="9980" max="9980" width="0.13671875" style="133" customWidth="1"/>
    <col min="9981" max="9981" width="35.140625" style="133" customWidth="1"/>
    <col min="9982" max="9982" width="9.7109375" style="133" customWidth="1"/>
    <col min="9983" max="9983" width="9.421875" style="133" customWidth="1"/>
    <col min="9984" max="9984" width="10.421875" style="133" customWidth="1"/>
    <col min="9985" max="9987" width="13.7109375" style="133" customWidth="1"/>
    <col min="9988" max="10235" width="9.140625" style="133" customWidth="1"/>
    <col min="10236" max="10236" width="0.13671875" style="133" customWidth="1"/>
    <col min="10237" max="10237" width="35.140625" style="133" customWidth="1"/>
    <col min="10238" max="10238" width="9.7109375" style="133" customWidth="1"/>
    <col min="10239" max="10239" width="9.421875" style="133" customWidth="1"/>
    <col min="10240" max="10240" width="10.421875" style="133" customWidth="1"/>
    <col min="10241" max="10243" width="13.7109375" style="133" customWidth="1"/>
    <col min="10244" max="10491" width="9.140625" style="133" customWidth="1"/>
    <col min="10492" max="10492" width="0.13671875" style="133" customWidth="1"/>
    <col min="10493" max="10493" width="35.140625" style="133" customWidth="1"/>
    <col min="10494" max="10494" width="9.7109375" style="133" customWidth="1"/>
    <col min="10495" max="10495" width="9.421875" style="133" customWidth="1"/>
    <col min="10496" max="10496" width="10.421875" style="133" customWidth="1"/>
    <col min="10497" max="10499" width="13.7109375" style="133" customWidth="1"/>
    <col min="10500" max="10747" width="9.140625" style="133" customWidth="1"/>
    <col min="10748" max="10748" width="0.13671875" style="133" customWidth="1"/>
    <col min="10749" max="10749" width="35.140625" style="133" customWidth="1"/>
    <col min="10750" max="10750" width="9.7109375" style="133" customWidth="1"/>
    <col min="10751" max="10751" width="9.421875" style="133" customWidth="1"/>
    <col min="10752" max="10752" width="10.421875" style="133" customWidth="1"/>
    <col min="10753" max="10755" width="13.7109375" style="133" customWidth="1"/>
    <col min="10756" max="11003" width="9.140625" style="133" customWidth="1"/>
    <col min="11004" max="11004" width="0.13671875" style="133" customWidth="1"/>
    <col min="11005" max="11005" width="35.140625" style="133" customWidth="1"/>
    <col min="11006" max="11006" width="9.7109375" style="133" customWidth="1"/>
    <col min="11007" max="11007" width="9.421875" style="133" customWidth="1"/>
    <col min="11008" max="11008" width="10.421875" style="133" customWidth="1"/>
    <col min="11009" max="11011" width="13.7109375" style="133" customWidth="1"/>
    <col min="11012" max="11259" width="9.140625" style="133" customWidth="1"/>
    <col min="11260" max="11260" width="0.13671875" style="133" customWidth="1"/>
    <col min="11261" max="11261" width="35.140625" style="133" customWidth="1"/>
    <col min="11262" max="11262" width="9.7109375" style="133" customWidth="1"/>
    <col min="11263" max="11263" width="9.421875" style="133" customWidth="1"/>
    <col min="11264" max="11264" width="10.421875" style="133" customWidth="1"/>
    <col min="11265" max="11267" width="13.7109375" style="133" customWidth="1"/>
    <col min="11268" max="11515" width="9.140625" style="133" customWidth="1"/>
    <col min="11516" max="11516" width="0.13671875" style="133" customWidth="1"/>
    <col min="11517" max="11517" width="35.140625" style="133" customWidth="1"/>
    <col min="11518" max="11518" width="9.7109375" style="133" customWidth="1"/>
    <col min="11519" max="11519" width="9.421875" style="133" customWidth="1"/>
    <col min="11520" max="11520" width="10.421875" style="133" customWidth="1"/>
    <col min="11521" max="11523" width="13.7109375" style="133" customWidth="1"/>
    <col min="11524" max="11771" width="9.140625" style="133" customWidth="1"/>
    <col min="11772" max="11772" width="0.13671875" style="133" customWidth="1"/>
    <col min="11773" max="11773" width="35.140625" style="133" customWidth="1"/>
    <col min="11774" max="11774" width="9.7109375" style="133" customWidth="1"/>
    <col min="11775" max="11775" width="9.421875" style="133" customWidth="1"/>
    <col min="11776" max="11776" width="10.421875" style="133" customWidth="1"/>
    <col min="11777" max="11779" width="13.7109375" style="133" customWidth="1"/>
    <col min="11780" max="12027" width="9.140625" style="133" customWidth="1"/>
    <col min="12028" max="12028" width="0.13671875" style="133" customWidth="1"/>
    <col min="12029" max="12029" width="35.140625" style="133" customWidth="1"/>
    <col min="12030" max="12030" width="9.7109375" style="133" customWidth="1"/>
    <col min="12031" max="12031" width="9.421875" style="133" customWidth="1"/>
    <col min="12032" max="12032" width="10.421875" style="133" customWidth="1"/>
    <col min="12033" max="12035" width="13.7109375" style="133" customWidth="1"/>
    <col min="12036" max="12283" width="9.140625" style="133" customWidth="1"/>
    <col min="12284" max="12284" width="0.13671875" style="133" customWidth="1"/>
    <col min="12285" max="12285" width="35.140625" style="133" customWidth="1"/>
    <col min="12286" max="12286" width="9.7109375" style="133" customWidth="1"/>
    <col min="12287" max="12287" width="9.421875" style="133" customWidth="1"/>
    <col min="12288" max="12288" width="10.421875" style="133" customWidth="1"/>
    <col min="12289" max="12291" width="13.7109375" style="133" customWidth="1"/>
    <col min="12292" max="12539" width="9.140625" style="133" customWidth="1"/>
    <col min="12540" max="12540" width="0.13671875" style="133" customWidth="1"/>
    <col min="12541" max="12541" width="35.140625" style="133" customWidth="1"/>
    <col min="12542" max="12542" width="9.7109375" style="133" customWidth="1"/>
    <col min="12543" max="12543" width="9.421875" style="133" customWidth="1"/>
    <col min="12544" max="12544" width="10.421875" style="133" customWidth="1"/>
    <col min="12545" max="12547" width="13.7109375" style="133" customWidth="1"/>
    <col min="12548" max="12795" width="9.140625" style="133" customWidth="1"/>
    <col min="12796" max="12796" width="0.13671875" style="133" customWidth="1"/>
    <col min="12797" max="12797" width="35.140625" style="133" customWidth="1"/>
    <col min="12798" max="12798" width="9.7109375" style="133" customWidth="1"/>
    <col min="12799" max="12799" width="9.421875" style="133" customWidth="1"/>
    <col min="12800" max="12800" width="10.421875" style="133" customWidth="1"/>
    <col min="12801" max="12803" width="13.7109375" style="133" customWidth="1"/>
    <col min="12804" max="13051" width="9.140625" style="133" customWidth="1"/>
    <col min="13052" max="13052" width="0.13671875" style="133" customWidth="1"/>
    <col min="13053" max="13053" width="35.140625" style="133" customWidth="1"/>
    <col min="13054" max="13054" width="9.7109375" style="133" customWidth="1"/>
    <col min="13055" max="13055" width="9.421875" style="133" customWidth="1"/>
    <col min="13056" max="13056" width="10.421875" style="133" customWidth="1"/>
    <col min="13057" max="13059" width="13.7109375" style="133" customWidth="1"/>
    <col min="13060" max="13307" width="9.140625" style="133" customWidth="1"/>
    <col min="13308" max="13308" width="0.13671875" style="133" customWidth="1"/>
    <col min="13309" max="13309" width="35.140625" style="133" customWidth="1"/>
    <col min="13310" max="13310" width="9.7109375" style="133" customWidth="1"/>
    <col min="13311" max="13311" width="9.421875" style="133" customWidth="1"/>
    <col min="13312" max="13312" width="10.421875" style="133" customWidth="1"/>
    <col min="13313" max="13315" width="13.7109375" style="133" customWidth="1"/>
    <col min="13316" max="13563" width="9.140625" style="133" customWidth="1"/>
    <col min="13564" max="13564" width="0.13671875" style="133" customWidth="1"/>
    <col min="13565" max="13565" width="35.140625" style="133" customWidth="1"/>
    <col min="13566" max="13566" width="9.7109375" style="133" customWidth="1"/>
    <col min="13567" max="13567" width="9.421875" style="133" customWidth="1"/>
    <col min="13568" max="13568" width="10.421875" style="133" customWidth="1"/>
    <col min="13569" max="13571" width="13.7109375" style="133" customWidth="1"/>
    <col min="13572" max="13819" width="9.140625" style="133" customWidth="1"/>
    <col min="13820" max="13820" width="0.13671875" style="133" customWidth="1"/>
    <col min="13821" max="13821" width="35.140625" style="133" customWidth="1"/>
    <col min="13822" max="13822" width="9.7109375" style="133" customWidth="1"/>
    <col min="13823" max="13823" width="9.421875" style="133" customWidth="1"/>
    <col min="13824" max="13824" width="10.421875" style="133" customWidth="1"/>
    <col min="13825" max="13827" width="13.7109375" style="133" customWidth="1"/>
    <col min="13828" max="14075" width="9.140625" style="133" customWidth="1"/>
    <col min="14076" max="14076" width="0.13671875" style="133" customWidth="1"/>
    <col min="14077" max="14077" width="35.140625" style="133" customWidth="1"/>
    <col min="14078" max="14078" width="9.7109375" style="133" customWidth="1"/>
    <col min="14079" max="14079" width="9.421875" style="133" customWidth="1"/>
    <col min="14080" max="14080" width="10.421875" style="133" customWidth="1"/>
    <col min="14081" max="14083" width="13.7109375" style="133" customWidth="1"/>
    <col min="14084" max="14331" width="9.140625" style="133" customWidth="1"/>
    <col min="14332" max="14332" width="0.13671875" style="133" customWidth="1"/>
    <col min="14333" max="14333" width="35.140625" style="133" customWidth="1"/>
    <col min="14334" max="14334" width="9.7109375" style="133" customWidth="1"/>
    <col min="14335" max="14335" width="9.421875" style="133" customWidth="1"/>
    <col min="14336" max="14336" width="10.421875" style="133" customWidth="1"/>
    <col min="14337" max="14339" width="13.7109375" style="133" customWidth="1"/>
    <col min="14340" max="14587" width="9.140625" style="133" customWidth="1"/>
    <col min="14588" max="14588" width="0.13671875" style="133" customWidth="1"/>
    <col min="14589" max="14589" width="35.140625" style="133" customWidth="1"/>
    <col min="14590" max="14590" width="9.7109375" style="133" customWidth="1"/>
    <col min="14591" max="14591" width="9.421875" style="133" customWidth="1"/>
    <col min="14592" max="14592" width="10.421875" style="133" customWidth="1"/>
    <col min="14593" max="14595" width="13.7109375" style="133" customWidth="1"/>
    <col min="14596" max="14843" width="9.140625" style="133" customWidth="1"/>
    <col min="14844" max="14844" width="0.13671875" style="133" customWidth="1"/>
    <col min="14845" max="14845" width="35.140625" style="133" customWidth="1"/>
    <col min="14846" max="14846" width="9.7109375" style="133" customWidth="1"/>
    <col min="14847" max="14847" width="9.421875" style="133" customWidth="1"/>
    <col min="14848" max="14848" width="10.421875" style="133" customWidth="1"/>
    <col min="14849" max="14851" width="13.7109375" style="133" customWidth="1"/>
    <col min="14852" max="15099" width="9.140625" style="133" customWidth="1"/>
    <col min="15100" max="15100" width="0.13671875" style="133" customWidth="1"/>
    <col min="15101" max="15101" width="35.140625" style="133" customWidth="1"/>
    <col min="15102" max="15102" width="9.7109375" style="133" customWidth="1"/>
    <col min="15103" max="15103" width="9.421875" style="133" customWidth="1"/>
    <col min="15104" max="15104" width="10.421875" style="133" customWidth="1"/>
    <col min="15105" max="15107" width="13.7109375" style="133" customWidth="1"/>
    <col min="15108" max="15355" width="9.140625" style="133" customWidth="1"/>
    <col min="15356" max="15356" width="0.13671875" style="133" customWidth="1"/>
    <col min="15357" max="15357" width="35.140625" style="133" customWidth="1"/>
    <col min="15358" max="15358" width="9.7109375" style="133" customWidth="1"/>
    <col min="15359" max="15359" width="9.421875" style="133" customWidth="1"/>
    <col min="15360" max="15360" width="10.421875" style="133" customWidth="1"/>
    <col min="15361" max="15363" width="13.7109375" style="133" customWidth="1"/>
    <col min="15364" max="15611" width="9.140625" style="133" customWidth="1"/>
    <col min="15612" max="15612" width="0.13671875" style="133" customWidth="1"/>
    <col min="15613" max="15613" width="35.140625" style="133" customWidth="1"/>
    <col min="15614" max="15614" width="9.7109375" style="133" customWidth="1"/>
    <col min="15615" max="15615" width="9.421875" style="133" customWidth="1"/>
    <col min="15616" max="15616" width="10.421875" style="133" customWidth="1"/>
    <col min="15617" max="15619" width="13.7109375" style="133" customWidth="1"/>
    <col min="15620" max="15867" width="9.140625" style="133" customWidth="1"/>
    <col min="15868" max="15868" width="0.13671875" style="133" customWidth="1"/>
    <col min="15869" max="15869" width="35.140625" style="133" customWidth="1"/>
    <col min="15870" max="15870" width="9.7109375" style="133" customWidth="1"/>
    <col min="15871" max="15871" width="9.421875" style="133" customWidth="1"/>
    <col min="15872" max="15872" width="10.421875" style="133" customWidth="1"/>
    <col min="15873" max="15875" width="13.7109375" style="133" customWidth="1"/>
    <col min="15876" max="16123" width="9.140625" style="133" customWidth="1"/>
    <col min="16124" max="16124" width="0.13671875" style="133" customWidth="1"/>
    <col min="16125" max="16125" width="35.140625" style="133" customWidth="1"/>
    <col min="16126" max="16126" width="9.7109375" style="133" customWidth="1"/>
    <col min="16127" max="16127" width="9.421875" style="133" customWidth="1"/>
    <col min="16128" max="16128" width="10.421875" style="133" customWidth="1"/>
    <col min="16129" max="16131" width="13.7109375" style="133" customWidth="1"/>
    <col min="16132" max="16384" width="9.140625" style="133" customWidth="1"/>
  </cols>
  <sheetData>
    <row r="1" ht="8.25" customHeight="1"/>
    <row r="2" ht="5.85" customHeight="1"/>
    <row r="3" ht="18" customHeight="1"/>
    <row r="4" ht="14.45" customHeight="1"/>
    <row r="5" ht="12.95" customHeight="1"/>
    <row r="6" ht="9.75" customHeight="1"/>
    <row r="7" ht="18" customHeight="1"/>
    <row r="8" spans="4:5" ht="18" customHeight="1">
      <c r="D8" s="235" t="s">
        <v>725</v>
      </c>
      <c r="E8" s="235"/>
    </row>
    <row r="9" ht="15.2" customHeight="1"/>
    <row r="10" spans="2:8" ht="12.75">
      <c r="B10" s="148"/>
      <c r="C10" s="146">
        <v>2018</v>
      </c>
      <c r="D10" s="133">
        <v>2019</v>
      </c>
      <c r="E10" s="146">
        <v>2020</v>
      </c>
      <c r="F10" s="146">
        <v>2021</v>
      </c>
      <c r="G10" s="146">
        <v>2022</v>
      </c>
      <c r="H10" s="146">
        <v>2023</v>
      </c>
    </row>
    <row r="11" spans="2:8" ht="15">
      <c r="B11" s="149" t="s">
        <v>444</v>
      </c>
      <c r="C11" s="385">
        <v>244000</v>
      </c>
      <c r="D11" s="385">
        <v>265000</v>
      </c>
      <c r="E11" s="385">
        <v>289402.999</v>
      </c>
      <c r="F11" s="385">
        <v>314854</v>
      </c>
      <c r="G11" s="385">
        <v>340341</v>
      </c>
      <c r="H11" s="385">
        <v>347675</v>
      </c>
    </row>
    <row r="12" spans="2:9" ht="12.75">
      <c r="B12" s="149" t="s">
        <v>369</v>
      </c>
      <c r="C12" s="383">
        <v>147186</v>
      </c>
      <c r="D12" s="384">
        <v>63746</v>
      </c>
      <c r="E12" s="383">
        <v>31796</v>
      </c>
      <c r="F12" s="384">
        <v>36136</v>
      </c>
      <c r="G12" s="383">
        <v>5424</v>
      </c>
      <c r="H12" s="384">
        <v>29015</v>
      </c>
      <c r="I12" s="351"/>
    </row>
    <row r="13" spans="2:9" ht="15">
      <c r="B13" s="149" t="s">
        <v>445</v>
      </c>
      <c r="C13" s="385">
        <v>10600</v>
      </c>
      <c r="D13" s="385">
        <v>10950</v>
      </c>
      <c r="E13" s="385">
        <v>5217</v>
      </c>
      <c r="F13" s="385">
        <v>5132</v>
      </c>
      <c r="G13" s="385">
        <v>5134</v>
      </c>
      <c r="H13" s="385">
        <v>5137</v>
      </c>
      <c r="I13" s="385">
        <v>5139</v>
      </c>
    </row>
    <row r="14" spans="2:8" ht="12.75">
      <c r="B14" s="149" t="s">
        <v>368</v>
      </c>
      <c r="C14" s="365">
        <v>51000</v>
      </c>
      <c r="D14" s="365">
        <v>44000</v>
      </c>
      <c r="E14" s="365">
        <v>38033</v>
      </c>
      <c r="F14" s="365">
        <v>33599</v>
      </c>
      <c r="G14" s="365">
        <v>29047</v>
      </c>
      <c r="H14" s="365">
        <v>29291</v>
      </c>
    </row>
    <row r="15" spans="2:8" ht="12.75">
      <c r="B15" s="149" t="s">
        <v>446</v>
      </c>
      <c r="C15" s="137">
        <f>SUM(C11:C14)</f>
        <v>452786</v>
      </c>
      <c r="D15" s="137">
        <f aca="true" t="shared" si="0" ref="D15:H15">SUM(D11:D14)</f>
        <v>383696</v>
      </c>
      <c r="E15" s="137">
        <f t="shared" si="0"/>
        <v>364448.999</v>
      </c>
      <c r="F15" s="137">
        <f t="shared" si="0"/>
        <v>389721</v>
      </c>
      <c r="G15" s="137">
        <f t="shared" si="0"/>
        <v>379946</v>
      </c>
      <c r="H15" s="137">
        <f t="shared" si="0"/>
        <v>411118</v>
      </c>
    </row>
    <row r="16" spans="2:3" ht="12.75">
      <c r="B16" s="149"/>
      <c r="C16" s="137"/>
    </row>
    <row r="17" spans="2:4" ht="12.75">
      <c r="B17" s="15"/>
      <c r="C17" s="8"/>
      <c r="D17" s="8"/>
    </row>
    <row r="18" spans="2:4" ht="12.75">
      <c r="B18" s="15"/>
      <c r="C18" s="16"/>
      <c r="D18" s="16"/>
    </row>
    <row r="19" spans="2:4" ht="12.75">
      <c r="B19" s="15"/>
      <c r="C19" s="16"/>
      <c r="D19" s="16"/>
    </row>
    <row r="20" spans="2:4" ht="12.75">
      <c r="B20" s="15"/>
      <c r="C20" s="16"/>
      <c r="D20"/>
    </row>
    <row r="21" spans="2:4" ht="12.75">
      <c r="B21" s="150"/>
      <c r="C21" s="16"/>
      <c r="D21"/>
    </row>
    <row r="22" spans="2:6" ht="13.5" customHeight="1">
      <c r="B22" s="150"/>
      <c r="C22" s="16"/>
      <c r="D22"/>
      <c r="E22" s="136"/>
      <c r="F22" s="136"/>
    </row>
    <row r="23" spans="2:4" ht="12.75">
      <c r="B23" s="150"/>
      <c r="C23" s="16"/>
      <c r="D23"/>
    </row>
    <row r="24" spans="2:6" ht="12.75">
      <c r="B24" s="150"/>
      <c r="C24" s="16"/>
      <c r="D24"/>
      <c r="E24" s="136"/>
      <c r="F24" s="134"/>
    </row>
    <row r="25" spans="2:4" ht="12.75">
      <c r="B25" s="151"/>
      <c r="C25" s="16"/>
      <c r="D25"/>
    </row>
    <row r="26" spans="2:4" ht="12.75">
      <c r="B26" s="151"/>
      <c r="C26" s="16"/>
      <c r="D26"/>
    </row>
    <row r="27" spans="2:4" ht="12.75">
      <c r="B27" s="151"/>
      <c r="C27" s="16"/>
      <c r="D27"/>
    </row>
    <row r="28" spans="2:4" ht="12.75">
      <c r="B28" s="151"/>
      <c r="C28" s="16"/>
      <c r="D28"/>
    </row>
    <row r="29" spans="2:4" ht="12.75">
      <c r="B29" s="151"/>
      <c r="C29" s="16"/>
      <c r="D29"/>
    </row>
    <row r="30" spans="2:4" ht="12.75">
      <c r="B30" s="151"/>
      <c r="C30" s="16"/>
      <c r="D30"/>
    </row>
    <row r="31" spans="2:4" ht="12.75">
      <c r="B31" s="151"/>
      <c r="C31" s="16"/>
      <c r="D31"/>
    </row>
    <row r="32" spans="2:4" ht="12.75">
      <c r="B32" s="151"/>
      <c r="C32" s="16"/>
      <c r="D32"/>
    </row>
    <row r="33" spans="2:4" ht="12.75">
      <c r="B33" s="151"/>
      <c r="C33" s="16"/>
      <c r="D33"/>
    </row>
    <row r="34" spans="2:4" ht="12.75">
      <c r="B34" s="151"/>
      <c r="C34" s="16"/>
      <c r="D34"/>
    </row>
    <row r="35" spans="2:3" ht="12.75">
      <c r="B35" s="151"/>
      <c r="C35" s="16"/>
    </row>
    <row r="36" spans="2:3" ht="12.75">
      <c r="B36" s="151"/>
      <c r="C36" s="16"/>
    </row>
    <row r="37" spans="2:3" ht="12.75">
      <c r="B37" s="151"/>
      <c r="C37" s="16"/>
    </row>
    <row r="38" spans="2:3" ht="12.75">
      <c r="B38" s="151"/>
      <c r="C38" s="16"/>
    </row>
    <row r="39" spans="2:3" ht="12.75">
      <c r="B39" s="151"/>
      <c r="C39" s="16"/>
    </row>
    <row r="40" spans="2:3" ht="12.75">
      <c r="B40" s="151"/>
      <c r="C40" s="16"/>
    </row>
    <row r="41" spans="2:3" ht="12.75">
      <c r="B41" s="151"/>
      <c r="C41" s="16"/>
    </row>
    <row r="42" spans="2:3" ht="12.75">
      <c r="B42" s="151"/>
      <c r="C42" s="16"/>
    </row>
    <row r="43" spans="2:3" ht="12.75">
      <c r="B43" s="151"/>
      <c r="C43" s="16"/>
    </row>
    <row r="44" spans="2:3" ht="12.75">
      <c r="B44" s="151"/>
      <c r="C44" s="16"/>
    </row>
    <row r="45" spans="2:3" ht="12.75">
      <c r="B45" s="151"/>
      <c r="C45" s="16"/>
    </row>
    <row r="46" spans="2:3" ht="12.75">
      <c r="B46" s="151"/>
      <c r="C46" s="16"/>
    </row>
    <row r="47" spans="2:3" ht="12.75">
      <c r="B47" s="151"/>
      <c r="C47" s="16"/>
    </row>
    <row r="48" spans="2:3" ht="12.75">
      <c r="B48" s="151"/>
      <c r="C48" s="16"/>
    </row>
    <row r="49" spans="2:3" ht="12.75">
      <c r="B49" s="151"/>
      <c r="C49" s="16"/>
    </row>
    <row r="50" spans="2:3" ht="12.75">
      <c r="B50" s="151"/>
      <c r="C50" s="16"/>
    </row>
    <row r="51" spans="2:3" ht="12.75">
      <c r="B51" s="151"/>
      <c r="C51" s="16"/>
    </row>
    <row r="52" spans="2:3" ht="12.75">
      <c r="B52" s="15"/>
      <c r="C52" s="16"/>
    </row>
    <row r="53" spans="2:3" ht="12.75">
      <c r="B53" s="15"/>
      <c r="C53" s="16"/>
    </row>
    <row r="54" spans="2:3" ht="12.75">
      <c r="B54" s="150"/>
      <c r="C54" s="16"/>
    </row>
    <row r="55" spans="2:3" ht="12.75">
      <c r="B55" s="150"/>
      <c r="C55" s="16"/>
    </row>
    <row r="56" spans="2:3" ht="12.75">
      <c r="B56" s="150"/>
      <c r="C56" s="16"/>
    </row>
    <row r="57" spans="2:3" ht="12.75">
      <c r="B57" s="150"/>
      <c r="C57" s="16"/>
    </row>
    <row r="58" spans="2:3" ht="12.75">
      <c r="B58" s="15"/>
      <c r="C58" s="16"/>
    </row>
    <row r="59" spans="2:3" ht="12.75">
      <c r="B59" s="15"/>
      <c r="C59"/>
    </row>
    <row r="60" spans="2:3" ht="12.75">
      <c r="B60" s="15"/>
      <c r="C60"/>
    </row>
    <row r="61" spans="2:3" ht="12.75">
      <c r="B61" s="15"/>
      <c r="C61"/>
    </row>
    <row r="62" spans="2:3" ht="12.75">
      <c r="B62" s="15"/>
      <c r="C62"/>
    </row>
    <row r="63" spans="2:3" ht="12.75">
      <c r="B63" s="15"/>
      <c r="C63"/>
    </row>
    <row r="64" spans="2:3" ht="12.75">
      <c r="B64" s="15"/>
      <c r="C64"/>
    </row>
    <row r="65" spans="2:3" ht="12.75">
      <c r="B65" s="15"/>
      <c r="C65"/>
    </row>
    <row r="66" spans="2:3" ht="12.75">
      <c r="B66" s="15"/>
      <c r="C66"/>
    </row>
    <row r="67" spans="2:3" ht="12.75">
      <c r="B67" s="15"/>
      <c r="C67"/>
    </row>
    <row r="68" spans="2:3" ht="12.75">
      <c r="B68" s="15"/>
      <c r="C68"/>
    </row>
    <row r="69" spans="2:3" ht="12.75">
      <c r="B69" s="15"/>
      <c r="C69"/>
    </row>
    <row r="70" spans="2:3" ht="12.75">
      <c r="B70" s="15"/>
      <c r="C70"/>
    </row>
    <row r="71" spans="2:3" ht="12.75">
      <c r="B71" s="15"/>
      <c r="C71"/>
    </row>
    <row r="72" spans="2:3" ht="12.75">
      <c r="B72" s="15"/>
      <c r="C72"/>
    </row>
    <row r="73" spans="2:3" ht="12.75">
      <c r="B73" s="15"/>
      <c r="C73"/>
    </row>
    <row r="74" spans="2:3" ht="12.75">
      <c r="B74" s="15"/>
      <c r="C74"/>
    </row>
    <row r="75" spans="2:3" ht="12.75">
      <c r="B75" s="15"/>
      <c r="C75"/>
    </row>
    <row r="76" spans="2:3" ht="12.75">
      <c r="B76" s="15"/>
      <c r="C76"/>
    </row>
    <row r="77" spans="2:3" ht="12.75">
      <c r="B77" s="15"/>
      <c r="C77"/>
    </row>
    <row r="78" spans="2:3" ht="12.75">
      <c r="B78" s="15"/>
      <c r="C78"/>
    </row>
    <row r="79" spans="2:3" ht="12.75">
      <c r="B79" s="15"/>
      <c r="C79"/>
    </row>
    <row r="80" spans="2:3" ht="12.75">
      <c r="B80" s="15"/>
      <c r="C80"/>
    </row>
    <row r="81" spans="2:3" ht="12.75">
      <c r="B81" s="15"/>
      <c r="C81"/>
    </row>
    <row r="82" spans="2:3" ht="12.75">
      <c r="B82" s="15"/>
      <c r="C82"/>
    </row>
    <row r="83" spans="2:3" ht="12.75">
      <c r="B83" s="15"/>
      <c r="C83"/>
    </row>
    <row r="84" spans="2:3" ht="12.75">
      <c r="B84" s="15"/>
      <c r="C84"/>
    </row>
    <row r="85" spans="2:3" ht="12.75">
      <c r="B85" s="15"/>
      <c r="C85"/>
    </row>
    <row r="86" spans="2:3" ht="12.75">
      <c r="B86" s="15"/>
      <c r="C86"/>
    </row>
    <row r="87" spans="2:3" ht="12.75">
      <c r="B87" s="15"/>
      <c r="C87"/>
    </row>
    <row r="88" spans="2:3" ht="12.75">
      <c r="B88" s="15"/>
      <c r="C88"/>
    </row>
    <row r="89" spans="2:3" ht="12.75">
      <c r="B89" s="15"/>
      <c r="C89"/>
    </row>
    <row r="90" spans="2:3" ht="12.75">
      <c r="B90" s="15"/>
      <c r="C90"/>
    </row>
    <row r="91" spans="2:3" ht="12.75">
      <c r="B91" s="15"/>
      <c r="C91"/>
    </row>
    <row r="92" spans="2:3" ht="12.75">
      <c r="B92" s="15"/>
      <c r="C92"/>
    </row>
    <row r="93" spans="2:3" ht="12.75">
      <c r="B93" s="15"/>
      <c r="C93"/>
    </row>
    <row r="94" spans="2:3" ht="12.75">
      <c r="B94" s="15"/>
      <c r="C94"/>
    </row>
    <row r="95" spans="2:3" ht="12.75">
      <c r="B95" s="15"/>
      <c r="C95"/>
    </row>
    <row r="96" spans="2:3" ht="12.75">
      <c r="B96" s="15"/>
      <c r="C96"/>
    </row>
    <row r="97" spans="2:3" ht="12.75">
      <c r="B97" s="15"/>
      <c r="C97"/>
    </row>
    <row r="98" spans="2:3" ht="12.75">
      <c r="B98" s="15"/>
      <c r="C98"/>
    </row>
    <row r="99" spans="2:3" ht="12.75">
      <c r="B99" s="15"/>
      <c r="C99"/>
    </row>
    <row r="100" spans="2:3" ht="12.75">
      <c r="B100" s="15"/>
      <c r="C100"/>
    </row>
    <row r="101" spans="2:3" ht="12.75">
      <c r="B101" s="15"/>
      <c r="C101"/>
    </row>
    <row r="102" spans="2:3" ht="12.75">
      <c r="B102" s="15"/>
      <c r="C102"/>
    </row>
    <row r="103" spans="2:3" ht="12.75">
      <c r="B103" s="15"/>
      <c r="C103"/>
    </row>
    <row r="104" spans="2:3" ht="12.75">
      <c r="B104" s="15"/>
      <c r="C104"/>
    </row>
    <row r="105" spans="2:3" ht="12.75">
      <c r="B105" s="15"/>
      <c r="C105"/>
    </row>
    <row r="106" spans="2:3" ht="12.75">
      <c r="B106" s="15"/>
      <c r="C106"/>
    </row>
    <row r="107" spans="2:3" ht="12.75">
      <c r="B107" s="15"/>
      <c r="C107"/>
    </row>
    <row r="108" spans="2:3" ht="12.75">
      <c r="B108" s="15"/>
      <c r="C108"/>
    </row>
    <row r="109" spans="2:3" ht="12.75">
      <c r="B109" s="15"/>
      <c r="C109"/>
    </row>
    <row r="110" spans="2:3" ht="12.75">
      <c r="B110" s="15"/>
      <c r="C110"/>
    </row>
    <row r="111" spans="2:3" ht="12.75">
      <c r="B111" s="15"/>
      <c r="C111"/>
    </row>
    <row r="112" spans="2:3" ht="12.75">
      <c r="B112" s="15"/>
      <c r="C112"/>
    </row>
    <row r="113" spans="2:3" ht="12.75">
      <c r="B113" s="15"/>
      <c r="C113"/>
    </row>
    <row r="114" spans="2:3" ht="12.75">
      <c r="B114" s="15"/>
      <c r="C114"/>
    </row>
    <row r="115" spans="2:3" ht="12.75">
      <c r="B115" s="15"/>
      <c r="C115"/>
    </row>
    <row r="116" spans="2:3" ht="12.75">
      <c r="B116" s="15"/>
      <c r="C116"/>
    </row>
    <row r="117" spans="2:3" ht="12.75">
      <c r="B117" s="15"/>
      <c r="C117"/>
    </row>
    <row r="118" spans="2:3" ht="12.75">
      <c r="B118" s="15"/>
      <c r="C118"/>
    </row>
    <row r="119" spans="2:3" ht="12.75">
      <c r="B119" s="15"/>
      <c r="C119"/>
    </row>
    <row r="120" spans="2:3" ht="12.75">
      <c r="B120" s="15"/>
      <c r="C120"/>
    </row>
    <row r="121" spans="2:3" ht="12.75">
      <c r="B121" s="15"/>
      <c r="C121"/>
    </row>
    <row r="122" spans="2:3" ht="12.75">
      <c r="B122" s="15"/>
      <c r="C122"/>
    </row>
    <row r="123" spans="2:3" ht="12.75">
      <c r="B123" s="15"/>
      <c r="C123"/>
    </row>
    <row r="124" spans="2:3" ht="12.75">
      <c r="B124" s="15"/>
      <c r="C124"/>
    </row>
    <row r="125" spans="2:3" ht="12.75">
      <c r="B125" s="15"/>
      <c r="C125"/>
    </row>
    <row r="126" spans="2:3" ht="12.75">
      <c r="B126" s="15"/>
      <c r="C126"/>
    </row>
    <row r="127" spans="2:3" ht="12.75">
      <c r="B127" s="15"/>
      <c r="C127"/>
    </row>
    <row r="128" spans="2:3" ht="12.75">
      <c r="B128" s="15"/>
      <c r="C128"/>
    </row>
    <row r="129" spans="2:3" ht="12.75">
      <c r="B129" s="149"/>
      <c r="C129" s="137"/>
    </row>
    <row r="130" spans="2:3" ht="12.75">
      <c r="B130" s="149"/>
      <c r="C130" s="137"/>
    </row>
    <row r="131" spans="2:3" ht="12.75">
      <c r="B131" s="149"/>
      <c r="C131" s="137"/>
    </row>
    <row r="132" spans="2:3" ht="12.75">
      <c r="B132" s="149"/>
      <c r="C132" s="137"/>
    </row>
    <row r="133" spans="2:3" ht="12.75">
      <c r="B133" s="149"/>
      <c r="C133" s="137"/>
    </row>
    <row r="134" spans="2:3" ht="12.75">
      <c r="B134" s="149"/>
      <c r="C134" s="137"/>
    </row>
    <row r="135" spans="2:3" ht="12.75">
      <c r="B135" s="149"/>
      <c r="C135" s="137"/>
    </row>
    <row r="136" spans="2:3" ht="12.75">
      <c r="B136" s="149"/>
      <c r="C136" s="137"/>
    </row>
    <row r="137" spans="2:3" ht="12.75">
      <c r="B137" s="149"/>
      <c r="C137" s="137"/>
    </row>
    <row r="138" spans="2:3" ht="12.75">
      <c r="B138" s="149"/>
      <c r="C138" s="137"/>
    </row>
    <row r="139" spans="2:3" ht="12.75">
      <c r="B139" s="149"/>
      <c r="C139" s="137"/>
    </row>
    <row r="140" spans="2:3" ht="12.75">
      <c r="B140" s="149"/>
      <c r="C140" s="137"/>
    </row>
    <row r="141" spans="2:3" ht="12.75">
      <c r="B141" s="149"/>
      <c r="C141" s="137"/>
    </row>
    <row r="142" spans="2:3" ht="12.75">
      <c r="B142" s="149"/>
      <c r="C142" s="137"/>
    </row>
    <row r="143" spans="2:3" ht="12.75">
      <c r="B143" s="149"/>
      <c r="C143" s="137"/>
    </row>
    <row r="144" spans="2:3" ht="12.75">
      <c r="B144" s="149"/>
      <c r="C144" s="137"/>
    </row>
    <row r="145" spans="2:3" ht="12.75">
      <c r="B145" s="149"/>
      <c r="C145" s="137"/>
    </row>
    <row r="146" spans="2:3" ht="12.75">
      <c r="B146" s="149"/>
      <c r="C146" s="137"/>
    </row>
    <row r="147" spans="2:3" ht="12.75">
      <c r="B147" s="149"/>
      <c r="C147" s="137"/>
    </row>
    <row r="148" spans="2:3" ht="12.75">
      <c r="B148" s="149"/>
      <c r="C148" s="137"/>
    </row>
    <row r="149" spans="2:3" ht="12.75">
      <c r="B149" s="149"/>
      <c r="C149" s="137"/>
    </row>
    <row r="150" spans="2:3" ht="12.75">
      <c r="B150" s="149"/>
      <c r="C150" s="137"/>
    </row>
    <row r="151" spans="2:3" ht="12.75">
      <c r="B151" s="149"/>
      <c r="C151" s="137"/>
    </row>
    <row r="152" spans="2:3" ht="12.75">
      <c r="B152" s="149"/>
      <c r="C152" s="137"/>
    </row>
    <row r="153" spans="2:3" ht="12.75">
      <c r="B153" s="149"/>
      <c r="C153" s="137"/>
    </row>
    <row r="154" spans="2:3" ht="12.75">
      <c r="B154" s="149"/>
      <c r="C154" s="137"/>
    </row>
    <row r="155" spans="2:3" ht="12.75">
      <c r="B155" s="149"/>
      <c r="C155" s="137"/>
    </row>
    <row r="156" spans="2:3" ht="12.75">
      <c r="B156" s="149"/>
      <c r="C156" s="137"/>
    </row>
    <row r="157" spans="2:3" ht="12.75">
      <c r="B157" s="149"/>
      <c r="C157" s="137"/>
    </row>
    <row r="158" spans="2:3" ht="12.75">
      <c r="B158" s="149"/>
      <c r="C158" s="137"/>
    </row>
    <row r="159" spans="2:3" ht="12.75">
      <c r="B159" s="149"/>
      <c r="C159" s="137"/>
    </row>
    <row r="160" spans="2:3" ht="12.75">
      <c r="B160" s="149"/>
      <c r="C160" s="137"/>
    </row>
    <row r="161" spans="2:3" ht="12.75">
      <c r="B161" s="149"/>
      <c r="C161" s="137"/>
    </row>
    <row r="162" spans="2:3" ht="12.75">
      <c r="B162" s="149"/>
      <c r="C162" s="137"/>
    </row>
    <row r="163" spans="2:3" ht="12.75">
      <c r="B163" s="149"/>
      <c r="C163" s="137"/>
    </row>
    <row r="164" spans="2:3" ht="12.75">
      <c r="B164" s="149"/>
      <c r="C164" s="137"/>
    </row>
    <row r="165" ht="12.75">
      <c r="C165" s="137"/>
    </row>
    <row r="166" ht="12.75">
      <c r="C166" s="137"/>
    </row>
    <row r="167" ht="12.75">
      <c r="C167" s="137"/>
    </row>
    <row r="168" spans="2:3" ht="12.75">
      <c r="B168" s="149"/>
      <c r="C168" s="137"/>
    </row>
    <row r="169" spans="2:3" ht="12.75">
      <c r="B169" s="149"/>
      <c r="C169" s="137"/>
    </row>
    <row r="170" spans="2:3" ht="12.75">
      <c r="B170" s="149"/>
      <c r="C170" s="137"/>
    </row>
    <row r="171" spans="2:3" ht="12.75">
      <c r="B171" s="149"/>
      <c r="C171" s="137"/>
    </row>
    <row r="172" spans="2:3" ht="12.75">
      <c r="B172" s="149"/>
      <c r="C172" s="137"/>
    </row>
    <row r="173" spans="2:3" ht="12.75">
      <c r="B173" s="149"/>
      <c r="C173" s="137"/>
    </row>
    <row r="174" spans="2:3" ht="12.75">
      <c r="B174" s="149"/>
      <c r="C174" s="137"/>
    </row>
    <row r="175" spans="2:3" ht="12.75">
      <c r="B175" s="149"/>
      <c r="C175" s="137"/>
    </row>
    <row r="176" spans="2:3" ht="12.75">
      <c r="B176" s="149"/>
      <c r="C176" s="137"/>
    </row>
    <row r="177" spans="2:3" ht="12.75">
      <c r="B177" s="149"/>
      <c r="C177" s="137"/>
    </row>
    <row r="178" spans="2:3" ht="12.75">
      <c r="B178" s="149"/>
      <c r="C178" s="137"/>
    </row>
    <row r="179" spans="2:3" ht="12.75">
      <c r="B179" s="149"/>
      <c r="C179" s="137"/>
    </row>
    <row r="180" spans="2:3" ht="12.75">
      <c r="B180" s="149"/>
      <c r="C180" s="137"/>
    </row>
    <row r="181" spans="2:3" ht="12.75">
      <c r="B181" s="149"/>
      <c r="C181" s="137"/>
    </row>
    <row r="182" spans="2:3" ht="12.75">
      <c r="B182" s="149"/>
      <c r="C182" s="137"/>
    </row>
    <row r="183" spans="2:3" ht="12.75">
      <c r="B183" s="149"/>
      <c r="C183" s="137"/>
    </row>
    <row r="184" spans="2:3" ht="12.75">
      <c r="B184" s="149"/>
      <c r="C184" s="137"/>
    </row>
    <row r="185" spans="2:3" ht="12.75">
      <c r="B185" s="149"/>
      <c r="C185" s="137"/>
    </row>
    <row r="186" spans="2:3" ht="12.75">
      <c r="B186" s="149"/>
      <c r="C186" s="137"/>
    </row>
    <row r="187" spans="2:3" ht="12.75">
      <c r="B187" s="149"/>
      <c r="C187" s="137"/>
    </row>
    <row r="188" spans="2:3" ht="12.75">
      <c r="B188" s="149"/>
      <c r="C188" s="137"/>
    </row>
    <row r="189" spans="2:3" ht="12.75">
      <c r="B189" s="149"/>
      <c r="C189" s="137"/>
    </row>
    <row r="190" spans="2:3" ht="12.75">
      <c r="B190" s="149"/>
      <c r="C190" s="137"/>
    </row>
    <row r="191" spans="2:3" ht="12.75">
      <c r="B191" s="149"/>
      <c r="C191" s="137"/>
    </row>
    <row r="192" spans="2:3" ht="12.75">
      <c r="B192" s="149"/>
      <c r="C192" s="137"/>
    </row>
    <row r="193" spans="2:3" ht="12.75">
      <c r="B193" s="149"/>
      <c r="C193" s="137"/>
    </row>
    <row r="194" spans="2:3" ht="12.75">
      <c r="B194" s="149"/>
      <c r="C194" s="137"/>
    </row>
    <row r="195" spans="2:3" ht="12.75">
      <c r="B195" s="149"/>
      <c r="C195" s="137"/>
    </row>
    <row r="196" spans="2:3" ht="12.75">
      <c r="B196" s="149"/>
      <c r="C196" s="137"/>
    </row>
    <row r="197" spans="2:3" ht="12.75">
      <c r="B197" s="149"/>
      <c r="C197" s="137"/>
    </row>
    <row r="198" spans="2:3" ht="12.75">
      <c r="B198" s="149"/>
      <c r="C198" s="137"/>
    </row>
    <row r="199" spans="2:3" ht="12.75">
      <c r="B199" s="149"/>
      <c r="C199" s="137"/>
    </row>
    <row r="200" spans="2:3" ht="12.75">
      <c r="B200" s="149"/>
      <c r="C200" s="137"/>
    </row>
    <row r="201" spans="2:3" ht="12.75">
      <c r="B201" s="149"/>
      <c r="C201" s="137"/>
    </row>
    <row r="202" spans="2:3" ht="12.75">
      <c r="B202" s="149"/>
      <c r="C202" s="137"/>
    </row>
    <row r="203" spans="2:3" ht="12.75">
      <c r="B203" s="149"/>
      <c r="C203" s="137"/>
    </row>
    <row r="204" spans="2:3" ht="12.75">
      <c r="B204" s="149"/>
      <c r="C204" s="137"/>
    </row>
    <row r="205" spans="2:3" ht="12.75">
      <c r="B205" s="149"/>
      <c r="C205" s="137"/>
    </row>
    <row r="206" spans="2:3" ht="12.75">
      <c r="B206" s="149"/>
      <c r="C206" s="137"/>
    </row>
    <row r="207" spans="2:3" ht="12.75">
      <c r="B207" s="149"/>
      <c r="C207" s="137"/>
    </row>
    <row r="208" spans="2:3" ht="12.75">
      <c r="B208" s="149"/>
      <c r="C208" s="137"/>
    </row>
    <row r="209" spans="2:3" ht="12.75">
      <c r="B209" s="149"/>
      <c r="C209" s="137"/>
    </row>
    <row r="210" spans="2:3" ht="12.75">
      <c r="B210" s="149"/>
      <c r="C210" s="137"/>
    </row>
    <row r="211" spans="2:3" ht="12.75">
      <c r="B211" s="149"/>
      <c r="C211" s="137"/>
    </row>
    <row r="212" spans="2:3" ht="12.75">
      <c r="B212" s="149"/>
      <c r="C212" s="137"/>
    </row>
    <row r="213" spans="2:3" ht="12.75">
      <c r="B213" s="149"/>
      <c r="C213" s="137"/>
    </row>
    <row r="214" spans="2:3" ht="12.75">
      <c r="B214" s="149"/>
      <c r="C214" s="137"/>
    </row>
    <row r="215" spans="2:3" ht="12.75">
      <c r="B215" s="149"/>
      <c r="C215" s="137"/>
    </row>
    <row r="216" spans="2:3" ht="12.75">
      <c r="B216" s="149"/>
      <c r="C216" s="137"/>
    </row>
    <row r="217" spans="2:3" ht="12.75">
      <c r="B217" s="149"/>
      <c r="C217" s="137"/>
    </row>
    <row r="218" spans="2:3" ht="12.75">
      <c r="B218" s="149"/>
      <c r="C218" s="137"/>
    </row>
    <row r="219" spans="2:3" ht="12.75">
      <c r="B219" s="149"/>
      <c r="C219" s="137"/>
    </row>
    <row r="220" spans="2:3" ht="12.75">
      <c r="B220" s="149"/>
      <c r="C220" s="137"/>
    </row>
    <row r="221" spans="2:3" ht="12.75">
      <c r="B221" s="149"/>
      <c r="C221" s="137"/>
    </row>
    <row r="222" spans="2:3" ht="12.75">
      <c r="B222" s="149"/>
      <c r="C222" s="137"/>
    </row>
    <row r="223" spans="2:3" ht="12.75">
      <c r="B223" s="149"/>
      <c r="C223" s="137"/>
    </row>
    <row r="224" spans="2:3" ht="12.75">
      <c r="B224" s="149"/>
      <c r="C224" s="137"/>
    </row>
    <row r="225" spans="2:3" ht="12.75">
      <c r="B225" s="149"/>
      <c r="C225" s="137"/>
    </row>
    <row r="226" spans="2:3" ht="12.75">
      <c r="B226" s="149"/>
      <c r="C226" s="137"/>
    </row>
    <row r="227" spans="2:3" ht="12.75">
      <c r="B227" s="149"/>
      <c r="C227" s="137"/>
    </row>
    <row r="228" spans="2:3" ht="12.75">
      <c r="B228" s="149"/>
      <c r="C228" s="137"/>
    </row>
    <row r="229" spans="2:3" ht="12.75">
      <c r="B229" s="149"/>
      <c r="C229" s="137"/>
    </row>
    <row r="230" spans="2:3" ht="12.75">
      <c r="B230" s="149"/>
      <c r="C230" s="137"/>
    </row>
    <row r="231" spans="2:3" ht="12.75">
      <c r="B231" s="149"/>
      <c r="C231" s="137"/>
    </row>
    <row r="232" spans="2:3" ht="12.75">
      <c r="B232" s="149"/>
      <c r="C232" s="137"/>
    </row>
    <row r="233" spans="2:3" ht="12.75">
      <c r="B233" s="149"/>
      <c r="C233" s="137"/>
    </row>
    <row r="234" spans="2:3" ht="12.75">
      <c r="B234" s="149"/>
      <c r="C234" s="137"/>
    </row>
    <row r="235" spans="2:3" ht="12.75">
      <c r="B235" s="149"/>
      <c r="C235" s="137"/>
    </row>
    <row r="236" spans="2:3" ht="12.75">
      <c r="B236" s="149"/>
      <c r="C236" s="137"/>
    </row>
    <row r="237" spans="2:3" ht="12.75">
      <c r="B237" s="149"/>
      <c r="C237" s="137"/>
    </row>
    <row r="238" spans="2:3" ht="12.75">
      <c r="B238" s="149"/>
      <c r="C238" s="137"/>
    </row>
    <row r="239" spans="2:3" ht="12.75">
      <c r="B239" s="149"/>
      <c r="C239" s="137"/>
    </row>
    <row r="240" spans="2:3" ht="12.75">
      <c r="B240" s="149"/>
      <c r="C240" s="137"/>
    </row>
    <row r="241" spans="2:3" ht="12.75">
      <c r="B241" s="149"/>
      <c r="C241" s="137"/>
    </row>
    <row r="242" spans="2:3" ht="12.75">
      <c r="B242" s="149"/>
      <c r="C242" s="137"/>
    </row>
    <row r="243" spans="2:3" ht="12.75">
      <c r="B243" s="149"/>
      <c r="C243" s="137"/>
    </row>
    <row r="244" spans="2:3" ht="12.75">
      <c r="B244" s="149"/>
      <c r="C244" s="137"/>
    </row>
    <row r="245" spans="2:3" ht="12.75">
      <c r="B245" s="149"/>
      <c r="C245" s="137"/>
    </row>
    <row r="246" spans="2:3" ht="12.75">
      <c r="B246" s="149"/>
      <c r="C246" s="137"/>
    </row>
    <row r="247" spans="2:3" ht="12.75">
      <c r="B247" s="149"/>
      <c r="C247" s="137"/>
    </row>
    <row r="248" spans="2:3" ht="12.75">
      <c r="B248" s="149"/>
      <c r="C248" s="137"/>
    </row>
    <row r="249" spans="2:3" ht="12.75">
      <c r="B249" s="149"/>
      <c r="C249" s="137"/>
    </row>
    <row r="250" spans="2:3" ht="12.75">
      <c r="B250" s="149"/>
      <c r="C250" s="137"/>
    </row>
    <row r="251" spans="2:3" ht="12.75">
      <c r="B251" s="149"/>
      <c r="C251" s="137"/>
    </row>
    <row r="252" spans="2:3" ht="12.75">
      <c r="B252" s="149"/>
      <c r="C252" s="137"/>
    </row>
    <row r="253" spans="2:3" ht="12.75">
      <c r="B253" s="149"/>
      <c r="C253" s="137"/>
    </row>
    <row r="254" spans="2:3" ht="12.75">
      <c r="B254" s="149"/>
      <c r="C254" s="137"/>
    </row>
    <row r="255" spans="2:3" ht="12.75">
      <c r="B255" s="149"/>
      <c r="C255" s="137"/>
    </row>
    <row r="256" spans="2:3" ht="12.75">
      <c r="B256" s="149"/>
      <c r="C256" s="137"/>
    </row>
    <row r="257" spans="2:3" ht="12.75">
      <c r="B257" s="149"/>
      <c r="C257" s="137"/>
    </row>
    <row r="258" spans="2:3" ht="12.75">
      <c r="B258" s="149"/>
      <c r="C258" s="137"/>
    </row>
    <row r="259" spans="2:3" ht="12.75">
      <c r="B259" s="149"/>
      <c r="C259" s="137"/>
    </row>
    <row r="260" spans="2:3" ht="12.75">
      <c r="B260" s="149"/>
      <c r="C260" s="137"/>
    </row>
    <row r="261" spans="2:3" ht="12.75">
      <c r="B261" s="149"/>
      <c r="C261" s="137"/>
    </row>
    <row r="262" spans="2:3" ht="12.75">
      <c r="B262" s="149"/>
      <c r="C262" s="137"/>
    </row>
    <row r="263" spans="2:3" ht="12.75">
      <c r="B263" s="149"/>
      <c r="C263" s="137"/>
    </row>
    <row r="264" spans="2:3" ht="12.75">
      <c r="B264" s="149"/>
      <c r="C264" s="137"/>
    </row>
    <row r="265" spans="2:3" ht="12.75">
      <c r="B265" s="149"/>
      <c r="C265" s="137"/>
    </row>
    <row r="266" spans="2:3" ht="12.75">
      <c r="B266" s="149"/>
      <c r="C266" s="137"/>
    </row>
    <row r="267" spans="2:3" ht="12.75">
      <c r="B267" s="149"/>
      <c r="C267" s="137"/>
    </row>
    <row r="268" spans="2:3" ht="12.75">
      <c r="B268" s="149"/>
      <c r="C268" s="137"/>
    </row>
    <row r="269" spans="2:3" ht="12.75">
      <c r="B269" s="149"/>
      <c r="C269" s="137"/>
    </row>
    <row r="270" spans="2:3" ht="12.75">
      <c r="B270" s="149"/>
      <c r="C270" s="137"/>
    </row>
    <row r="271" spans="2:3" ht="12.75">
      <c r="B271" s="149"/>
      <c r="C271" s="137"/>
    </row>
    <row r="272" spans="2:3" ht="12.75">
      <c r="B272" s="149"/>
      <c r="C272" s="137"/>
    </row>
    <row r="273" spans="2:3" ht="12.75">
      <c r="B273" s="149"/>
      <c r="C273" s="137"/>
    </row>
    <row r="274" spans="2:3" ht="12.75">
      <c r="B274" s="149"/>
      <c r="C274" s="137"/>
    </row>
    <row r="275" spans="2:3" ht="12.75" hidden="1">
      <c r="B275" s="149"/>
      <c r="C275" s="137"/>
    </row>
    <row r="276" spans="2:3" ht="12.75" hidden="1">
      <c r="B276" s="149"/>
      <c r="C276" s="137"/>
    </row>
    <row r="277" spans="2:3" ht="12.75" hidden="1">
      <c r="B277" s="149"/>
      <c r="C277" s="137"/>
    </row>
    <row r="278" spans="2:3" ht="12.75" hidden="1">
      <c r="B278" s="149"/>
      <c r="C278" s="137"/>
    </row>
    <row r="279" spans="2:3" ht="12.75" hidden="1">
      <c r="B279" s="149"/>
      <c r="C279" s="137"/>
    </row>
    <row r="280" spans="2:3" ht="12.75" hidden="1">
      <c r="B280" s="149"/>
      <c r="C280" s="137"/>
    </row>
    <row r="281" spans="2:3" ht="12.75" hidden="1">
      <c r="B281" s="149"/>
      <c r="C281" s="137"/>
    </row>
    <row r="282" spans="2:3" ht="12.75" hidden="1">
      <c r="B282" s="149"/>
      <c r="C282" s="137"/>
    </row>
    <row r="283" spans="2:3" ht="12.75" hidden="1">
      <c r="B283" s="149"/>
      <c r="C283" s="137"/>
    </row>
    <row r="284" spans="2:3" ht="12.75" hidden="1">
      <c r="B284" s="149"/>
      <c r="C284" s="137"/>
    </row>
    <row r="285" spans="2:3" ht="12.75" hidden="1">
      <c r="B285" s="149"/>
      <c r="C285" s="137"/>
    </row>
    <row r="286" spans="2:3" ht="12.75" hidden="1">
      <c r="B286" s="149"/>
      <c r="C286" s="137"/>
    </row>
    <row r="287" spans="2:3" ht="12.75" hidden="1">
      <c r="B287" s="149"/>
      <c r="C287" s="137"/>
    </row>
    <row r="288" spans="2:3" ht="12.75" hidden="1">
      <c r="B288" s="149"/>
      <c r="C288" s="137"/>
    </row>
    <row r="289" spans="2:3" ht="12.75" hidden="1">
      <c r="B289" s="149"/>
      <c r="C289" s="137"/>
    </row>
    <row r="290" spans="2:3" ht="12.75" hidden="1">
      <c r="B290" s="149"/>
      <c r="C290" s="137"/>
    </row>
    <row r="291" spans="2:3" ht="12.75" hidden="1">
      <c r="B291" s="149"/>
      <c r="C291" s="137"/>
    </row>
    <row r="292" spans="2:3" ht="12.75" hidden="1">
      <c r="B292" s="149"/>
      <c r="C292" s="137"/>
    </row>
    <row r="293" spans="2:3" ht="12.75" hidden="1">
      <c r="B293" s="149"/>
      <c r="C293" s="137"/>
    </row>
    <row r="294" spans="2:3" ht="12.75" hidden="1">
      <c r="B294" s="149"/>
      <c r="C294" s="137"/>
    </row>
    <row r="295" spans="2:3" ht="12.75" hidden="1">
      <c r="B295" s="149"/>
      <c r="C295" s="137"/>
    </row>
    <row r="296" spans="2:3" ht="12.75" hidden="1">
      <c r="B296" s="149"/>
      <c r="C296" s="137"/>
    </row>
    <row r="297" spans="2:3" ht="12.75" hidden="1">
      <c r="B297" s="149"/>
      <c r="C297" s="137"/>
    </row>
    <row r="298" spans="2:3" ht="12.75" hidden="1">
      <c r="B298" s="149"/>
      <c r="C298" s="137"/>
    </row>
    <row r="299" spans="2:3" ht="12.75" hidden="1">
      <c r="B299" s="149"/>
      <c r="C299" s="137"/>
    </row>
    <row r="300" spans="2:3" ht="12.75" hidden="1">
      <c r="B300" s="149"/>
      <c r="C300" s="137"/>
    </row>
    <row r="301" spans="2:3" ht="13.5" hidden="1" thickBot="1">
      <c r="B301" s="135"/>
      <c r="C301" s="138"/>
    </row>
    <row r="303" ht="409.6" customHeight="1" hidden="1"/>
    <row r="304" ht="409.6" customHeight="1" hidden="1" thickTop="1"/>
    <row r="305" ht="409.6" customHeight="1" hidden="1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AT42"/>
  <sheetViews>
    <sheetView zoomScale="75" zoomScaleNormal="75" workbookViewId="0" topLeftCell="A25">
      <selection activeCell="R49" sqref="R49"/>
    </sheetView>
  </sheetViews>
  <sheetFormatPr defaultColWidth="9.140625" defaultRowHeight="12.75"/>
  <cols>
    <col min="1" max="1" width="25.00390625" style="0" bestFit="1" customWidth="1"/>
    <col min="2" max="2" width="5.421875" style="0" customWidth="1"/>
    <col min="3" max="4" width="25.00390625" style="0" hidden="1" customWidth="1"/>
    <col min="5" max="5" width="18.7109375" style="0" hidden="1" customWidth="1"/>
    <col min="6" max="6" width="15.57421875" style="0" customWidth="1"/>
    <col min="7" max="7" width="15.7109375" style="0" bestFit="1" customWidth="1"/>
    <col min="8" max="8" width="15.140625" style="0" bestFit="1" customWidth="1"/>
    <col min="9" max="12" width="14.8515625" style="0" bestFit="1" customWidth="1"/>
    <col min="13" max="13" width="16.140625" style="0" bestFit="1" customWidth="1"/>
    <col min="14" max="18" width="14.8515625" style="0" bestFit="1" customWidth="1"/>
    <col min="19" max="32" width="14.57421875" style="0" customWidth="1"/>
    <col min="33" max="33" width="13.8515625" style="0" bestFit="1" customWidth="1"/>
    <col min="34" max="46" width="9.8515625" style="0" bestFit="1" customWidth="1"/>
  </cols>
  <sheetData>
    <row r="1" ht="15">
      <c r="A1" s="179" t="s">
        <v>700</v>
      </c>
    </row>
    <row r="2" spans="5:7" ht="26.25">
      <c r="E2" s="236"/>
      <c r="F2" s="237"/>
      <c r="G2" s="9"/>
    </row>
    <row r="3" spans="1:6" ht="18">
      <c r="A3" s="178" t="s">
        <v>704</v>
      </c>
      <c r="F3" s="16"/>
    </row>
    <row r="4" spans="6:7" ht="15">
      <c r="F4" s="16"/>
      <c r="G4" s="44"/>
    </row>
    <row r="5" spans="1:33" s="130" customFormat="1" ht="15.75">
      <c r="A5" s="45" t="s">
        <v>226</v>
      </c>
      <c r="B5" s="45"/>
      <c r="C5" s="121">
        <v>2014</v>
      </c>
      <c r="D5" s="121">
        <v>2015</v>
      </c>
      <c r="E5" s="121">
        <v>2017</v>
      </c>
      <c r="F5" s="121">
        <v>2018</v>
      </c>
      <c r="G5" s="121">
        <v>2019</v>
      </c>
      <c r="H5" s="121">
        <v>2020</v>
      </c>
      <c r="I5" s="121">
        <v>2021</v>
      </c>
      <c r="J5" s="121">
        <v>2022</v>
      </c>
      <c r="K5" s="121">
        <v>2023</v>
      </c>
      <c r="L5" s="121">
        <v>2024</v>
      </c>
      <c r="M5" s="121">
        <v>2025</v>
      </c>
      <c r="N5" s="121">
        <v>2026</v>
      </c>
      <c r="O5" s="121">
        <v>2027</v>
      </c>
      <c r="P5" s="121">
        <v>2028</v>
      </c>
      <c r="Q5" s="121">
        <v>2029</v>
      </c>
      <c r="R5" s="121">
        <v>2030</v>
      </c>
      <c r="S5" s="121">
        <v>2031</v>
      </c>
      <c r="T5" s="121">
        <v>2032</v>
      </c>
      <c r="U5" s="121">
        <v>2033</v>
      </c>
      <c r="V5" s="121">
        <v>2034</v>
      </c>
      <c r="W5" s="121">
        <v>2035</v>
      </c>
      <c r="X5" s="121">
        <v>2036</v>
      </c>
      <c r="Y5" s="121">
        <v>2037</v>
      </c>
      <c r="Z5" s="121">
        <v>2038</v>
      </c>
      <c r="AA5" s="121">
        <v>2039</v>
      </c>
      <c r="AB5" s="121">
        <v>2040</v>
      </c>
      <c r="AC5" s="121">
        <v>2041</v>
      </c>
      <c r="AD5" s="121">
        <v>2042</v>
      </c>
      <c r="AE5" s="121">
        <v>2043</v>
      </c>
      <c r="AF5" s="121">
        <v>2044</v>
      </c>
      <c r="AG5" s="45" t="s">
        <v>163</v>
      </c>
    </row>
    <row r="6" spans="1:33" s="130" customFormat="1" ht="15.75">
      <c r="A6" s="172" t="s">
        <v>227</v>
      </c>
      <c r="B6" s="45"/>
      <c r="C6" s="154">
        <v>65552</v>
      </c>
      <c r="D6" s="154">
        <v>194931</v>
      </c>
      <c r="E6" s="333">
        <v>222665.315</v>
      </c>
      <c r="F6" s="333">
        <v>60431.195999999996</v>
      </c>
      <c r="G6" s="333">
        <v>40738.13</v>
      </c>
      <c r="H6" s="333">
        <v>40572.093</v>
      </c>
      <c r="I6" s="333">
        <v>39322.45</v>
      </c>
      <c r="J6" s="333">
        <v>39322.45</v>
      </c>
      <c r="K6" s="333">
        <v>39322.45</v>
      </c>
      <c r="L6" s="333">
        <v>98563.7</v>
      </c>
      <c r="M6" s="333">
        <v>267082.025</v>
      </c>
      <c r="N6" s="333">
        <v>228508.488</v>
      </c>
      <c r="O6" s="333">
        <v>190535.913</v>
      </c>
      <c r="P6" s="333">
        <v>130250.524</v>
      </c>
      <c r="Q6" s="333">
        <v>0</v>
      </c>
      <c r="R6" s="333">
        <v>0</v>
      </c>
      <c r="S6" s="333">
        <v>0</v>
      </c>
      <c r="T6" s="333">
        <v>0</v>
      </c>
      <c r="U6" s="333">
        <v>0</v>
      </c>
      <c r="V6" s="333">
        <v>0</v>
      </c>
      <c r="W6" s="333">
        <v>0</v>
      </c>
      <c r="X6" s="333">
        <v>0</v>
      </c>
      <c r="Y6" s="333">
        <v>0</v>
      </c>
      <c r="Z6" s="333">
        <v>0</v>
      </c>
      <c r="AA6" s="333">
        <v>0</v>
      </c>
      <c r="AB6" s="333">
        <v>0</v>
      </c>
      <c r="AC6" s="333">
        <v>0</v>
      </c>
      <c r="AD6" s="333">
        <v>0</v>
      </c>
      <c r="AE6" s="333">
        <v>0</v>
      </c>
      <c r="AF6" s="333">
        <v>0</v>
      </c>
      <c r="AG6" s="45">
        <f>SUM(F6:AF6)</f>
        <v>1174649.419</v>
      </c>
    </row>
    <row r="7" spans="1:33" s="169" customFormat="1" ht="15.75">
      <c r="A7" s="171" t="s">
        <v>228</v>
      </c>
      <c r="B7" s="167"/>
      <c r="C7" s="44">
        <v>127205</v>
      </c>
      <c r="D7" s="44">
        <v>143363</v>
      </c>
      <c r="E7" s="44">
        <v>477983.3570000001</v>
      </c>
      <c r="F7" s="44">
        <v>369867.1399999999</v>
      </c>
      <c r="G7" s="44">
        <v>531979.644</v>
      </c>
      <c r="H7" s="44">
        <v>462389.8570000001</v>
      </c>
      <c r="I7" s="44">
        <v>449549.767</v>
      </c>
      <c r="J7" s="44">
        <v>423793.174</v>
      </c>
      <c r="K7" s="44">
        <v>371537.191</v>
      </c>
      <c r="L7" s="44">
        <v>298474.488</v>
      </c>
      <c r="M7" s="44">
        <v>71576.78</v>
      </c>
      <c r="N7" s="44">
        <v>72355.84899999999</v>
      </c>
      <c r="O7" s="44">
        <v>79813.497</v>
      </c>
      <c r="P7" s="44">
        <v>117446.44</v>
      </c>
      <c r="Q7" s="44">
        <v>161483.57525</v>
      </c>
      <c r="R7" s="44">
        <v>242924.00075</v>
      </c>
      <c r="S7" s="44">
        <v>207041.94800000003</v>
      </c>
      <c r="T7" s="44">
        <v>109294.36250000002</v>
      </c>
      <c r="U7" s="44">
        <v>104896.8175</v>
      </c>
      <c r="V7" s="44">
        <v>109831.53575</v>
      </c>
      <c r="W7" s="44">
        <v>100081.41975</v>
      </c>
      <c r="X7" s="44">
        <v>70833.52675</v>
      </c>
      <c r="Y7" s="44">
        <v>70191.0005</v>
      </c>
      <c r="Z7" s="44">
        <v>60168.495500000005</v>
      </c>
      <c r="AA7" s="44">
        <v>27935.24325</v>
      </c>
      <c r="AB7" s="44">
        <v>25626.132749999997</v>
      </c>
      <c r="AC7" s="44">
        <v>18692.87675</v>
      </c>
      <c r="AD7" s="44">
        <v>18691.953749999997</v>
      </c>
      <c r="AE7" s="44">
        <v>18689.575249999998</v>
      </c>
      <c r="AF7" s="44">
        <v>136988.2475</v>
      </c>
      <c r="AG7" s="45">
        <f aca="true" t="shared" si="0" ref="AG7:AG14">SUM(F7:AF7)</f>
        <v>4732154.538499999</v>
      </c>
    </row>
    <row r="8" spans="1:33" s="169" customFormat="1" ht="15.75">
      <c r="A8" s="174" t="s">
        <v>451</v>
      </c>
      <c r="B8" s="167"/>
      <c r="C8" s="44">
        <v>-15875.826</v>
      </c>
      <c r="D8" s="44">
        <v>-4387.4</v>
      </c>
      <c r="E8" s="44">
        <v>-4387.4</v>
      </c>
      <c r="F8" s="44">
        <v>-4067.12</v>
      </c>
      <c r="G8" s="44">
        <v>-4067.12</v>
      </c>
      <c r="H8" s="44">
        <v>-4014.957</v>
      </c>
      <c r="I8" s="44">
        <v>-3802.892</v>
      </c>
      <c r="J8" s="44">
        <v>-3576.973</v>
      </c>
      <c r="K8" s="44">
        <v>-3229.815</v>
      </c>
      <c r="L8" s="44">
        <v>-2040.731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5">
        <f t="shared" si="0"/>
        <v>-24799.607999999997</v>
      </c>
    </row>
    <row r="9" spans="1:33" s="169" customFormat="1" ht="15.75">
      <c r="A9" s="174" t="s">
        <v>450</v>
      </c>
      <c r="B9" s="167"/>
      <c r="C9" s="44">
        <v>-454.164</v>
      </c>
      <c r="D9" s="44">
        <v>-413.494</v>
      </c>
      <c r="E9" s="44">
        <v>-11832.36075</v>
      </c>
      <c r="F9" s="44">
        <v>-2813.4335</v>
      </c>
      <c r="G9" s="44">
        <v>179.1075</v>
      </c>
      <c r="H9" s="44">
        <v>176.371</v>
      </c>
      <c r="I9" s="44">
        <v>174.881</v>
      </c>
      <c r="J9" s="44">
        <v>173.419</v>
      </c>
      <c r="K9" s="44">
        <v>171.62</v>
      </c>
      <c r="L9" s="44">
        <v>127.672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5">
        <f t="shared" si="0"/>
        <v>-1810.3630000000003</v>
      </c>
    </row>
    <row r="10" spans="1:34" s="168" customFormat="1" ht="15.75">
      <c r="A10" s="174" t="s">
        <v>448</v>
      </c>
      <c r="B10" s="167"/>
      <c r="C10" s="155">
        <v>-17509.932</v>
      </c>
      <c r="D10" s="155">
        <v>-58618.477</v>
      </c>
      <c r="E10" s="155">
        <v>-58881.364</v>
      </c>
      <c r="F10" s="155">
        <v>-178250</v>
      </c>
      <c r="G10" s="155">
        <v>-189500</v>
      </c>
      <c r="H10" s="155">
        <v>-72500</v>
      </c>
      <c r="I10" s="155">
        <v>-81000</v>
      </c>
      <c r="J10" s="155">
        <v>-49500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45">
        <f t="shared" si="0"/>
        <v>-570750</v>
      </c>
      <c r="AH10" s="152"/>
    </row>
    <row r="11" spans="1:33" s="168" customFormat="1" ht="15.75">
      <c r="A11" s="171" t="s">
        <v>449</v>
      </c>
      <c r="B11" s="167"/>
      <c r="C11" s="153">
        <f>SUM(C7:C10)</f>
        <v>93365.078</v>
      </c>
      <c r="D11" s="153">
        <f aca="true" t="shared" si="1" ref="D11">SUM(D7:D10)</f>
        <v>79943.629</v>
      </c>
      <c r="E11" s="334">
        <f>+SUM(E7:E10)</f>
        <v>402882.23225000006</v>
      </c>
      <c r="F11" s="334">
        <f aca="true" t="shared" si="2" ref="F11:AF11">+SUM(F7:F10)</f>
        <v>184736.58649999992</v>
      </c>
      <c r="G11" s="334">
        <f t="shared" si="2"/>
        <v>338591.6315</v>
      </c>
      <c r="H11" s="334">
        <f t="shared" si="2"/>
        <v>386051.27100000007</v>
      </c>
      <c r="I11" s="334">
        <f t="shared" si="2"/>
        <v>364921.756</v>
      </c>
      <c r="J11" s="334">
        <f t="shared" si="2"/>
        <v>370889.62</v>
      </c>
      <c r="K11" s="334">
        <f t="shared" si="2"/>
        <v>368478.996</v>
      </c>
      <c r="L11" s="334">
        <f t="shared" si="2"/>
        <v>296561.429</v>
      </c>
      <c r="M11" s="334">
        <f t="shared" si="2"/>
        <v>71576.78</v>
      </c>
      <c r="N11" s="334">
        <f t="shared" si="2"/>
        <v>72355.84899999999</v>
      </c>
      <c r="O11" s="334">
        <f t="shared" si="2"/>
        <v>79813.497</v>
      </c>
      <c r="P11" s="334">
        <f t="shared" si="2"/>
        <v>117446.44</v>
      </c>
      <c r="Q11" s="334">
        <f t="shared" si="2"/>
        <v>161483.57525</v>
      </c>
      <c r="R11" s="334">
        <f t="shared" si="2"/>
        <v>242924.00075</v>
      </c>
      <c r="S11" s="334">
        <f t="shared" si="2"/>
        <v>207041.94800000003</v>
      </c>
      <c r="T11" s="334">
        <f t="shared" si="2"/>
        <v>109294.36250000002</v>
      </c>
      <c r="U11" s="334">
        <f t="shared" si="2"/>
        <v>104896.8175</v>
      </c>
      <c r="V11" s="334">
        <f t="shared" si="2"/>
        <v>109831.53575</v>
      </c>
      <c r="W11" s="334">
        <f t="shared" si="2"/>
        <v>100081.41975</v>
      </c>
      <c r="X11" s="334">
        <f t="shared" si="2"/>
        <v>70833.52675</v>
      </c>
      <c r="Y11" s="334">
        <f t="shared" si="2"/>
        <v>70191.0005</v>
      </c>
      <c r="Z11" s="334">
        <f t="shared" si="2"/>
        <v>60168.495500000005</v>
      </c>
      <c r="AA11" s="334">
        <f t="shared" si="2"/>
        <v>27935.24325</v>
      </c>
      <c r="AB11" s="334">
        <f t="shared" si="2"/>
        <v>25626.132749999997</v>
      </c>
      <c r="AC11" s="334">
        <f t="shared" si="2"/>
        <v>18692.87675</v>
      </c>
      <c r="AD11" s="334">
        <f t="shared" si="2"/>
        <v>18691.953749999997</v>
      </c>
      <c r="AE11" s="334">
        <f t="shared" si="2"/>
        <v>18689.575249999998</v>
      </c>
      <c r="AF11" s="334">
        <f t="shared" si="2"/>
        <v>136988.2475</v>
      </c>
      <c r="AG11" s="45">
        <f t="shared" si="0"/>
        <v>4134794.567499999</v>
      </c>
    </row>
    <row r="12" spans="1:33" s="168" customFormat="1" ht="15.75">
      <c r="A12" s="171" t="s">
        <v>231</v>
      </c>
      <c r="B12" s="167"/>
      <c r="C12" s="173">
        <v>99934</v>
      </c>
      <c r="D12" s="173">
        <v>170427</v>
      </c>
      <c r="E12" s="335">
        <v>276899.75907000003</v>
      </c>
      <c r="F12" s="335">
        <v>236157.935626</v>
      </c>
      <c r="G12" s="335">
        <v>32139.091999999997</v>
      </c>
      <c r="H12" s="335">
        <v>31476.338</v>
      </c>
      <c r="I12" s="335">
        <v>40910.75</v>
      </c>
      <c r="J12" s="335">
        <v>63733.369999999995</v>
      </c>
      <c r="K12" s="335">
        <v>39130.89</v>
      </c>
      <c r="L12" s="335">
        <v>57226.25</v>
      </c>
      <c r="M12" s="335">
        <v>142919.844</v>
      </c>
      <c r="N12" s="335">
        <v>153104.967</v>
      </c>
      <c r="O12" s="335">
        <v>192380.535</v>
      </c>
      <c r="P12" s="335">
        <v>242334.473</v>
      </c>
      <c r="Q12" s="335">
        <v>0</v>
      </c>
      <c r="R12" s="335">
        <v>0</v>
      </c>
      <c r="S12" s="335">
        <v>0</v>
      </c>
      <c r="T12" s="335">
        <v>0</v>
      </c>
      <c r="U12" s="335">
        <v>0</v>
      </c>
      <c r="V12" s="335">
        <v>0</v>
      </c>
      <c r="W12" s="335">
        <v>0</v>
      </c>
      <c r="X12" s="335">
        <v>0</v>
      </c>
      <c r="Y12" s="335">
        <v>0</v>
      </c>
      <c r="Z12" s="335">
        <v>0</v>
      </c>
      <c r="AA12" s="335">
        <v>0</v>
      </c>
      <c r="AB12" s="335">
        <v>0</v>
      </c>
      <c r="AC12" s="335">
        <v>0</v>
      </c>
      <c r="AD12" s="335">
        <v>0</v>
      </c>
      <c r="AE12" s="335">
        <v>0</v>
      </c>
      <c r="AF12" s="335">
        <v>0</v>
      </c>
      <c r="AG12" s="45">
        <f t="shared" si="0"/>
        <v>1231514.4446260002</v>
      </c>
    </row>
    <row r="13" spans="1:33" s="168" customFormat="1" ht="15.75">
      <c r="A13" s="171" t="s">
        <v>229</v>
      </c>
      <c r="B13" s="167"/>
      <c r="C13" s="170">
        <v>1931</v>
      </c>
      <c r="D13" s="170">
        <v>1929</v>
      </c>
      <c r="E13" s="336">
        <v>1934.7370000000003</v>
      </c>
      <c r="F13" s="336">
        <v>1933.8490000000002</v>
      </c>
      <c r="G13" s="336">
        <v>1931.771</v>
      </c>
      <c r="H13" s="336">
        <v>1937.21</v>
      </c>
      <c r="I13" s="336">
        <v>1948.4430000000002</v>
      </c>
      <c r="J13" s="336">
        <v>1950.2930000000001</v>
      </c>
      <c r="K13" s="336">
        <v>1946.723</v>
      </c>
      <c r="L13" s="336">
        <v>1947.453</v>
      </c>
      <c r="M13" s="336">
        <v>331.1169999999999</v>
      </c>
      <c r="N13" s="336">
        <v>0</v>
      </c>
      <c r="O13" s="336">
        <v>0</v>
      </c>
      <c r="P13" s="336">
        <v>0</v>
      </c>
      <c r="Q13" s="336">
        <v>0</v>
      </c>
      <c r="R13" s="336">
        <v>0</v>
      </c>
      <c r="S13" s="336">
        <v>0</v>
      </c>
      <c r="T13" s="336">
        <v>0</v>
      </c>
      <c r="U13" s="336">
        <v>0</v>
      </c>
      <c r="V13" s="336">
        <v>0</v>
      </c>
      <c r="W13" s="336">
        <v>0</v>
      </c>
      <c r="X13" s="336">
        <v>0</v>
      </c>
      <c r="Y13" s="336">
        <v>0</v>
      </c>
      <c r="Z13" s="336">
        <v>0</v>
      </c>
      <c r="AA13" s="336">
        <v>0</v>
      </c>
      <c r="AB13" s="336">
        <v>0</v>
      </c>
      <c r="AC13" s="336">
        <v>0</v>
      </c>
      <c r="AD13" s="336">
        <v>0</v>
      </c>
      <c r="AE13" s="336">
        <v>0</v>
      </c>
      <c r="AF13" s="336">
        <v>0</v>
      </c>
      <c r="AG13" s="45">
        <f t="shared" si="0"/>
        <v>13926.859</v>
      </c>
    </row>
    <row r="14" spans="1:33" s="168" customFormat="1" ht="15.75">
      <c r="A14" s="171" t="s">
        <v>230</v>
      </c>
      <c r="B14" s="167"/>
      <c r="C14" s="170">
        <v>7288</v>
      </c>
      <c r="D14" s="170">
        <v>7300</v>
      </c>
      <c r="E14" s="336">
        <v>7302.702</v>
      </c>
      <c r="F14" s="336">
        <v>7302.242</v>
      </c>
      <c r="G14" s="336">
        <v>7303.532999999999</v>
      </c>
      <c r="H14" s="336">
        <v>7301.076</v>
      </c>
      <c r="I14" s="336">
        <v>7299.622000000001</v>
      </c>
      <c r="J14" s="336">
        <v>7298.669</v>
      </c>
      <c r="K14" s="336">
        <v>7302.719</v>
      </c>
      <c r="L14" s="336">
        <v>7301.023</v>
      </c>
      <c r="M14" s="336">
        <v>7301.748</v>
      </c>
      <c r="N14" s="336">
        <v>7299.562</v>
      </c>
      <c r="O14" s="336">
        <v>7303.991</v>
      </c>
      <c r="P14" s="336">
        <v>7298.987</v>
      </c>
      <c r="Q14" s="336">
        <v>7299.285</v>
      </c>
      <c r="R14" s="336">
        <v>7303.84</v>
      </c>
      <c r="S14" s="336">
        <v>10859.1</v>
      </c>
      <c r="T14" s="336">
        <v>3747.469</v>
      </c>
      <c r="U14" s="336">
        <v>0</v>
      </c>
      <c r="V14" s="336">
        <v>0</v>
      </c>
      <c r="W14" s="336">
        <v>0</v>
      </c>
      <c r="X14" s="336">
        <v>0</v>
      </c>
      <c r="Y14" s="336">
        <v>0</v>
      </c>
      <c r="Z14" s="336">
        <v>0</v>
      </c>
      <c r="AA14" s="336">
        <v>0</v>
      </c>
      <c r="AB14" s="336">
        <v>0</v>
      </c>
      <c r="AC14" s="336">
        <v>0</v>
      </c>
      <c r="AD14" s="336">
        <v>0</v>
      </c>
      <c r="AE14" s="336">
        <v>0</v>
      </c>
      <c r="AF14" s="336">
        <v>0</v>
      </c>
      <c r="AG14" s="45">
        <f t="shared" si="0"/>
        <v>109522.866</v>
      </c>
    </row>
    <row r="15" spans="1:46" s="341" customFormat="1" ht="20.25">
      <c r="A15" s="337" t="s">
        <v>163</v>
      </c>
      <c r="B15" s="338"/>
      <c r="C15" s="339" t="e">
        <f>+C14+C13+#REF!+#REF!+#REF!+C11+#REF!</f>
        <v>#REF!</v>
      </c>
      <c r="D15" s="339" t="e">
        <f>+D14+D13+#REF!+#REF!+#REF!+D11+#REF!</f>
        <v>#REF!</v>
      </c>
      <c r="E15" s="339">
        <f>+SUM(E11:E14,E6)</f>
        <v>911684.74532</v>
      </c>
      <c r="F15" s="339">
        <f>+SUM(F11:F14,F6)</f>
        <v>490561.8091259999</v>
      </c>
      <c r="G15" s="339">
        <f aca="true" t="shared" si="3" ref="G15:AF15">+SUM(G11:G14,G6)</f>
        <v>420704.15750000003</v>
      </c>
      <c r="H15" s="339">
        <f t="shared" si="3"/>
        <v>467337.98800000007</v>
      </c>
      <c r="I15" s="339">
        <f t="shared" si="3"/>
        <v>454403.021</v>
      </c>
      <c r="J15" s="339">
        <f t="shared" si="3"/>
        <v>483194.402</v>
      </c>
      <c r="K15" s="339">
        <f t="shared" si="3"/>
        <v>456181.778</v>
      </c>
      <c r="L15" s="339">
        <f t="shared" si="3"/>
        <v>461599.855</v>
      </c>
      <c r="M15" s="339">
        <f t="shared" si="3"/>
        <v>489211.514</v>
      </c>
      <c r="N15" s="339">
        <f t="shared" si="3"/>
        <v>461268.86600000004</v>
      </c>
      <c r="O15" s="339">
        <f t="shared" si="3"/>
        <v>470033.936</v>
      </c>
      <c r="P15" s="339">
        <f t="shared" si="3"/>
        <v>497330.424</v>
      </c>
      <c r="Q15" s="339">
        <f t="shared" si="3"/>
        <v>168782.86025</v>
      </c>
      <c r="R15" s="339">
        <f t="shared" si="3"/>
        <v>250227.84075</v>
      </c>
      <c r="S15" s="339">
        <f t="shared" si="3"/>
        <v>217901.04800000004</v>
      </c>
      <c r="T15" s="339">
        <f t="shared" si="3"/>
        <v>113041.83150000001</v>
      </c>
      <c r="U15" s="339">
        <f t="shared" si="3"/>
        <v>104896.8175</v>
      </c>
      <c r="V15" s="339">
        <f t="shared" si="3"/>
        <v>109831.53575</v>
      </c>
      <c r="W15" s="339">
        <f t="shared" si="3"/>
        <v>100081.41975</v>
      </c>
      <c r="X15" s="339">
        <f t="shared" si="3"/>
        <v>70833.52675</v>
      </c>
      <c r="Y15" s="339">
        <f t="shared" si="3"/>
        <v>70191.0005</v>
      </c>
      <c r="Z15" s="339">
        <f t="shared" si="3"/>
        <v>60168.495500000005</v>
      </c>
      <c r="AA15" s="339">
        <f t="shared" si="3"/>
        <v>27935.24325</v>
      </c>
      <c r="AB15" s="339">
        <f t="shared" si="3"/>
        <v>25626.132749999997</v>
      </c>
      <c r="AC15" s="339">
        <f t="shared" si="3"/>
        <v>18692.87675</v>
      </c>
      <c r="AD15" s="339">
        <f t="shared" si="3"/>
        <v>18691.953749999997</v>
      </c>
      <c r="AE15" s="339">
        <f t="shared" si="3"/>
        <v>18689.575249999998</v>
      </c>
      <c r="AF15" s="339">
        <f t="shared" si="3"/>
        <v>136988.2475</v>
      </c>
      <c r="AG15" s="339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</row>
    <row r="16" spans="8:11" ht="15">
      <c r="H16" s="153"/>
      <c r="I16" s="153"/>
      <c r="J16" s="153"/>
      <c r="K16" s="153"/>
    </row>
    <row r="17" spans="3:32" ht="12.75">
      <c r="C17" s="16"/>
      <c r="D17" s="16"/>
      <c r="E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5.75">
      <c r="A18" s="171" t="s">
        <v>724</v>
      </c>
      <c r="B18" s="167"/>
      <c r="C18" s="170"/>
      <c r="D18" s="170"/>
      <c r="E18" s="336"/>
      <c r="F18" s="336">
        <v>220252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3:32" ht="12.75">
      <c r="C19" s="16"/>
      <c r="D19" s="16"/>
      <c r="E19" s="16"/>
      <c r="F19" s="16">
        <f>+F18+F15</f>
        <v>710813.8091259999</v>
      </c>
      <c r="G19" s="16">
        <f aca="true" t="shared" si="4" ref="G19:AF19">+G18+G15</f>
        <v>420704.15750000003</v>
      </c>
      <c r="H19" s="16">
        <f t="shared" si="4"/>
        <v>467337.98800000007</v>
      </c>
      <c r="I19" s="16">
        <f t="shared" si="4"/>
        <v>454403.021</v>
      </c>
      <c r="J19" s="16">
        <f t="shared" si="4"/>
        <v>483194.402</v>
      </c>
      <c r="K19" s="16">
        <f t="shared" si="4"/>
        <v>456181.778</v>
      </c>
      <c r="L19" s="16">
        <f t="shared" si="4"/>
        <v>461599.855</v>
      </c>
      <c r="M19" s="16">
        <f t="shared" si="4"/>
        <v>489211.514</v>
      </c>
      <c r="N19" s="16">
        <f t="shared" si="4"/>
        <v>461268.86600000004</v>
      </c>
      <c r="O19" s="16">
        <f t="shared" si="4"/>
        <v>470033.936</v>
      </c>
      <c r="P19" s="16">
        <f t="shared" si="4"/>
        <v>497330.424</v>
      </c>
      <c r="Q19" s="16">
        <f t="shared" si="4"/>
        <v>168782.86025</v>
      </c>
      <c r="R19" s="16">
        <f t="shared" si="4"/>
        <v>250227.84075</v>
      </c>
      <c r="S19" s="16">
        <f t="shared" si="4"/>
        <v>217901.04800000004</v>
      </c>
      <c r="T19" s="16">
        <f t="shared" si="4"/>
        <v>113041.83150000001</v>
      </c>
      <c r="U19" s="16">
        <f t="shared" si="4"/>
        <v>104896.8175</v>
      </c>
      <c r="V19" s="16">
        <f t="shared" si="4"/>
        <v>109831.53575</v>
      </c>
      <c r="W19" s="16">
        <f t="shared" si="4"/>
        <v>100081.41975</v>
      </c>
      <c r="X19" s="16">
        <f t="shared" si="4"/>
        <v>70833.52675</v>
      </c>
      <c r="Y19" s="16">
        <f t="shared" si="4"/>
        <v>70191.0005</v>
      </c>
      <c r="Z19" s="16">
        <f t="shared" si="4"/>
        <v>60168.495500000005</v>
      </c>
      <c r="AA19" s="16">
        <f t="shared" si="4"/>
        <v>27935.24325</v>
      </c>
      <c r="AB19" s="16">
        <f t="shared" si="4"/>
        <v>25626.132749999997</v>
      </c>
      <c r="AC19" s="16">
        <f t="shared" si="4"/>
        <v>18692.87675</v>
      </c>
      <c r="AD19" s="16">
        <f t="shared" si="4"/>
        <v>18691.953749999997</v>
      </c>
      <c r="AE19" s="16">
        <f t="shared" si="4"/>
        <v>18689.575249999998</v>
      </c>
      <c r="AF19" s="16">
        <f t="shared" si="4"/>
        <v>136988.2475</v>
      </c>
    </row>
    <row r="20" spans="3:32" ht="12.75">
      <c r="C20" s="16"/>
      <c r="D20" s="16"/>
      <c r="E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3:32" ht="12.75">
      <c r="C21" s="16"/>
      <c r="D21" s="16"/>
      <c r="E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3:32" ht="12.75">
      <c r="C22" s="16"/>
      <c r="D22" s="16"/>
      <c r="E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3:15" ht="18">
      <c r="C23" s="156"/>
      <c r="F23" s="370">
        <v>646360.06213</v>
      </c>
      <c r="G23" s="370">
        <v>410394.35050000006</v>
      </c>
      <c r="H23" s="370">
        <v>455788.66799999995</v>
      </c>
      <c r="I23" s="370">
        <v>435619.39599999995</v>
      </c>
      <c r="J23" s="370">
        <v>441605.2035</v>
      </c>
      <c r="K23" s="370">
        <v>439221.75950000004</v>
      </c>
      <c r="L23" s="370">
        <v>445620.86</v>
      </c>
      <c r="M23" s="370">
        <v>456956.723</v>
      </c>
      <c r="N23" s="370">
        <v>453248.196</v>
      </c>
      <c r="O23" s="370">
        <v>449173.8405</v>
      </c>
    </row>
    <row r="24" spans="3:15" ht="18">
      <c r="C24" s="156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6" spans="1:3" ht="18">
      <c r="A26" s="178" t="s">
        <v>705</v>
      </c>
      <c r="C26" s="27"/>
    </row>
    <row r="28" spans="1:33" s="130" customFormat="1" ht="15.75">
      <c r="A28" s="45" t="s">
        <v>226</v>
      </c>
      <c r="B28" s="45"/>
      <c r="C28" s="121">
        <v>2014</v>
      </c>
      <c r="D28" s="121">
        <v>2015</v>
      </c>
      <c r="E28" s="121">
        <v>2017</v>
      </c>
      <c r="F28" s="121">
        <v>2018</v>
      </c>
      <c r="G28" s="121">
        <v>2019</v>
      </c>
      <c r="H28" s="121">
        <v>2020</v>
      </c>
      <c r="I28" s="121">
        <v>2021</v>
      </c>
      <c r="J28" s="121">
        <v>2022</v>
      </c>
      <c r="K28" s="121">
        <v>2023</v>
      </c>
      <c r="L28" s="121">
        <v>2024</v>
      </c>
      <c r="M28" s="121">
        <v>2025</v>
      </c>
      <c r="N28" s="121">
        <v>2026</v>
      </c>
      <c r="O28" s="121">
        <v>2027</v>
      </c>
      <c r="P28" s="121">
        <v>2028</v>
      </c>
      <c r="Q28" s="121">
        <v>2029</v>
      </c>
      <c r="R28" s="121">
        <v>2030</v>
      </c>
      <c r="S28" s="121">
        <v>2031</v>
      </c>
      <c r="T28" s="121">
        <v>2032</v>
      </c>
      <c r="U28" s="121">
        <v>2033</v>
      </c>
      <c r="V28" s="121">
        <v>2034</v>
      </c>
      <c r="W28" s="121">
        <v>2035</v>
      </c>
      <c r="X28" s="121">
        <v>2036</v>
      </c>
      <c r="Y28" s="121">
        <v>2037</v>
      </c>
      <c r="Z28" s="121">
        <v>2038</v>
      </c>
      <c r="AA28" s="121">
        <v>2039</v>
      </c>
      <c r="AB28" s="121">
        <v>2040</v>
      </c>
      <c r="AC28" s="121">
        <v>2041</v>
      </c>
      <c r="AD28" s="121">
        <v>2042</v>
      </c>
      <c r="AE28" s="121">
        <v>2043</v>
      </c>
      <c r="AF28" s="121">
        <v>2044</v>
      </c>
      <c r="AG28" s="45" t="s">
        <v>163</v>
      </c>
    </row>
    <row r="29" spans="1:33" s="130" customFormat="1" ht="15.75">
      <c r="A29" s="172" t="s">
        <v>227</v>
      </c>
      <c r="B29" s="45"/>
      <c r="C29" s="154">
        <v>65552</v>
      </c>
      <c r="D29" s="154">
        <v>194931</v>
      </c>
      <c r="E29" s="333" t="e">
        <v>#REF!</v>
      </c>
      <c r="F29" s="333">
        <v>60431.195999999996</v>
      </c>
      <c r="G29" s="333">
        <v>40738.13</v>
      </c>
      <c r="H29" s="333">
        <v>40572.093</v>
      </c>
      <c r="I29" s="333">
        <v>39322.45</v>
      </c>
      <c r="J29" s="333">
        <v>39322.45</v>
      </c>
      <c r="K29" s="333">
        <v>39322.45</v>
      </c>
      <c r="L29" s="333">
        <v>98563.7</v>
      </c>
      <c r="M29" s="333">
        <v>267082.025</v>
      </c>
      <c r="N29" s="333">
        <v>228508.488</v>
      </c>
      <c r="O29" s="333">
        <v>190535.913</v>
      </c>
      <c r="P29" s="333">
        <v>130250.524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0</v>
      </c>
      <c r="X29" s="333">
        <v>0</v>
      </c>
      <c r="Y29" s="333">
        <v>0</v>
      </c>
      <c r="Z29" s="333">
        <v>0</v>
      </c>
      <c r="AA29" s="333">
        <v>0</v>
      </c>
      <c r="AB29" s="333">
        <v>0</v>
      </c>
      <c r="AC29" s="333">
        <v>0</v>
      </c>
      <c r="AD29" s="333">
        <v>0</v>
      </c>
      <c r="AE29" s="333">
        <v>0</v>
      </c>
      <c r="AF29" s="333">
        <v>0</v>
      </c>
      <c r="AG29" s="45"/>
    </row>
    <row r="30" spans="1:33" s="169" customFormat="1" ht="15.75">
      <c r="A30" s="171" t="s">
        <v>228</v>
      </c>
      <c r="B30" s="167"/>
      <c r="C30" s="44">
        <v>127205</v>
      </c>
      <c r="D30" s="44">
        <v>143363</v>
      </c>
      <c r="E30" s="44" t="e">
        <v>#REF!</v>
      </c>
      <c r="F30" s="44">
        <v>369867.1399999999</v>
      </c>
      <c r="G30" s="44">
        <v>531979.644</v>
      </c>
      <c r="H30" s="44">
        <v>464453.88300000003</v>
      </c>
      <c r="I30" s="44">
        <v>455106.088</v>
      </c>
      <c r="J30" s="44">
        <v>432434.044</v>
      </c>
      <c r="K30" s="44">
        <v>383703.119</v>
      </c>
      <c r="L30" s="44">
        <v>314730.91800000006</v>
      </c>
      <c r="M30" s="44">
        <v>91785.88</v>
      </c>
      <c r="N30" s="44">
        <v>96262.882</v>
      </c>
      <c r="O30" s="44">
        <v>107706.73499999999</v>
      </c>
      <c r="P30" s="44">
        <v>150091.562</v>
      </c>
      <c r="Q30" s="44">
        <v>214422.25650000002</v>
      </c>
      <c r="R30" s="44">
        <v>346710.367</v>
      </c>
      <c r="S30" s="44">
        <v>329522.5355</v>
      </c>
      <c r="T30" s="44">
        <v>284312.14099999995</v>
      </c>
      <c r="U30" s="44">
        <v>289735.87425</v>
      </c>
      <c r="V30" s="44">
        <v>289750.12700000004</v>
      </c>
      <c r="W30" s="44">
        <v>289747.23</v>
      </c>
      <c r="X30" s="44">
        <v>289701.58475</v>
      </c>
      <c r="Y30" s="44">
        <v>289806.96575000003</v>
      </c>
      <c r="Z30" s="44">
        <v>289760.055</v>
      </c>
      <c r="AA30" s="44">
        <v>289759.92299999995</v>
      </c>
      <c r="AB30" s="44">
        <v>289765.29649999994</v>
      </c>
      <c r="AC30" s="44">
        <v>289771.30199999997</v>
      </c>
      <c r="AD30" s="44">
        <v>289778.0905</v>
      </c>
      <c r="AE30" s="44">
        <v>289748.5685</v>
      </c>
      <c r="AF30" s="44">
        <v>339586.11625</v>
      </c>
      <c r="AG30" s="45">
        <f>SUM(F30:AF30)</f>
        <v>8100000.3285</v>
      </c>
    </row>
    <row r="31" spans="1:33" s="169" customFormat="1" ht="15.75">
      <c r="A31" s="174" t="s">
        <v>451</v>
      </c>
      <c r="B31" s="167"/>
      <c r="C31" s="44">
        <v>-15875.826</v>
      </c>
      <c r="D31" s="44">
        <v>-4387.4</v>
      </c>
      <c r="E31" s="44" t="e">
        <v>#REF!</v>
      </c>
      <c r="F31" s="44">
        <v>-4067.12</v>
      </c>
      <c r="G31" s="44">
        <v>-4067.12</v>
      </c>
      <c r="H31" s="44">
        <v>-4014.957</v>
      </c>
      <c r="I31" s="44">
        <v>-3802.892</v>
      </c>
      <c r="J31" s="44">
        <v>-3576.973</v>
      </c>
      <c r="K31" s="44">
        <v>-3229.815</v>
      </c>
      <c r="L31" s="44">
        <v>-2040.731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5">
        <f aca="true" t="shared" si="5" ref="AG31:AG38">SUM(F31:AF31)</f>
        <v>-24799.607999999997</v>
      </c>
    </row>
    <row r="32" spans="1:33" s="169" customFormat="1" ht="15.75">
      <c r="A32" s="174" t="s">
        <v>450</v>
      </c>
      <c r="B32" s="167"/>
      <c r="C32" s="44">
        <v>-454.164</v>
      </c>
      <c r="D32" s="44">
        <v>-413.494</v>
      </c>
      <c r="E32" s="44" t="e">
        <v>#REF!</v>
      </c>
      <c r="F32" s="44">
        <v>-2813.4335</v>
      </c>
      <c r="G32" s="44">
        <v>179.1075</v>
      </c>
      <c r="H32" s="44">
        <v>176.371</v>
      </c>
      <c r="I32" s="44">
        <v>174.881</v>
      </c>
      <c r="J32" s="44">
        <v>173.419</v>
      </c>
      <c r="K32" s="44">
        <v>171.62</v>
      </c>
      <c r="L32" s="44">
        <v>127.672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5">
        <f t="shared" si="5"/>
        <v>-1810.3630000000003</v>
      </c>
    </row>
    <row r="33" spans="1:34" s="168" customFormat="1" ht="15.75">
      <c r="A33" s="174" t="s">
        <v>448</v>
      </c>
      <c r="B33" s="167"/>
      <c r="C33" s="155">
        <v>-17509.932</v>
      </c>
      <c r="D33" s="155">
        <v>-58618.477</v>
      </c>
      <c r="E33" s="155" t="e">
        <v>#REF!</v>
      </c>
      <c r="F33" s="155">
        <v>-178250</v>
      </c>
      <c r="G33" s="155">
        <v>-189500</v>
      </c>
      <c r="H33" s="155">
        <v>-72500</v>
      </c>
      <c r="I33" s="155">
        <v>-81000</v>
      </c>
      <c r="J33" s="155">
        <v>-49500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45">
        <f t="shared" si="5"/>
        <v>-570750</v>
      </c>
      <c r="AH33" s="152"/>
    </row>
    <row r="34" spans="1:33" s="168" customFormat="1" ht="15.75">
      <c r="A34" s="171" t="s">
        <v>449</v>
      </c>
      <c r="B34" s="167"/>
      <c r="C34" s="153">
        <f>SUM(C30:C33)</f>
        <v>93365.078</v>
      </c>
      <c r="D34" s="153">
        <f aca="true" t="shared" si="6" ref="D34">SUM(D30:D33)</f>
        <v>79943.629</v>
      </c>
      <c r="E34" s="334" t="e">
        <f>+SUM(E30:E33)</f>
        <v>#REF!</v>
      </c>
      <c r="F34" s="334">
        <f>+SUM(F30:F33)</f>
        <v>184736.58649999992</v>
      </c>
      <c r="G34" s="334">
        <f aca="true" t="shared" si="7" ref="G34:AF34">+SUM(G30:G33)</f>
        <v>338591.6315</v>
      </c>
      <c r="H34" s="334">
        <f t="shared" si="7"/>
        <v>388115.297</v>
      </c>
      <c r="I34" s="334">
        <f t="shared" si="7"/>
        <v>370478.077</v>
      </c>
      <c r="J34" s="334">
        <f t="shared" si="7"/>
        <v>379530.49</v>
      </c>
      <c r="K34" s="334">
        <f t="shared" si="7"/>
        <v>380644.924</v>
      </c>
      <c r="L34" s="334">
        <f t="shared" si="7"/>
        <v>312817.85900000005</v>
      </c>
      <c r="M34" s="334">
        <f>+SUM(M30:M33)</f>
        <v>91785.88</v>
      </c>
      <c r="N34" s="334">
        <f t="shared" si="7"/>
        <v>96262.882</v>
      </c>
      <c r="O34" s="334">
        <f t="shared" si="7"/>
        <v>107706.73499999999</v>
      </c>
      <c r="P34" s="334">
        <f t="shared" si="7"/>
        <v>150091.562</v>
      </c>
      <c r="Q34" s="334">
        <f t="shared" si="7"/>
        <v>214422.25650000002</v>
      </c>
      <c r="R34" s="334">
        <f t="shared" si="7"/>
        <v>346710.367</v>
      </c>
      <c r="S34" s="334">
        <f t="shared" si="7"/>
        <v>329522.5355</v>
      </c>
      <c r="T34" s="334">
        <f t="shared" si="7"/>
        <v>284312.14099999995</v>
      </c>
      <c r="U34" s="334">
        <f t="shared" si="7"/>
        <v>289735.87425</v>
      </c>
      <c r="V34" s="334">
        <f t="shared" si="7"/>
        <v>289750.12700000004</v>
      </c>
      <c r="W34" s="334">
        <f t="shared" si="7"/>
        <v>289747.23</v>
      </c>
      <c r="X34" s="334">
        <f t="shared" si="7"/>
        <v>289701.58475</v>
      </c>
      <c r="Y34" s="334">
        <f t="shared" si="7"/>
        <v>289806.96575000003</v>
      </c>
      <c r="Z34" s="334">
        <f t="shared" si="7"/>
        <v>289760.055</v>
      </c>
      <c r="AA34" s="334">
        <f t="shared" si="7"/>
        <v>289759.92299999995</v>
      </c>
      <c r="AB34" s="334">
        <f t="shared" si="7"/>
        <v>289765.29649999994</v>
      </c>
      <c r="AC34" s="334">
        <f t="shared" si="7"/>
        <v>289771.30199999997</v>
      </c>
      <c r="AD34" s="334">
        <f t="shared" si="7"/>
        <v>289778.0905</v>
      </c>
      <c r="AE34" s="334">
        <f t="shared" si="7"/>
        <v>289748.5685</v>
      </c>
      <c r="AF34" s="334">
        <f t="shared" si="7"/>
        <v>339586.11625</v>
      </c>
      <c r="AG34" s="45">
        <f t="shared" si="5"/>
        <v>7502640.357500001</v>
      </c>
    </row>
    <row r="35" spans="1:33" s="168" customFormat="1" ht="15.75">
      <c r="A35" s="171" t="s">
        <v>231</v>
      </c>
      <c r="B35" s="167"/>
      <c r="C35" s="173">
        <v>99934</v>
      </c>
      <c r="D35" s="173">
        <v>170427</v>
      </c>
      <c r="E35" s="335" t="e">
        <v>#REF!</v>
      </c>
      <c r="F35" s="335">
        <v>236157.935626</v>
      </c>
      <c r="G35" s="335">
        <v>32139.091999999997</v>
      </c>
      <c r="H35" s="335">
        <v>31476.338</v>
      </c>
      <c r="I35" s="335">
        <v>40910.75</v>
      </c>
      <c r="J35" s="335">
        <v>63733.369999999995</v>
      </c>
      <c r="K35" s="335">
        <v>39130.89</v>
      </c>
      <c r="L35" s="335">
        <v>57226.25</v>
      </c>
      <c r="M35" s="335">
        <v>142919.844</v>
      </c>
      <c r="N35" s="335">
        <v>153104.967</v>
      </c>
      <c r="O35" s="335">
        <v>192380.535</v>
      </c>
      <c r="P35" s="335">
        <v>242334.473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335">
        <v>0</v>
      </c>
      <c r="AD35" s="335">
        <v>0</v>
      </c>
      <c r="AE35" s="335">
        <v>0</v>
      </c>
      <c r="AF35" s="335">
        <v>0</v>
      </c>
      <c r="AG35" s="45">
        <f t="shared" si="5"/>
        <v>1231514.4446260002</v>
      </c>
    </row>
    <row r="36" spans="1:33" s="168" customFormat="1" ht="15.75">
      <c r="A36" s="171" t="s">
        <v>229</v>
      </c>
      <c r="B36" s="167"/>
      <c r="C36" s="170">
        <v>1931</v>
      </c>
      <c r="D36" s="170">
        <v>1929</v>
      </c>
      <c r="E36" s="336" t="e">
        <v>#REF!</v>
      </c>
      <c r="F36" s="336">
        <v>1933.8490000000002</v>
      </c>
      <c r="G36" s="336">
        <v>1931.771</v>
      </c>
      <c r="H36" s="336">
        <v>1937.21</v>
      </c>
      <c r="I36" s="336">
        <v>1948.4430000000002</v>
      </c>
      <c r="J36" s="336">
        <v>1950.2930000000001</v>
      </c>
      <c r="K36" s="336">
        <v>1946.723</v>
      </c>
      <c r="L36" s="336">
        <v>1947.453</v>
      </c>
      <c r="M36" s="336">
        <v>331.1169999999999</v>
      </c>
      <c r="N36" s="336">
        <v>0</v>
      </c>
      <c r="O36" s="336">
        <v>0</v>
      </c>
      <c r="P36" s="336">
        <v>0</v>
      </c>
      <c r="Q36" s="336">
        <v>0</v>
      </c>
      <c r="R36" s="336">
        <v>0</v>
      </c>
      <c r="S36" s="336">
        <v>0</v>
      </c>
      <c r="T36" s="336">
        <v>0</v>
      </c>
      <c r="U36" s="336">
        <v>0</v>
      </c>
      <c r="V36" s="336">
        <v>0</v>
      </c>
      <c r="W36" s="336">
        <v>0</v>
      </c>
      <c r="X36" s="336">
        <v>0</v>
      </c>
      <c r="Y36" s="336">
        <v>0</v>
      </c>
      <c r="Z36" s="336">
        <v>0</v>
      </c>
      <c r="AA36" s="336">
        <v>0</v>
      </c>
      <c r="AB36" s="336">
        <v>0</v>
      </c>
      <c r="AC36" s="336">
        <v>0</v>
      </c>
      <c r="AD36" s="336">
        <v>0</v>
      </c>
      <c r="AE36" s="336">
        <v>0</v>
      </c>
      <c r="AF36" s="336">
        <v>0</v>
      </c>
      <c r="AG36" s="45">
        <f t="shared" si="5"/>
        <v>13926.859</v>
      </c>
    </row>
    <row r="37" spans="1:33" s="168" customFormat="1" ht="15.75">
      <c r="A37" s="171" t="s">
        <v>230</v>
      </c>
      <c r="B37" s="167"/>
      <c r="C37" s="170">
        <v>7288</v>
      </c>
      <c r="D37" s="170">
        <v>7300</v>
      </c>
      <c r="E37" s="336" t="e">
        <v>#REF!</v>
      </c>
      <c r="F37" s="336">
        <v>7302.242</v>
      </c>
      <c r="G37" s="336">
        <v>7303.532999999999</v>
      </c>
      <c r="H37" s="336">
        <v>7301.076</v>
      </c>
      <c r="I37" s="336">
        <v>7299.622000000001</v>
      </c>
      <c r="J37" s="336">
        <v>7298.669</v>
      </c>
      <c r="K37" s="336">
        <v>7302.719</v>
      </c>
      <c r="L37" s="336">
        <v>7301.023</v>
      </c>
      <c r="M37" s="336">
        <v>7301.748</v>
      </c>
      <c r="N37" s="336">
        <v>7299.562</v>
      </c>
      <c r="O37" s="336">
        <v>7303.991</v>
      </c>
      <c r="P37" s="336">
        <v>7298.987</v>
      </c>
      <c r="Q37" s="336">
        <v>7299.285</v>
      </c>
      <c r="R37" s="336">
        <v>7303.84</v>
      </c>
      <c r="S37" s="336">
        <v>10859.1</v>
      </c>
      <c r="T37" s="336">
        <v>3747.469</v>
      </c>
      <c r="U37" s="336">
        <v>0</v>
      </c>
      <c r="V37" s="336">
        <v>0</v>
      </c>
      <c r="W37" s="336">
        <v>0</v>
      </c>
      <c r="X37" s="336">
        <v>0</v>
      </c>
      <c r="Y37" s="336">
        <v>0</v>
      </c>
      <c r="Z37" s="336">
        <v>0</v>
      </c>
      <c r="AA37" s="336">
        <v>0</v>
      </c>
      <c r="AB37" s="336">
        <v>0</v>
      </c>
      <c r="AC37" s="336">
        <v>0</v>
      </c>
      <c r="AD37" s="336">
        <v>0</v>
      </c>
      <c r="AE37" s="336">
        <v>0</v>
      </c>
      <c r="AF37" s="336">
        <v>0</v>
      </c>
      <c r="AG37" s="45">
        <f t="shared" si="5"/>
        <v>109522.866</v>
      </c>
    </row>
    <row r="38" spans="1:46" s="341" customFormat="1" ht="20.25">
      <c r="A38" s="337" t="s">
        <v>163</v>
      </c>
      <c r="B38" s="338"/>
      <c r="C38" s="339" t="e">
        <f>+C37+C36+#REF!+#REF!+#REF!+C34+#REF!</f>
        <v>#REF!</v>
      </c>
      <c r="D38" s="339" t="e">
        <f>+D37+D36+#REF!+#REF!+#REF!+D34+#REF!</f>
        <v>#REF!</v>
      </c>
      <c r="E38" s="339" t="e">
        <f aca="true" t="shared" si="8" ref="E38:AF38">+SUM(E34:E37,E29)</f>
        <v>#REF!</v>
      </c>
      <c r="F38" s="339">
        <f t="shared" si="8"/>
        <v>490561.8091259999</v>
      </c>
      <c r="G38" s="339">
        <f t="shared" si="8"/>
        <v>420704.15750000003</v>
      </c>
      <c r="H38" s="339">
        <f t="shared" si="8"/>
        <v>469402.014</v>
      </c>
      <c r="I38" s="339">
        <f t="shared" si="8"/>
        <v>459959.342</v>
      </c>
      <c r="J38" s="339">
        <f t="shared" si="8"/>
        <v>491835.272</v>
      </c>
      <c r="K38" s="339">
        <f t="shared" si="8"/>
        <v>468347.706</v>
      </c>
      <c r="L38" s="339">
        <f t="shared" si="8"/>
        <v>477856.28500000003</v>
      </c>
      <c r="M38" s="339">
        <f t="shared" si="8"/>
        <v>509420.61400000006</v>
      </c>
      <c r="N38" s="339">
        <f t="shared" si="8"/>
        <v>485175.899</v>
      </c>
      <c r="O38" s="339">
        <f t="shared" si="8"/>
        <v>497927.174</v>
      </c>
      <c r="P38" s="339">
        <f t="shared" si="8"/>
        <v>529975.5460000001</v>
      </c>
      <c r="Q38" s="339">
        <f t="shared" si="8"/>
        <v>221721.54150000002</v>
      </c>
      <c r="R38" s="339">
        <f t="shared" si="8"/>
        <v>354014.20700000005</v>
      </c>
      <c r="S38" s="339">
        <f t="shared" si="8"/>
        <v>340381.6355</v>
      </c>
      <c r="T38" s="339">
        <f t="shared" si="8"/>
        <v>288059.6099999999</v>
      </c>
      <c r="U38" s="339">
        <f t="shared" si="8"/>
        <v>289735.87425</v>
      </c>
      <c r="V38" s="339">
        <f t="shared" si="8"/>
        <v>289750.12700000004</v>
      </c>
      <c r="W38" s="339">
        <f t="shared" si="8"/>
        <v>289747.23</v>
      </c>
      <c r="X38" s="339">
        <f t="shared" si="8"/>
        <v>289701.58475</v>
      </c>
      <c r="Y38" s="339">
        <f t="shared" si="8"/>
        <v>289806.96575000003</v>
      </c>
      <c r="Z38" s="339">
        <f t="shared" si="8"/>
        <v>289760.055</v>
      </c>
      <c r="AA38" s="339">
        <f t="shared" si="8"/>
        <v>289759.92299999995</v>
      </c>
      <c r="AB38" s="339">
        <f t="shared" si="8"/>
        <v>289765.29649999994</v>
      </c>
      <c r="AC38" s="339">
        <f t="shared" si="8"/>
        <v>289771.30199999997</v>
      </c>
      <c r="AD38" s="339">
        <f t="shared" si="8"/>
        <v>289778.0905</v>
      </c>
      <c r="AE38" s="339">
        <f t="shared" si="8"/>
        <v>289748.5685</v>
      </c>
      <c r="AF38" s="339">
        <f t="shared" si="8"/>
        <v>339586.11625</v>
      </c>
      <c r="AG38" s="45">
        <f t="shared" si="5"/>
        <v>10032253.946126001</v>
      </c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</row>
    <row r="41" spans="6:19" ht="12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6:19" ht="12.75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146"/>
  <sheetViews>
    <sheetView workbookViewId="0" topLeftCell="A70">
      <selection activeCell="K78" sqref="K78"/>
    </sheetView>
  </sheetViews>
  <sheetFormatPr defaultColWidth="9.140625" defaultRowHeight="12.75"/>
  <cols>
    <col min="1" max="1" width="3.7109375" style="285" customWidth="1"/>
    <col min="2" max="2" width="4.421875" style="285" customWidth="1"/>
    <col min="3" max="3" width="4.28125" style="285" customWidth="1"/>
    <col min="4" max="4" width="58.7109375" style="285" customWidth="1"/>
    <col min="5" max="5" width="11.28125" style="285" customWidth="1"/>
    <col min="6" max="6" width="13.28125" style="285" customWidth="1"/>
    <col min="7" max="7" width="10.421875" style="285" customWidth="1"/>
    <col min="8" max="8" width="9.7109375" style="285" bestFit="1" customWidth="1"/>
    <col min="9" max="9" width="9.57421875" style="285" customWidth="1"/>
    <col min="10" max="10" width="9.140625" style="285" customWidth="1"/>
    <col min="11" max="14" width="9.7109375" style="285" bestFit="1" customWidth="1"/>
    <col min="15" max="256" width="9.140625" style="285" customWidth="1"/>
    <col min="257" max="257" width="3.7109375" style="285" customWidth="1"/>
    <col min="258" max="258" width="4.421875" style="285" customWidth="1"/>
    <col min="259" max="259" width="4.28125" style="285" customWidth="1"/>
    <col min="260" max="260" width="58.7109375" style="285" customWidth="1"/>
    <col min="261" max="261" width="11.28125" style="285" customWidth="1"/>
    <col min="262" max="262" width="10.00390625" style="285" customWidth="1"/>
    <col min="263" max="263" width="10.421875" style="285" customWidth="1"/>
    <col min="264" max="264" width="9.7109375" style="285" bestFit="1" customWidth="1"/>
    <col min="265" max="265" width="9.57421875" style="285" customWidth="1"/>
    <col min="266" max="266" width="9.140625" style="285" customWidth="1"/>
    <col min="267" max="270" width="9.7109375" style="285" bestFit="1" customWidth="1"/>
    <col min="271" max="512" width="9.140625" style="285" customWidth="1"/>
    <col min="513" max="513" width="3.7109375" style="285" customWidth="1"/>
    <col min="514" max="514" width="4.421875" style="285" customWidth="1"/>
    <col min="515" max="515" width="4.28125" style="285" customWidth="1"/>
    <col min="516" max="516" width="58.7109375" style="285" customWidth="1"/>
    <col min="517" max="517" width="11.28125" style="285" customWidth="1"/>
    <col min="518" max="518" width="10.00390625" style="285" customWidth="1"/>
    <col min="519" max="519" width="10.421875" style="285" customWidth="1"/>
    <col min="520" max="520" width="9.7109375" style="285" bestFit="1" customWidth="1"/>
    <col min="521" max="521" width="9.57421875" style="285" customWidth="1"/>
    <col min="522" max="522" width="9.140625" style="285" customWidth="1"/>
    <col min="523" max="526" width="9.7109375" style="285" bestFit="1" customWidth="1"/>
    <col min="527" max="768" width="9.140625" style="285" customWidth="1"/>
    <col min="769" max="769" width="3.7109375" style="285" customWidth="1"/>
    <col min="770" max="770" width="4.421875" style="285" customWidth="1"/>
    <col min="771" max="771" width="4.28125" style="285" customWidth="1"/>
    <col min="772" max="772" width="58.7109375" style="285" customWidth="1"/>
    <col min="773" max="773" width="11.28125" style="285" customWidth="1"/>
    <col min="774" max="774" width="10.00390625" style="285" customWidth="1"/>
    <col min="775" max="775" width="10.421875" style="285" customWidth="1"/>
    <col min="776" max="776" width="9.7109375" style="285" bestFit="1" customWidth="1"/>
    <col min="777" max="777" width="9.57421875" style="285" customWidth="1"/>
    <col min="778" max="778" width="9.140625" style="285" customWidth="1"/>
    <col min="779" max="782" width="9.7109375" style="285" bestFit="1" customWidth="1"/>
    <col min="783" max="1024" width="9.140625" style="285" customWidth="1"/>
    <col min="1025" max="1025" width="3.7109375" style="285" customWidth="1"/>
    <col min="1026" max="1026" width="4.421875" style="285" customWidth="1"/>
    <col min="1027" max="1027" width="4.28125" style="285" customWidth="1"/>
    <col min="1028" max="1028" width="58.7109375" style="285" customWidth="1"/>
    <col min="1029" max="1029" width="11.28125" style="285" customWidth="1"/>
    <col min="1030" max="1030" width="10.00390625" style="285" customWidth="1"/>
    <col min="1031" max="1031" width="10.421875" style="285" customWidth="1"/>
    <col min="1032" max="1032" width="9.7109375" style="285" bestFit="1" customWidth="1"/>
    <col min="1033" max="1033" width="9.57421875" style="285" customWidth="1"/>
    <col min="1034" max="1034" width="9.140625" style="285" customWidth="1"/>
    <col min="1035" max="1038" width="9.7109375" style="285" bestFit="1" customWidth="1"/>
    <col min="1039" max="1280" width="9.140625" style="285" customWidth="1"/>
    <col min="1281" max="1281" width="3.7109375" style="285" customWidth="1"/>
    <col min="1282" max="1282" width="4.421875" style="285" customWidth="1"/>
    <col min="1283" max="1283" width="4.28125" style="285" customWidth="1"/>
    <col min="1284" max="1284" width="58.7109375" style="285" customWidth="1"/>
    <col min="1285" max="1285" width="11.28125" style="285" customWidth="1"/>
    <col min="1286" max="1286" width="10.00390625" style="285" customWidth="1"/>
    <col min="1287" max="1287" width="10.421875" style="285" customWidth="1"/>
    <col min="1288" max="1288" width="9.7109375" style="285" bestFit="1" customWidth="1"/>
    <col min="1289" max="1289" width="9.57421875" style="285" customWidth="1"/>
    <col min="1290" max="1290" width="9.140625" style="285" customWidth="1"/>
    <col min="1291" max="1294" width="9.7109375" style="285" bestFit="1" customWidth="1"/>
    <col min="1295" max="1536" width="9.140625" style="285" customWidth="1"/>
    <col min="1537" max="1537" width="3.7109375" style="285" customWidth="1"/>
    <col min="1538" max="1538" width="4.421875" style="285" customWidth="1"/>
    <col min="1539" max="1539" width="4.28125" style="285" customWidth="1"/>
    <col min="1540" max="1540" width="58.7109375" style="285" customWidth="1"/>
    <col min="1541" max="1541" width="11.28125" style="285" customWidth="1"/>
    <col min="1542" max="1542" width="10.00390625" style="285" customWidth="1"/>
    <col min="1543" max="1543" width="10.421875" style="285" customWidth="1"/>
    <col min="1544" max="1544" width="9.7109375" style="285" bestFit="1" customWidth="1"/>
    <col min="1545" max="1545" width="9.57421875" style="285" customWidth="1"/>
    <col min="1546" max="1546" width="9.140625" style="285" customWidth="1"/>
    <col min="1547" max="1550" width="9.7109375" style="285" bestFit="1" customWidth="1"/>
    <col min="1551" max="1792" width="9.140625" style="285" customWidth="1"/>
    <col min="1793" max="1793" width="3.7109375" style="285" customWidth="1"/>
    <col min="1794" max="1794" width="4.421875" style="285" customWidth="1"/>
    <col min="1795" max="1795" width="4.28125" style="285" customWidth="1"/>
    <col min="1796" max="1796" width="58.7109375" style="285" customWidth="1"/>
    <col min="1797" max="1797" width="11.28125" style="285" customWidth="1"/>
    <col min="1798" max="1798" width="10.00390625" style="285" customWidth="1"/>
    <col min="1799" max="1799" width="10.421875" style="285" customWidth="1"/>
    <col min="1800" max="1800" width="9.7109375" style="285" bestFit="1" customWidth="1"/>
    <col min="1801" max="1801" width="9.57421875" style="285" customWidth="1"/>
    <col min="1802" max="1802" width="9.140625" style="285" customWidth="1"/>
    <col min="1803" max="1806" width="9.7109375" style="285" bestFit="1" customWidth="1"/>
    <col min="1807" max="2048" width="9.140625" style="285" customWidth="1"/>
    <col min="2049" max="2049" width="3.7109375" style="285" customWidth="1"/>
    <col min="2050" max="2050" width="4.421875" style="285" customWidth="1"/>
    <col min="2051" max="2051" width="4.28125" style="285" customWidth="1"/>
    <col min="2052" max="2052" width="58.7109375" style="285" customWidth="1"/>
    <col min="2053" max="2053" width="11.28125" style="285" customWidth="1"/>
    <col min="2054" max="2054" width="10.00390625" style="285" customWidth="1"/>
    <col min="2055" max="2055" width="10.421875" style="285" customWidth="1"/>
    <col min="2056" max="2056" width="9.7109375" style="285" bestFit="1" customWidth="1"/>
    <col min="2057" max="2057" width="9.57421875" style="285" customWidth="1"/>
    <col min="2058" max="2058" width="9.140625" style="285" customWidth="1"/>
    <col min="2059" max="2062" width="9.7109375" style="285" bestFit="1" customWidth="1"/>
    <col min="2063" max="2304" width="9.140625" style="285" customWidth="1"/>
    <col min="2305" max="2305" width="3.7109375" style="285" customWidth="1"/>
    <col min="2306" max="2306" width="4.421875" style="285" customWidth="1"/>
    <col min="2307" max="2307" width="4.28125" style="285" customWidth="1"/>
    <col min="2308" max="2308" width="58.7109375" style="285" customWidth="1"/>
    <col min="2309" max="2309" width="11.28125" style="285" customWidth="1"/>
    <col min="2310" max="2310" width="10.00390625" style="285" customWidth="1"/>
    <col min="2311" max="2311" width="10.421875" style="285" customWidth="1"/>
    <col min="2312" max="2312" width="9.7109375" style="285" bestFit="1" customWidth="1"/>
    <col min="2313" max="2313" width="9.57421875" style="285" customWidth="1"/>
    <col min="2314" max="2314" width="9.140625" style="285" customWidth="1"/>
    <col min="2315" max="2318" width="9.7109375" style="285" bestFit="1" customWidth="1"/>
    <col min="2319" max="2560" width="9.140625" style="285" customWidth="1"/>
    <col min="2561" max="2561" width="3.7109375" style="285" customWidth="1"/>
    <col min="2562" max="2562" width="4.421875" style="285" customWidth="1"/>
    <col min="2563" max="2563" width="4.28125" style="285" customWidth="1"/>
    <col min="2564" max="2564" width="58.7109375" style="285" customWidth="1"/>
    <col min="2565" max="2565" width="11.28125" style="285" customWidth="1"/>
    <col min="2566" max="2566" width="10.00390625" style="285" customWidth="1"/>
    <col min="2567" max="2567" width="10.421875" style="285" customWidth="1"/>
    <col min="2568" max="2568" width="9.7109375" style="285" bestFit="1" customWidth="1"/>
    <col min="2569" max="2569" width="9.57421875" style="285" customWidth="1"/>
    <col min="2570" max="2570" width="9.140625" style="285" customWidth="1"/>
    <col min="2571" max="2574" width="9.7109375" style="285" bestFit="1" customWidth="1"/>
    <col min="2575" max="2816" width="9.140625" style="285" customWidth="1"/>
    <col min="2817" max="2817" width="3.7109375" style="285" customWidth="1"/>
    <col min="2818" max="2818" width="4.421875" style="285" customWidth="1"/>
    <col min="2819" max="2819" width="4.28125" style="285" customWidth="1"/>
    <col min="2820" max="2820" width="58.7109375" style="285" customWidth="1"/>
    <col min="2821" max="2821" width="11.28125" style="285" customWidth="1"/>
    <col min="2822" max="2822" width="10.00390625" style="285" customWidth="1"/>
    <col min="2823" max="2823" width="10.421875" style="285" customWidth="1"/>
    <col min="2824" max="2824" width="9.7109375" style="285" bestFit="1" customWidth="1"/>
    <col min="2825" max="2825" width="9.57421875" style="285" customWidth="1"/>
    <col min="2826" max="2826" width="9.140625" style="285" customWidth="1"/>
    <col min="2827" max="2830" width="9.7109375" style="285" bestFit="1" customWidth="1"/>
    <col min="2831" max="3072" width="9.140625" style="285" customWidth="1"/>
    <col min="3073" max="3073" width="3.7109375" style="285" customWidth="1"/>
    <col min="3074" max="3074" width="4.421875" style="285" customWidth="1"/>
    <col min="3075" max="3075" width="4.28125" style="285" customWidth="1"/>
    <col min="3076" max="3076" width="58.7109375" style="285" customWidth="1"/>
    <col min="3077" max="3077" width="11.28125" style="285" customWidth="1"/>
    <col min="3078" max="3078" width="10.00390625" style="285" customWidth="1"/>
    <col min="3079" max="3079" width="10.421875" style="285" customWidth="1"/>
    <col min="3080" max="3080" width="9.7109375" style="285" bestFit="1" customWidth="1"/>
    <col min="3081" max="3081" width="9.57421875" style="285" customWidth="1"/>
    <col min="3082" max="3082" width="9.140625" style="285" customWidth="1"/>
    <col min="3083" max="3086" width="9.7109375" style="285" bestFit="1" customWidth="1"/>
    <col min="3087" max="3328" width="9.140625" style="285" customWidth="1"/>
    <col min="3329" max="3329" width="3.7109375" style="285" customWidth="1"/>
    <col min="3330" max="3330" width="4.421875" style="285" customWidth="1"/>
    <col min="3331" max="3331" width="4.28125" style="285" customWidth="1"/>
    <col min="3332" max="3332" width="58.7109375" style="285" customWidth="1"/>
    <col min="3333" max="3333" width="11.28125" style="285" customWidth="1"/>
    <col min="3334" max="3334" width="10.00390625" style="285" customWidth="1"/>
    <col min="3335" max="3335" width="10.421875" style="285" customWidth="1"/>
    <col min="3336" max="3336" width="9.7109375" style="285" bestFit="1" customWidth="1"/>
    <col min="3337" max="3337" width="9.57421875" style="285" customWidth="1"/>
    <col min="3338" max="3338" width="9.140625" style="285" customWidth="1"/>
    <col min="3339" max="3342" width="9.7109375" style="285" bestFit="1" customWidth="1"/>
    <col min="3343" max="3584" width="9.140625" style="285" customWidth="1"/>
    <col min="3585" max="3585" width="3.7109375" style="285" customWidth="1"/>
    <col min="3586" max="3586" width="4.421875" style="285" customWidth="1"/>
    <col min="3587" max="3587" width="4.28125" style="285" customWidth="1"/>
    <col min="3588" max="3588" width="58.7109375" style="285" customWidth="1"/>
    <col min="3589" max="3589" width="11.28125" style="285" customWidth="1"/>
    <col min="3590" max="3590" width="10.00390625" style="285" customWidth="1"/>
    <col min="3591" max="3591" width="10.421875" style="285" customWidth="1"/>
    <col min="3592" max="3592" width="9.7109375" style="285" bestFit="1" customWidth="1"/>
    <col min="3593" max="3593" width="9.57421875" style="285" customWidth="1"/>
    <col min="3594" max="3594" width="9.140625" style="285" customWidth="1"/>
    <col min="3595" max="3598" width="9.7109375" style="285" bestFit="1" customWidth="1"/>
    <col min="3599" max="3840" width="9.140625" style="285" customWidth="1"/>
    <col min="3841" max="3841" width="3.7109375" style="285" customWidth="1"/>
    <col min="3842" max="3842" width="4.421875" style="285" customWidth="1"/>
    <col min="3843" max="3843" width="4.28125" style="285" customWidth="1"/>
    <col min="3844" max="3844" width="58.7109375" style="285" customWidth="1"/>
    <col min="3845" max="3845" width="11.28125" style="285" customWidth="1"/>
    <col min="3846" max="3846" width="10.00390625" style="285" customWidth="1"/>
    <col min="3847" max="3847" width="10.421875" style="285" customWidth="1"/>
    <col min="3848" max="3848" width="9.7109375" style="285" bestFit="1" customWidth="1"/>
    <col min="3849" max="3849" width="9.57421875" style="285" customWidth="1"/>
    <col min="3850" max="3850" width="9.140625" style="285" customWidth="1"/>
    <col min="3851" max="3854" width="9.7109375" style="285" bestFit="1" customWidth="1"/>
    <col min="3855" max="4096" width="9.140625" style="285" customWidth="1"/>
    <col min="4097" max="4097" width="3.7109375" style="285" customWidth="1"/>
    <col min="4098" max="4098" width="4.421875" style="285" customWidth="1"/>
    <col min="4099" max="4099" width="4.28125" style="285" customWidth="1"/>
    <col min="4100" max="4100" width="58.7109375" style="285" customWidth="1"/>
    <col min="4101" max="4101" width="11.28125" style="285" customWidth="1"/>
    <col min="4102" max="4102" width="10.00390625" style="285" customWidth="1"/>
    <col min="4103" max="4103" width="10.421875" style="285" customWidth="1"/>
    <col min="4104" max="4104" width="9.7109375" style="285" bestFit="1" customWidth="1"/>
    <col min="4105" max="4105" width="9.57421875" style="285" customWidth="1"/>
    <col min="4106" max="4106" width="9.140625" style="285" customWidth="1"/>
    <col min="4107" max="4110" width="9.7109375" style="285" bestFit="1" customWidth="1"/>
    <col min="4111" max="4352" width="9.140625" style="285" customWidth="1"/>
    <col min="4353" max="4353" width="3.7109375" style="285" customWidth="1"/>
    <col min="4354" max="4354" width="4.421875" style="285" customWidth="1"/>
    <col min="4355" max="4355" width="4.28125" style="285" customWidth="1"/>
    <col min="4356" max="4356" width="58.7109375" style="285" customWidth="1"/>
    <col min="4357" max="4357" width="11.28125" style="285" customWidth="1"/>
    <col min="4358" max="4358" width="10.00390625" style="285" customWidth="1"/>
    <col min="4359" max="4359" width="10.421875" style="285" customWidth="1"/>
    <col min="4360" max="4360" width="9.7109375" style="285" bestFit="1" customWidth="1"/>
    <col min="4361" max="4361" width="9.57421875" style="285" customWidth="1"/>
    <col min="4362" max="4362" width="9.140625" style="285" customWidth="1"/>
    <col min="4363" max="4366" width="9.7109375" style="285" bestFit="1" customWidth="1"/>
    <col min="4367" max="4608" width="9.140625" style="285" customWidth="1"/>
    <col min="4609" max="4609" width="3.7109375" style="285" customWidth="1"/>
    <col min="4610" max="4610" width="4.421875" style="285" customWidth="1"/>
    <col min="4611" max="4611" width="4.28125" style="285" customWidth="1"/>
    <col min="4612" max="4612" width="58.7109375" style="285" customWidth="1"/>
    <col min="4613" max="4613" width="11.28125" style="285" customWidth="1"/>
    <col min="4614" max="4614" width="10.00390625" style="285" customWidth="1"/>
    <col min="4615" max="4615" width="10.421875" style="285" customWidth="1"/>
    <col min="4616" max="4616" width="9.7109375" style="285" bestFit="1" customWidth="1"/>
    <col min="4617" max="4617" width="9.57421875" style="285" customWidth="1"/>
    <col min="4618" max="4618" width="9.140625" style="285" customWidth="1"/>
    <col min="4619" max="4622" width="9.7109375" style="285" bestFit="1" customWidth="1"/>
    <col min="4623" max="4864" width="9.140625" style="285" customWidth="1"/>
    <col min="4865" max="4865" width="3.7109375" style="285" customWidth="1"/>
    <col min="4866" max="4866" width="4.421875" style="285" customWidth="1"/>
    <col min="4867" max="4867" width="4.28125" style="285" customWidth="1"/>
    <col min="4868" max="4868" width="58.7109375" style="285" customWidth="1"/>
    <col min="4869" max="4869" width="11.28125" style="285" customWidth="1"/>
    <col min="4870" max="4870" width="10.00390625" style="285" customWidth="1"/>
    <col min="4871" max="4871" width="10.421875" style="285" customWidth="1"/>
    <col min="4872" max="4872" width="9.7109375" style="285" bestFit="1" customWidth="1"/>
    <col min="4873" max="4873" width="9.57421875" style="285" customWidth="1"/>
    <col min="4874" max="4874" width="9.140625" style="285" customWidth="1"/>
    <col min="4875" max="4878" width="9.7109375" style="285" bestFit="1" customWidth="1"/>
    <col min="4879" max="5120" width="9.140625" style="285" customWidth="1"/>
    <col min="5121" max="5121" width="3.7109375" style="285" customWidth="1"/>
    <col min="5122" max="5122" width="4.421875" style="285" customWidth="1"/>
    <col min="5123" max="5123" width="4.28125" style="285" customWidth="1"/>
    <col min="5124" max="5124" width="58.7109375" style="285" customWidth="1"/>
    <col min="5125" max="5125" width="11.28125" style="285" customWidth="1"/>
    <col min="5126" max="5126" width="10.00390625" style="285" customWidth="1"/>
    <col min="5127" max="5127" width="10.421875" style="285" customWidth="1"/>
    <col min="5128" max="5128" width="9.7109375" style="285" bestFit="1" customWidth="1"/>
    <col min="5129" max="5129" width="9.57421875" style="285" customWidth="1"/>
    <col min="5130" max="5130" width="9.140625" style="285" customWidth="1"/>
    <col min="5131" max="5134" width="9.7109375" style="285" bestFit="1" customWidth="1"/>
    <col min="5135" max="5376" width="9.140625" style="285" customWidth="1"/>
    <col min="5377" max="5377" width="3.7109375" style="285" customWidth="1"/>
    <col min="5378" max="5378" width="4.421875" style="285" customWidth="1"/>
    <col min="5379" max="5379" width="4.28125" style="285" customWidth="1"/>
    <col min="5380" max="5380" width="58.7109375" style="285" customWidth="1"/>
    <col min="5381" max="5381" width="11.28125" style="285" customWidth="1"/>
    <col min="5382" max="5382" width="10.00390625" style="285" customWidth="1"/>
    <col min="5383" max="5383" width="10.421875" style="285" customWidth="1"/>
    <col min="5384" max="5384" width="9.7109375" style="285" bestFit="1" customWidth="1"/>
    <col min="5385" max="5385" width="9.57421875" style="285" customWidth="1"/>
    <col min="5386" max="5386" width="9.140625" style="285" customWidth="1"/>
    <col min="5387" max="5390" width="9.7109375" style="285" bestFit="1" customWidth="1"/>
    <col min="5391" max="5632" width="9.140625" style="285" customWidth="1"/>
    <col min="5633" max="5633" width="3.7109375" style="285" customWidth="1"/>
    <col min="5634" max="5634" width="4.421875" style="285" customWidth="1"/>
    <col min="5635" max="5635" width="4.28125" style="285" customWidth="1"/>
    <col min="5636" max="5636" width="58.7109375" style="285" customWidth="1"/>
    <col min="5637" max="5637" width="11.28125" style="285" customWidth="1"/>
    <col min="5638" max="5638" width="10.00390625" style="285" customWidth="1"/>
    <col min="5639" max="5639" width="10.421875" style="285" customWidth="1"/>
    <col min="5640" max="5640" width="9.7109375" style="285" bestFit="1" customWidth="1"/>
    <col min="5641" max="5641" width="9.57421875" style="285" customWidth="1"/>
    <col min="5642" max="5642" width="9.140625" style="285" customWidth="1"/>
    <col min="5643" max="5646" width="9.7109375" style="285" bestFit="1" customWidth="1"/>
    <col min="5647" max="5888" width="9.140625" style="285" customWidth="1"/>
    <col min="5889" max="5889" width="3.7109375" style="285" customWidth="1"/>
    <col min="5890" max="5890" width="4.421875" style="285" customWidth="1"/>
    <col min="5891" max="5891" width="4.28125" style="285" customWidth="1"/>
    <col min="5892" max="5892" width="58.7109375" style="285" customWidth="1"/>
    <col min="5893" max="5893" width="11.28125" style="285" customWidth="1"/>
    <col min="5894" max="5894" width="10.00390625" style="285" customWidth="1"/>
    <col min="5895" max="5895" width="10.421875" style="285" customWidth="1"/>
    <col min="5896" max="5896" width="9.7109375" style="285" bestFit="1" customWidth="1"/>
    <col min="5897" max="5897" width="9.57421875" style="285" customWidth="1"/>
    <col min="5898" max="5898" width="9.140625" style="285" customWidth="1"/>
    <col min="5899" max="5902" width="9.7109375" style="285" bestFit="1" customWidth="1"/>
    <col min="5903" max="6144" width="9.140625" style="285" customWidth="1"/>
    <col min="6145" max="6145" width="3.7109375" style="285" customWidth="1"/>
    <col min="6146" max="6146" width="4.421875" style="285" customWidth="1"/>
    <col min="6147" max="6147" width="4.28125" style="285" customWidth="1"/>
    <col min="6148" max="6148" width="58.7109375" style="285" customWidth="1"/>
    <col min="6149" max="6149" width="11.28125" style="285" customWidth="1"/>
    <col min="6150" max="6150" width="10.00390625" style="285" customWidth="1"/>
    <col min="6151" max="6151" width="10.421875" style="285" customWidth="1"/>
    <col min="6152" max="6152" width="9.7109375" style="285" bestFit="1" customWidth="1"/>
    <col min="6153" max="6153" width="9.57421875" style="285" customWidth="1"/>
    <col min="6154" max="6154" width="9.140625" style="285" customWidth="1"/>
    <col min="6155" max="6158" width="9.7109375" style="285" bestFit="1" customWidth="1"/>
    <col min="6159" max="6400" width="9.140625" style="285" customWidth="1"/>
    <col min="6401" max="6401" width="3.7109375" style="285" customWidth="1"/>
    <col min="6402" max="6402" width="4.421875" style="285" customWidth="1"/>
    <col min="6403" max="6403" width="4.28125" style="285" customWidth="1"/>
    <col min="6404" max="6404" width="58.7109375" style="285" customWidth="1"/>
    <col min="6405" max="6405" width="11.28125" style="285" customWidth="1"/>
    <col min="6406" max="6406" width="10.00390625" style="285" customWidth="1"/>
    <col min="6407" max="6407" width="10.421875" style="285" customWidth="1"/>
    <col min="6408" max="6408" width="9.7109375" style="285" bestFit="1" customWidth="1"/>
    <col min="6409" max="6409" width="9.57421875" style="285" customWidth="1"/>
    <col min="6410" max="6410" width="9.140625" style="285" customWidth="1"/>
    <col min="6411" max="6414" width="9.7109375" style="285" bestFit="1" customWidth="1"/>
    <col min="6415" max="6656" width="9.140625" style="285" customWidth="1"/>
    <col min="6657" max="6657" width="3.7109375" style="285" customWidth="1"/>
    <col min="6658" max="6658" width="4.421875" style="285" customWidth="1"/>
    <col min="6659" max="6659" width="4.28125" style="285" customWidth="1"/>
    <col min="6660" max="6660" width="58.7109375" style="285" customWidth="1"/>
    <col min="6661" max="6661" width="11.28125" style="285" customWidth="1"/>
    <col min="6662" max="6662" width="10.00390625" style="285" customWidth="1"/>
    <col min="6663" max="6663" width="10.421875" style="285" customWidth="1"/>
    <col min="6664" max="6664" width="9.7109375" style="285" bestFit="1" customWidth="1"/>
    <col min="6665" max="6665" width="9.57421875" style="285" customWidth="1"/>
    <col min="6666" max="6666" width="9.140625" style="285" customWidth="1"/>
    <col min="6667" max="6670" width="9.7109375" style="285" bestFit="1" customWidth="1"/>
    <col min="6671" max="6912" width="9.140625" style="285" customWidth="1"/>
    <col min="6913" max="6913" width="3.7109375" style="285" customWidth="1"/>
    <col min="6914" max="6914" width="4.421875" style="285" customWidth="1"/>
    <col min="6915" max="6915" width="4.28125" style="285" customWidth="1"/>
    <col min="6916" max="6916" width="58.7109375" style="285" customWidth="1"/>
    <col min="6917" max="6917" width="11.28125" style="285" customWidth="1"/>
    <col min="6918" max="6918" width="10.00390625" style="285" customWidth="1"/>
    <col min="6919" max="6919" width="10.421875" style="285" customWidth="1"/>
    <col min="6920" max="6920" width="9.7109375" style="285" bestFit="1" customWidth="1"/>
    <col min="6921" max="6921" width="9.57421875" style="285" customWidth="1"/>
    <col min="6922" max="6922" width="9.140625" style="285" customWidth="1"/>
    <col min="6923" max="6926" width="9.7109375" style="285" bestFit="1" customWidth="1"/>
    <col min="6927" max="7168" width="9.140625" style="285" customWidth="1"/>
    <col min="7169" max="7169" width="3.7109375" style="285" customWidth="1"/>
    <col min="7170" max="7170" width="4.421875" style="285" customWidth="1"/>
    <col min="7171" max="7171" width="4.28125" style="285" customWidth="1"/>
    <col min="7172" max="7172" width="58.7109375" style="285" customWidth="1"/>
    <col min="7173" max="7173" width="11.28125" style="285" customWidth="1"/>
    <col min="7174" max="7174" width="10.00390625" style="285" customWidth="1"/>
    <col min="7175" max="7175" width="10.421875" style="285" customWidth="1"/>
    <col min="7176" max="7176" width="9.7109375" style="285" bestFit="1" customWidth="1"/>
    <col min="7177" max="7177" width="9.57421875" style="285" customWidth="1"/>
    <col min="7178" max="7178" width="9.140625" style="285" customWidth="1"/>
    <col min="7179" max="7182" width="9.7109375" style="285" bestFit="1" customWidth="1"/>
    <col min="7183" max="7424" width="9.140625" style="285" customWidth="1"/>
    <col min="7425" max="7425" width="3.7109375" style="285" customWidth="1"/>
    <col min="7426" max="7426" width="4.421875" style="285" customWidth="1"/>
    <col min="7427" max="7427" width="4.28125" style="285" customWidth="1"/>
    <col min="7428" max="7428" width="58.7109375" style="285" customWidth="1"/>
    <col min="7429" max="7429" width="11.28125" style="285" customWidth="1"/>
    <col min="7430" max="7430" width="10.00390625" style="285" customWidth="1"/>
    <col min="7431" max="7431" width="10.421875" style="285" customWidth="1"/>
    <col min="7432" max="7432" width="9.7109375" style="285" bestFit="1" customWidth="1"/>
    <col min="7433" max="7433" width="9.57421875" style="285" customWidth="1"/>
    <col min="7434" max="7434" width="9.140625" style="285" customWidth="1"/>
    <col min="7435" max="7438" width="9.7109375" style="285" bestFit="1" customWidth="1"/>
    <col min="7439" max="7680" width="9.140625" style="285" customWidth="1"/>
    <col min="7681" max="7681" width="3.7109375" style="285" customWidth="1"/>
    <col min="7682" max="7682" width="4.421875" style="285" customWidth="1"/>
    <col min="7683" max="7683" width="4.28125" style="285" customWidth="1"/>
    <col min="7684" max="7684" width="58.7109375" style="285" customWidth="1"/>
    <col min="7685" max="7685" width="11.28125" style="285" customWidth="1"/>
    <col min="7686" max="7686" width="10.00390625" style="285" customWidth="1"/>
    <col min="7687" max="7687" width="10.421875" style="285" customWidth="1"/>
    <col min="7688" max="7688" width="9.7109375" style="285" bestFit="1" customWidth="1"/>
    <col min="7689" max="7689" width="9.57421875" style="285" customWidth="1"/>
    <col min="7690" max="7690" width="9.140625" style="285" customWidth="1"/>
    <col min="7691" max="7694" width="9.7109375" style="285" bestFit="1" customWidth="1"/>
    <col min="7695" max="7936" width="9.140625" style="285" customWidth="1"/>
    <col min="7937" max="7937" width="3.7109375" style="285" customWidth="1"/>
    <col min="7938" max="7938" width="4.421875" style="285" customWidth="1"/>
    <col min="7939" max="7939" width="4.28125" style="285" customWidth="1"/>
    <col min="7940" max="7940" width="58.7109375" style="285" customWidth="1"/>
    <col min="7941" max="7941" width="11.28125" style="285" customWidth="1"/>
    <col min="7942" max="7942" width="10.00390625" style="285" customWidth="1"/>
    <col min="7943" max="7943" width="10.421875" style="285" customWidth="1"/>
    <col min="7944" max="7944" width="9.7109375" style="285" bestFit="1" customWidth="1"/>
    <col min="7945" max="7945" width="9.57421875" style="285" customWidth="1"/>
    <col min="7946" max="7946" width="9.140625" style="285" customWidth="1"/>
    <col min="7947" max="7950" width="9.7109375" style="285" bestFit="1" customWidth="1"/>
    <col min="7951" max="8192" width="9.140625" style="285" customWidth="1"/>
    <col min="8193" max="8193" width="3.7109375" style="285" customWidth="1"/>
    <col min="8194" max="8194" width="4.421875" style="285" customWidth="1"/>
    <col min="8195" max="8195" width="4.28125" style="285" customWidth="1"/>
    <col min="8196" max="8196" width="58.7109375" style="285" customWidth="1"/>
    <col min="8197" max="8197" width="11.28125" style="285" customWidth="1"/>
    <col min="8198" max="8198" width="10.00390625" style="285" customWidth="1"/>
    <col min="8199" max="8199" width="10.421875" style="285" customWidth="1"/>
    <col min="8200" max="8200" width="9.7109375" style="285" bestFit="1" customWidth="1"/>
    <col min="8201" max="8201" width="9.57421875" style="285" customWidth="1"/>
    <col min="8202" max="8202" width="9.140625" style="285" customWidth="1"/>
    <col min="8203" max="8206" width="9.7109375" style="285" bestFit="1" customWidth="1"/>
    <col min="8207" max="8448" width="9.140625" style="285" customWidth="1"/>
    <col min="8449" max="8449" width="3.7109375" style="285" customWidth="1"/>
    <col min="8450" max="8450" width="4.421875" style="285" customWidth="1"/>
    <col min="8451" max="8451" width="4.28125" style="285" customWidth="1"/>
    <col min="8452" max="8452" width="58.7109375" style="285" customWidth="1"/>
    <col min="8453" max="8453" width="11.28125" style="285" customWidth="1"/>
    <col min="8454" max="8454" width="10.00390625" style="285" customWidth="1"/>
    <col min="8455" max="8455" width="10.421875" style="285" customWidth="1"/>
    <col min="8456" max="8456" width="9.7109375" style="285" bestFit="1" customWidth="1"/>
    <col min="8457" max="8457" width="9.57421875" style="285" customWidth="1"/>
    <col min="8458" max="8458" width="9.140625" style="285" customWidth="1"/>
    <col min="8459" max="8462" width="9.7109375" style="285" bestFit="1" customWidth="1"/>
    <col min="8463" max="8704" width="9.140625" style="285" customWidth="1"/>
    <col min="8705" max="8705" width="3.7109375" style="285" customWidth="1"/>
    <col min="8706" max="8706" width="4.421875" style="285" customWidth="1"/>
    <col min="8707" max="8707" width="4.28125" style="285" customWidth="1"/>
    <col min="8708" max="8708" width="58.7109375" style="285" customWidth="1"/>
    <col min="8709" max="8709" width="11.28125" style="285" customWidth="1"/>
    <col min="8710" max="8710" width="10.00390625" style="285" customWidth="1"/>
    <col min="8711" max="8711" width="10.421875" style="285" customWidth="1"/>
    <col min="8712" max="8712" width="9.7109375" style="285" bestFit="1" customWidth="1"/>
    <col min="8713" max="8713" width="9.57421875" style="285" customWidth="1"/>
    <col min="8714" max="8714" width="9.140625" style="285" customWidth="1"/>
    <col min="8715" max="8718" width="9.7109375" style="285" bestFit="1" customWidth="1"/>
    <col min="8719" max="8960" width="9.140625" style="285" customWidth="1"/>
    <col min="8961" max="8961" width="3.7109375" style="285" customWidth="1"/>
    <col min="8962" max="8962" width="4.421875" style="285" customWidth="1"/>
    <col min="8963" max="8963" width="4.28125" style="285" customWidth="1"/>
    <col min="8964" max="8964" width="58.7109375" style="285" customWidth="1"/>
    <col min="8965" max="8965" width="11.28125" style="285" customWidth="1"/>
    <col min="8966" max="8966" width="10.00390625" style="285" customWidth="1"/>
    <col min="8967" max="8967" width="10.421875" style="285" customWidth="1"/>
    <col min="8968" max="8968" width="9.7109375" style="285" bestFit="1" customWidth="1"/>
    <col min="8969" max="8969" width="9.57421875" style="285" customWidth="1"/>
    <col min="8970" max="8970" width="9.140625" style="285" customWidth="1"/>
    <col min="8971" max="8974" width="9.7109375" style="285" bestFit="1" customWidth="1"/>
    <col min="8975" max="9216" width="9.140625" style="285" customWidth="1"/>
    <col min="9217" max="9217" width="3.7109375" style="285" customWidth="1"/>
    <col min="9218" max="9218" width="4.421875" style="285" customWidth="1"/>
    <col min="9219" max="9219" width="4.28125" style="285" customWidth="1"/>
    <col min="9220" max="9220" width="58.7109375" style="285" customWidth="1"/>
    <col min="9221" max="9221" width="11.28125" style="285" customWidth="1"/>
    <col min="9222" max="9222" width="10.00390625" style="285" customWidth="1"/>
    <col min="9223" max="9223" width="10.421875" style="285" customWidth="1"/>
    <col min="9224" max="9224" width="9.7109375" style="285" bestFit="1" customWidth="1"/>
    <col min="9225" max="9225" width="9.57421875" style="285" customWidth="1"/>
    <col min="9226" max="9226" width="9.140625" style="285" customWidth="1"/>
    <col min="9227" max="9230" width="9.7109375" style="285" bestFit="1" customWidth="1"/>
    <col min="9231" max="9472" width="9.140625" style="285" customWidth="1"/>
    <col min="9473" max="9473" width="3.7109375" style="285" customWidth="1"/>
    <col min="9474" max="9474" width="4.421875" style="285" customWidth="1"/>
    <col min="9475" max="9475" width="4.28125" style="285" customWidth="1"/>
    <col min="9476" max="9476" width="58.7109375" style="285" customWidth="1"/>
    <col min="9477" max="9477" width="11.28125" style="285" customWidth="1"/>
    <col min="9478" max="9478" width="10.00390625" style="285" customWidth="1"/>
    <col min="9479" max="9479" width="10.421875" style="285" customWidth="1"/>
    <col min="9480" max="9480" width="9.7109375" style="285" bestFit="1" customWidth="1"/>
    <col min="9481" max="9481" width="9.57421875" style="285" customWidth="1"/>
    <col min="9482" max="9482" width="9.140625" style="285" customWidth="1"/>
    <col min="9483" max="9486" width="9.7109375" style="285" bestFit="1" customWidth="1"/>
    <col min="9487" max="9728" width="9.140625" style="285" customWidth="1"/>
    <col min="9729" max="9729" width="3.7109375" style="285" customWidth="1"/>
    <col min="9730" max="9730" width="4.421875" style="285" customWidth="1"/>
    <col min="9731" max="9731" width="4.28125" style="285" customWidth="1"/>
    <col min="9732" max="9732" width="58.7109375" style="285" customWidth="1"/>
    <col min="9733" max="9733" width="11.28125" style="285" customWidth="1"/>
    <col min="9734" max="9734" width="10.00390625" style="285" customWidth="1"/>
    <col min="9735" max="9735" width="10.421875" style="285" customWidth="1"/>
    <col min="9736" max="9736" width="9.7109375" style="285" bestFit="1" customWidth="1"/>
    <col min="9737" max="9737" width="9.57421875" style="285" customWidth="1"/>
    <col min="9738" max="9738" width="9.140625" style="285" customWidth="1"/>
    <col min="9739" max="9742" width="9.7109375" style="285" bestFit="1" customWidth="1"/>
    <col min="9743" max="9984" width="9.140625" style="285" customWidth="1"/>
    <col min="9985" max="9985" width="3.7109375" style="285" customWidth="1"/>
    <col min="9986" max="9986" width="4.421875" style="285" customWidth="1"/>
    <col min="9987" max="9987" width="4.28125" style="285" customWidth="1"/>
    <col min="9988" max="9988" width="58.7109375" style="285" customWidth="1"/>
    <col min="9989" max="9989" width="11.28125" style="285" customWidth="1"/>
    <col min="9990" max="9990" width="10.00390625" style="285" customWidth="1"/>
    <col min="9991" max="9991" width="10.421875" style="285" customWidth="1"/>
    <col min="9992" max="9992" width="9.7109375" style="285" bestFit="1" customWidth="1"/>
    <col min="9993" max="9993" width="9.57421875" style="285" customWidth="1"/>
    <col min="9994" max="9994" width="9.140625" style="285" customWidth="1"/>
    <col min="9995" max="9998" width="9.7109375" style="285" bestFit="1" customWidth="1"/>
    <col min="9999" max="10240" width="9.140625" style="285" customWidth="1"/>
    <col min="10241" max="10241" width="3.7109375" style="285" customWidth="1"/>
    <col min="10242" max="10242" width="4.421875" style="285" customWidth="1"/>
    <col min="10243" max="10243" width="4.28125" style="285" customWidth="1"/>
    <col min="10244" max="10244" width="58.7109375" style="285" customWidth="1"/>
    <col min="10245" max="10245" width="11.28125" style="285" customWidth="1"/>
    <col min="10246" max="10246" width="10.00390625" style="285" customWidth="1"/>
    <col min="10247" max="10247" width="10.421875" style="285" customWidth="1"/>
    <col min="10248" max="10248" width="9.7109375" style="285" bestFit="1" customWidth="1"/>
    <col min="10249" max="10249" width="9.57421875" style="285" customWidth="1"/>
    <col min="10250" max="10250" width="9.140625" style="285" customWidth="1"/>
    <col min="10251" max="10254" width="9.7109375" style="285" bestFit="1" customWidth="1"/>
    <col min="10255" max="10496" width="9.140625" style="285" customWidth="1"/>
    <col min="10497" max="10497" width="3.7109375" style="285" customWidth="1"/>
    <col min="10498" max="10498" width="4.421875" style="285" customWidth="1"/>
    <col min="10499" max="10499" width="4.28125" style="285" customWidth="1"/>
    <col min="10500" max="10500" width="58.7109375" style="285" customWidth="1"/>
    <col min="10501" max="10501" width="11.28125" style="285" customWidth="1"/>
    <col min="10502" max="10502" width="10.00390625" style="285" customWidth="1"/>
    <col min="10503" max="10503" width="10.421875" style="285" customWidth="1"/>
    <col min="10504" max="10504" width="9.7109375" style="285" bestFit="1" customWidth="1"/>
    <col min="10505" max="10505" width="9.57421875" style="285" customWidth="1"/>
    <col min="10506" max="10506" width="9.140625" style="285" customWidth="1"/>
    <col min="10507" max="10510" width="9.7109375" style="285" bestFit="1" customWidth="1"/>
    <col min="10511" max="10752" width="9.140625" style="285" customWidth="1"/>
    <col min="10753" max="10753" width="3.7109375" style="285" customWidth="1"/>
    <col min="10754" max="10754" width="4.421875" style="285" customWidth="1"/>
    <col min="10755" max="10755" width="4.28125" style="285" customWidth="1"/>
    <col min="10756" max="10756" width="58.7109375" style="285" customWidth="1"/>
    <col min="10757" max="10757" width="11.28125" style="285" customWidth="1"/>
    <col min="10758" max="10758" width="10.00390625" style="285" customWidth="1"/>
    <col min="10759" max="10759" width="10.421875" style="285" customWidth="1"/>
    <col min="10760" max="10760" width="9.7109375" style="285" bestFit="1" customWidth="1"/>
    <col min="10761" max="10761" width="9.57421875" style="285" customWidth="1"/>
    <col min="10762" max="10762" width="9.140625" style="285" customWidth="1"/>
    <col min="10763" max="10766" width="9.7109375" style="285" bestFit="1" customWidth="1"/>
    <col min="10767" max="11008" width="9.140625" style="285" customWidth="1"/>
    <col min="11009" max="11009" width="3.7109375" style="285" customWidth="1"/>
    <col min="11010" max="11010" width="4.421875" style="285" customWidth="1"/>
    <col min="11011" max="11011" width="4.28125" style="285" customWidth="1"/>
    <col min="11012" max="11012" width="58.7109375" style="285" customWidth="1"/>
    <col min="11013" max="11013" width="11.28125" style="285" customWidth="1"/>
    <col min="11014" max="11014" width="10.00390625" style="285" customWidth="1"/>
    <col min="11015" max="11015" width="10.421875" style="285" customWidth="1"/>
    <col min="11016" max="11016" width="9.7109375" style="285" bestFit="1" customWidth="1"/>
    <col min="11017" max="11017" width="9.57421875" style="285" customWidth="1"/>
    <col min="11018" max="11018" width="9.140625" style="285" customWidth="1"/>
    <col min="11019" max="11022" width="9.7109375" style="285" bestFit="1" customWidth="1"/>
    <col min="11023" max="11264" width="9.140625" style="285" customWidth="1"/>
    <col min="11265" max="11265" width="3.7109375" style="285" customWidth="1"/>
    <col min="11266" max="11266" width="4.421875" style="285" customWidth="1"/>
    <col min="11267" max="11267" width="4.28125" style="285" customWidth="1"/>
    <col min="11268" max="11268" width="58.7109375" style="285" customWidth="1"/>
    <col min="11269" max="11269" width="11.28125" style="285" customWidth="1"/>
    <col min="11270" max="11270" width="10.00390625" style="285" customWidth="1"/>
    <col min="11271" max="11271" width="10.421875" style="285" customWidth="1"/>
    <col min="11272" max="11272" width="9.7109375" style="285" bestFit="1" customWidth="1"/>
    <col min="11273" max="11273" width="9.57421875" style="285" customWidth="1"/>
    <col min="11274" max="11274" width="9.140625" style="285" customWidth="1"/>
    <col min="11275" max="11278" width="9.7109375" style="285" bestFit="1" customWidth="1"/>
    <col min="11279" max="11520" width="9.140625" style="285" customWidth="1"/>
    <col min="11521" max="11521" width="3.7109375" style="285" customWidth="1"/>
    <col min="11522" max="11522" width="4.421875" style="285" customWidth="1"/>
    <col min="11523" max="11523" width="4.28125" style="285" customWidth="1"/>
    <col min="11524" max="11524" width="58.7109375" style="285" customWidth="1"/>
    <col min="11525" max="11525" width="11.28125" style="285" customWidth="1"/>
    <col min="11526" max="11526" width="10.00390625" style="285" customWidth="1"/>
    <col min="11527" max="11527" width="10.421875" style="285" customWidth="1"/>
    <col min="11528" max="11528" width="9.7109375" style="285" bestFit="1" customWidth="1"/>
    <col min="11529" max="11529" width="9.57421875" style="285" customWidth="1"/>
    <col min="11530" max="11530" width="9.140625" style="285" customWidth="1"/>
    <col min="11531" max="11534" width="9.7109375" style="285" bestFit="1" customWidth="1"/>
    <col min="11535" max="11776" width="9.140625" style="285" customWidth="1"/>
    <col min="11777" max="11777" width="3.7109375" style="285" customWidth="1"/>
    <col min="11778" max="11778" width="4.421875" style="285" customWidth="1"/>
    <col min="11779" max="11779" width="4.28125" style="285" customWidth="1"/>
    <col min="11780" max="11780" width="58.7109375" style="285" customWidth="1"/>
    <col min="11781" max="11781" width="11.28125" style="285" customWidth="1"/>
    <col min="11782" max="11782" width="10.00390625" style="285" customWidth="1"/>
    <col min="11783" max="11783" width="10.421875" style="285" customWidth="1"/>
    <col min="11784" max="11784" width="9.7109375" style="285" bestFit="1" customWidth="1"/>
    <col min="11785" max="11785" width="9.57421875" style="285" customWidth="1"/>
    <col min="11786" max="11786" width="9.140625" style="285" customWidth="1"/>
    <col min="11787" max="11790" width="9.7109375" style="285" bestFit="1" customWidth="1"/>
    <col min="11791" max="12032" width="9.140625" style="285" customWidth="1"/>
    <col min="12033" max="12033" width="3.7109375" style="285" customWidth="1"/>
    <col min="12034" max="12034" width="4.421875" style="285" customWidth="1"/>
    <col min="12035" max="12035" width="4.28125" style="285" customWidth="1"/>
    <col min="12036" max="12036" width="58.7109375" style="285" customWidth="1"/>
    <col min="12037" max="12037" width="11.28125" style="285" customWidth="1"/>
    <col min="12038" max="12038" width="10.00390625" style="285" customWidth="1"/>
    <col min="12039" max="12039" width="10.421875" style="285" customWidth="1"/>
    <col min="12040" max="12040" width="9.7109375" style="285" bestFit="1" customWidth="1"/>
    <col min="12041" max="12041" width="9.57421875" style="285" customWidth="1"/>
    <col min="12042" max="12042" width="9.140625" style="285" customWidth="1"/>
    <col min="12043" max="12046" width="9.7109375" style="285" bestFit="1" customWidth="1"/>
    <col min="12047" max="12288" width="9.140625" style="285" customWidth="1"/>
    <col min="12289" max="12289" width="3.7109375" style="285" customWidth="1"/>
    <col min="12290" max="12290" width="4.421875" style="285" customWidth="1"/>
    <col min="12291" max="12291" width="4.28125" style="285" customWidth="1"/>
    <col min="12292" max="12292" width="58.7109375" style="285" customWidth="1"/>
    <col min="12293" max="12293" width="11.28125" style="285" customWidth="1"/>
    <col min="12294" max="12294" width="10.00390625" style="285" customWidth="1"/>
    <col min="12295" max="12295" width="10.421875" style="285" customWidth="1"/>
    <col min="12296" max="12296" width="9.7109375" style="285" bestFit="1" customWidth="1"/>
    <col min="12297" max="12297" width="9.57421875" style="285" customWidth="1"/>
    <col min="12298" max="12298" width="9.140625" style="285" customWidth="1"/>
    <col min="12299" max="12302" width="9.7109375" style="285" bestFit="1" customWidth="1"/>
    <col min="12303" max="12544" width="9.140625" style="285" customWidth="1"/>
    <col min="12545" max="12545" width="3.7109375" style="285" customWidth="1"/>
    <col min="12546" max="12546" width="4.421875" style="285" customWidth="1"/>
    <col min="12547" max="12547" width="4.28125" style="285" customWidth="1"/>
    <col min="12548" max="12548" width="58.7109375" style="285" customWidth="1"/>
    <col min="12549" max="12549" width="11.28125" style="285" customWidth="1"/>
    <col min="12550" max="12550" width="10.00390625" style="285" customWidth="1"/>
    <col min="12551" max="12551" width="10.421875" style="285" customWidth="1"/>
    <col min="12552" max="12552" width="9.7109375" style="285" bestFit="1" customWidth="1"/>
    <col min="12553" max="12553" width="9.57421875" style="285" customWidth="1"/>
    <col min="12554" max="12554" width="9.140625" style="285" customWidth="1"/>
    <col min="12555" max="12558" width="9.7109375" style="285" bestFit="1" customWidth="1"/>
    <col min="12559" max="12800" width="9.140625" style="285" customWidth="1"/>
    <col min="12801" max="12801" width="3.7109375" style="285" customWidth="1"/>
    <col min="12802" max="12802" width="4.421875" style="285" customWidth="1"/>
    <col min="12803" max="12803" width="4.28125" style="285" customWidth="1"/>
    <col min="12804" max="12804" width="58.7109375" style="285" customWidth="1"/>
    <col min="12805" max="12805" width="11.28125" style="285" customWidth="1"/>
    <col min="12806" max="12806" width="10.00390625" style="285" customWidth="1"/>
    <col min="12807" max="12807" width="10.421875" style="285" customWidth="1"/>
    <col min="12808" max="12808" width="9.7109375" style="285" bestFit="1" customWidth="1"/>
    <col min="12809" max="12809" width="9.57421875" style="285" customWidth="1"/>
    <col min="12810" max="12810" width="9.140625" style="285" customWidth="1"/>
    <col min="12811" max="12814" width="9.7109375" style="285" bestFit="1" customWidth="1"/>
    <col min="12815" max="13056" width="9.140625" style="285" customWidth="1"/>
    <col min="13057" max="13057" width="3.7109375" style="285" customWidth="1"/>
    <col min="13058" max="13058" width="4.421875" style="285" customWidth="1"/>
    <col min="13059" max="13059" width="4.28125" style="285" customWidth="1"/>
    <col min="13060" max="13060" width="58.7109375" style="285" customWidth="1"/>
    <col min="13061" max="13061" width="11.28125" style="285" customWidth="1"/>
    <col min="13062" max="13062" width="10.00390625" style="285" customWidth="1"/>
    <col min="13063" max="13063" width="10.421875" style="285" customWidth="1"/>
    <col min="13064" max="13064" width="9.7109375" style="285" bestFit="1" customWidth="1"/>
    <col min="13065" max="13065" width="9.57421875" style="285" customWidth="1"/>
    <col min="13066" max="13066" width="9.140625" style="285" customWidth="1"/>
    <col min="13067" max="13070" width="9.7109375" style="285" bestFit="1" customWidth="1"/>
    <col min="13071" max="13312" width="9.140625" style="285" customWidth="1"/>
    <col min="13313" max="13313" width="3.7109375" style="285" customWidth="1"/>
    <col min="13314" max="13314" width="4.421875" style="285" customWidth="1"/>
    <col min="13315" max="13315" width="4.28125" style="285" customWidth="1"/>
    <col min="13316" max="13316" width="58.7109375" style="285" customWidth="1"/>
    <col min="13317" max="13317" width="11.28125" style="285" customWidth="1"/>
    <col min="13318" max="13318" width="10.00390625" style="285" customWidth="1"/>
    <col min="13319" max="13319" width="10.421875" style="285" customWidth="1"/>
    <col min="13320" max="13320" width="9.7109375" style="285" bestFit="1" customWidth="1"/>
    <col min="13321" max="13321" width="9.57421875" style="285" customWidth="1"/>
    <col min="13322" max="13322" width="9.140625" style="285" customWidth="1"/>
    <col min="13323" max="13326" width="9.7109375" style="285" bestFit="1" customWidth="1"/>
    <col min="13327" max="13568" width="9.140625" style="285" customWidth="1"/>
    <col min="13569" max="13569" width="3.7109375" style="285" customWidth="1"/>
    <col min="13570" max="13570" width="4.421875" style="285" customWidth="1"/>
    <col min="13571" max="13571" width="4.28125" style="285" customWidth="1"/>
    <col min="13572" max="13572" width="58.7109375" style="285" customWidth="1"/>
    <col min="13573" max="13573" width="11.28125" style="285" customWidth="1"/>
    <col min="13574" max="13574" width="10.00390625" style="285" customWidth="1"/>
    <col min="13575" max="13575" width="10.421875" style="285" customWidth="1"/>
    <col min="13576" max="13576" width="9.7109375" style="285" bestFit="1" customWidth="1"/>
    <col min="13577" max="13577" width="9.57421875" style="285" customWidth="1"/>
    <col min="13578" max="13578" width="9.140625" style="285" customWidth="1"/>
    <col min="13579" max="13582" width="9.7109375" style="285" bestFit="1" customWidth="1"/>
    <col min="13583" max="13824" width="9.140625" style="285" customWidth="1"/>
    <col min="13825" max="13825" width="3.7109375" style="285" customWidth="1"/>
    <col min="13826" max="13826" width="4.421875" style="285" customWidth="1"/>
    <col min="13827" max="13827" width="4.28125" style="285" customWidth="1"/>
    <col min="13828" max="13828" width="58.7109375" style="285" customWidth="1"/>
    <col min="13829" max="13829" width="11.28125" style="285" customWidth="1"/>
    <col min="13830" max="13830" width="10.00390625" style="285" customWidth="1"/>
    <col min="13831" max="13831" width="10.421875" style="285" customWidth="1"/>
    <col min="13832" max="13832" width="9.7109375" style="285" bestFit="1" customWidth="1"/>
    <col min="13833" max="13833" width="9.57421875" style="285" customWidth="1"/>
    <col min="13834" max="13834" width="9.140625" style="285" customWidth="1"/>
    <col min="13835" max="13838" width="9.7109375" style="285" bestFit="1" customWidth="1"/>
    <col min="13839" max="14080" width="9.140625" style="285" customWidth="1"/>
    <col min="14081" max="14081" width="3.7109375" style="285" customWidth="1"/>
    <col min="14082" max="14082" width="4.421875" style="285" customWidth="1"/>
    <col min="14083" max="14083" width="4.28125" style="285" customWidth="1"/>
    <col min="14084" max="14084" width="58.7109375" style="285" customWidth="1"/>
    <col min="14085" max="14085" width="11.28125" style="285" customWidth="1"/>
    <col min="14086" max="14086" width="10.00390625" style="285" customWidth="1"/>
    <col min="14087" max="14087" width="10.421875" style="285" customWidth="1"/>
    <col min="14088" max="14088" width="9.7109375" style="285" bestFit="1" customWidth="1"/>
    <col min="14089" max="14089" width="9.57421875" style="285" customWidth="1"/>
    <col min="14090" max="14090" width="9.140625" style="285" customWidth="1"/>
    <col min="14091" max="14094" width="9.7109375" style="285" bestFit="1" customWidth="1"/>
    <col min="14095" max="14336" width="9.140625" style="285" customWidth="1"/>
    <col min="14337" max="14337" width="3.7109375" style="285" customWidth="1"/>
    <col min="14338" max="14338" width="4.421875" style="285" customWidth="1"/>
    <col min="14339" max="14339" width="4.28125" style="285" customWidth="1"/>
    <col min="14340" max="14340" width="58.7109375" style="285" customWidth="1"/>
    <col min="14341" max="14341" width="11.28125" style="285" customWidth="1"/>
    <col min="14342" max="14342" width="10.00390625" style="285" customWidth="1"/>
    <col min="14343" max="14343" width="10.421875" style="285" customWidth="1"/>
    <col min="14344" max="14344" width="9.7109375" style="285" bestFit="1" customWidth="1"/>
    <col min="14345" max="14345" width="9.57421875" style="285" customWidth="1"/>
    <col min="14346" max="14346" width="9.140625" style="285" customWidth="1"/>
    <col min="14347" max="14350" width="9.7109375" style="285" bestFit="1" customWidth="1"/>
    <col min="14351" max="14592" width="9.140625" style="285" customWidth="1"/>
    <col min="14593" max="14593" width="3.7109375" style="285" customWidth="1"/>
    <col min="14594" max="14594" width="4.421875" style="285" customWidth="1"/>
    <col min="14595" max="14595" width="4.28125" style="285" customWidth="1"/>
    <col min="14596" max="14596" width="58.7109375" style="285" customWidth="1"/>
    <col min="14597" max="14597" width="11.28125" style="285" customWidth="1"/>
    <col min="14598" max="14598" width="10.00390625" style="285" customWidth="1"/>
    <col min="14599" max="14599" width="10.421875" style="285" customWidth="1"/>
    <col min="14600" max="14600" width="9.7109375" style="285" bestFit="1" customWidth="1"/>
    <col min="14601" max="14601" width="9.57421875" style="285" customWidth="1"/>
    <col min="14602" max="14602" width="9.140625" style="285" customWidth="1"/>
    <col min="14603" max="14606" width="9.7109375" style="285" bestFit="1" customWidth="1"/>
    <col min="14607" max="14848" width="9.140625" style="285" customWidth="1"/>
    <col min="14849" max="14849" width="3.7109375" style="285" customWidth="1"/>
    <col min="14850" max="14850" width="4.421875" style="285" customWidth="1"/>
    <col min="14851" max="14851" width="4.28125" style="285" customWidth="1"/>
    <col min="14852" max="14852" width="58.7109375" style="285" customWidth="1"/>
    <col min="14853" max="14853" width="11.28125" style="285" customWidth="1"/>
    <col min="14854" max="14854" width="10.00390625" style="285" customWidth="1"/>
    <col min="14855" max="14855" width="10.421875" style="285" customWidth="1"/>
    <col min="14856" max="14856" width="9.7109375" style="285" bestFit="1" customWidth="1"/>
    <col min="14857" max="14857" width="9.57421875" style="285" customWidth="1"/>
    <col min="14858" max="14858" width="9.140625" style="285" customWidth="1"/>
    <col min="14859" max="14862" width="9.7109375" style="285" bestFit="1" customWidth="1"/>
    <col min="14863" max="15104" width="9.140625" style="285" customWidth="1"/>
    <col min="15105" max="15105" width="3.7109375" style="285" customWidth="1"/>
    <col min="15106" max="15106" width="4.421875" style="285" customWidth="1"/>
    <col min="15107" max="15107" width="4.28125" style="285" customWidth="1"/>
    <col min="15108" max="15108" width="58.7109375" style="285" customWidth="1"/>
    <col min="15109" max="15109" width="11.28125" style="285" customWidth="1"/>
    <col min="15110" max="15110" width="10.00390625" style="285" customWidth="1"/>
    <col min="15111" max="15111" width="10.421875" style="285" customWidth="1"/>
    <col min="15112" max="15112" width="9.7109375" style="285" bestFit="1" customWidth="1"/>
    <col min="15113" max="15113" width="9.57421875" style="285" customWidth="1"/>
    <col min="15114" max="15114" width="9.140625" style="285" customWidth="1"/>
    <col min="15115" max="15118" width="9.7109375" style="285" bestFit="1" customWidth="1"/>
    <col min="15119" max="15360" width="9.140625" style="285" customWidth="1"/>
    <col min="15361" max="15361" width="3.7109375" style="285" customWidth="1"/>
    <col min="15362" max="15362" width="4.421875" style="285" customWidth="1"/>
    <col min="15363" max="15363" width="4.28125" style="285" customWidth="1"/>
    <col min="15364" max="15364" width="58.7109375" style="285" customWidth="1"/>
    <col min="15365" max="15365" width="11.28125" style="285" customWidth="1"/>
    <col min="15366" max="15366" width="10.00390625" style="285" customWidth="1"/>
    <col min="15367" max="15367" width="10.421875" style="285" customWidth="1"/>
    <col min="15368" max="15368" width="9.7109375" style="285" bestFit="1" customWidth="1"/>
    <col min="15369" max="15369" width="9.57421875" style="285" customWidth="1"/>
    <col min="15370" max="15370" width="9.140625" style="285" customWidth="1"/>
    <col min="15371" max="15374" width="9.7109375" style="285" bestFit="1" customWidth="1"/>
    <col min="15375" max="15616" width="9.140625" style="285" customWidth="1"/>
    <col min="15617" max="15617" width="3.7109375" style="285" customWidth="1"/>
    <col min="15618" max="15618" width="4.421875" style="285" customWidth="1"/>
    <col min="15619" max="15619" width="4.28125" style="285" customWidth="1"/>
    <col min="15620" max="15620" width="58.7109375" style="285" customWidth="1"/>
    <col min="15621" max="15621" width="11.28125" style="285" customWidth="1"/>
    <col min="15622" max="15622" width="10.00390625" style="285" customWidth="1"/>
    <col min="15623" max="15623" width="10.421875" style="285" customWidth="1"/>
    <col min="15624" max="15624" width="9.7109375" style="285" bestFit="1" customWidth="1"/>
    <col min="15625" max="15625" width="9.57421875" style="285" customWidth="1"/>
    <col min="15626" max="15626" width="9.140625" style="285" customWidth="1"/>
    <col min="15627" max="15630" width="9.7109375" style="285" bestFit="1" customWidth="1"/>
    <col min="15631" max="15872" width="9.140625" style="285" customWidth="1"/>
    <col min="15873" max="15873" width="3.7109375" style="285" customWidth="1"/>
    <col min="15874" max="15874" width="4.421875" style="285" customWidth="1"/>
    <col min="15875" max="15875" width="4.28125" style="285" customWidth="1"/>
    <col min="15876" max="15876" width="58.7109375" style="285" customWidth="1"/>
    <col min="15877" max="15877" width="11.28125" style="285" customWidth="1"/>
    <col min="15878" max="15878" width="10.00390625" style="285" customWidth="1"/>
    <col min="15879" max="15879" width="10.421875" style="285" customWidth="1"/>
    <col min="15880" max="15880" width="9.7109375" style="285" bestFit="1" customWidth="1"/>
    <col min="15881" max="15881" width="9.57421875" style="285" customWidth="1"/>
    <col min="15882" max="15882" width="9.140625" style="285" customWidth="1"/>
    <col min="15883" max="15886" width="9.7109375" style="285" bestFit="1" customWidth="1"/>
    <col min="15887" max="16128" width="9.140625" style="285" customWidth="1"/>
    <col min="16129" max="16129" width="3.7109375" style="285" customWidth="1"/>
    <col min="16130" max="16130" width="4.421875" style="285" customWidth="1"/>
    <col min="16131" max="16131" width="4.28125" style="285" customWidth="1"/>
    <col min="16132" max="16132" width="58.7109375" style="285" customWidth="1"/>
    <col min="16133" max="16133" width="11.28125" style="285" customWidth="1"/>
    <col min="16134" max="16134" width="10.00390625" style="285" customWidth="1"/>
    <col min="16135" max="16135" width="10.421875" style="285" customWidth="1"/>
    <col min="16136" max="16136" width="9.7109375" style="285" bestFit="1" customWidth="1"/>
    <col min="16137" max="16137" width="9.57421875" style="285" customWidth="1"/>
    <col min="16138" max="16138" width="9.140625" style="285" customWidth="1"/>
    <col min="16139" max="16142" width="9.7109375" style="285" bestFit="1" customWidth="1"/>
    <col min="16143" max="16384" width="9.140625" style="285" customWidth="1"/>
  </cols>
  <sheetData>
    <row r="1" spans="1:11" ht="12.75">
      <c r="A1" s="406" t="s">
        <v>389</v>
      </c>
      <c r="B1" s="406"/>
      <c r="C1" s="406"/>
      <c r="D1" s="406"/>
      <c r="E1" s="406"/>
      <c r="F1" s="406"/>
      <c r="G1" s="293"/>
      <c r="H1" s="293"/>
      <c r="I1" s="293"/>
      <c r="J1" s="294"/>
      <c r="K1" s="294"/>
    </row>
    <row r="2" spans="1:11" ht="12.75">
      <c r="A2" s="406" t="s">
        <v>263</v>
      </c>
      <c r="B2" s="406"/>
      <c r="C2" s="406"/>
      <c r="D2" s="406"/>
      <c r="E2" s="406"/>
      <c r="F2" s="406"/>
      <c r="G2" s="293"/>
      <c r="H2" s="293"/>
      <c r="I2" s="293"/>
      <c r="J2" s="294"/>
      <c r="K2" s="294"/>
    </row>
    <row r="3" spans="1:11" ht="12.75">
      <c r="A3" s="406" t="s">
        <v>283</v>
      </c>
      <c r="B3" s="406"/>
      <c r="C3" s="406"/>
      <c r="D3" s="406"/>
      <c r="E3" s="406"/>
      <c r="F3" s="406"/>
      <c r="G3" s="293"/>
      <c r="H3" s="293"/>
      <c r="I3" s="293"/>
      <c r="J3" s="294"/>
      <c r="K3" s="294"/>
    </row>
    <row r="4" spans="1:11" ht="12.75">
      <c r="A4" s="284"/>
      <c r="B4" s="284"/>
      <c r="C4" s="284"/>
      <c r="D4" s="284"/>
      <c r="E4" s="284"/>
      <c r="F4" s="284"/>
      <c r="G4" s="293"/>
      <c r="H4" s="293"/>
      <c r="I4" s="293"/>
      <c r="J4" s="294"/>
      <c r="K4" s="294"/>
    </row>
    <row r="5" spans="1:11" ht="12.75">
      <c r="A5" s="286"/>
      <c r="B5" s="286"/>
      <c r="C5" s="286"/>
      <c r="D5" s="286"/>
      <c r="E5" s="287" t="s">
        <v>172</v>
      </c>
      <c r="F5" s="287" t="s">
        <v>173</v>
      </c>
      <c r="G5" s="286"/>
      <c r="H5" s="286"/>
      <c r="I5" s="286"/>
      <c r="J5" s="286"/>
      <c r="K5" s="286"/>
    </row>
    <row r="6" spans="1:11" ht="12.75">
      <c r="A6" s="286"/>
      <c r="B6" s="286"/>
      <c r="C6" s="286"/>
      <c r="D6" s="286"/>
      <c r="E6" s="284">
        <f>+'Income Statement Cash Flows'!E6</f>
        <v>2018</v>
      </c>
      <c r="F6" s="284">
        <f>+'Income Statement Cash Flows'!F6</f>
        <v>2019</v>
      </c>
      <c r="G6" s="287"/>
      <c r="H6" s="286"/>
      <c r="I6" s="287"/>
      <c r="J6" s="286"/>
      <c r="K6" s="286"/>
    </row>
    <row r="7" spans="1:9" ht="12.75">
      <c r="A7" s="285">
        <v>1</v>
      </c>
      <c r="B7" s="285" t="s">
        <v>390</v>
      </c>
      <c r="E7" s="194">
        <f>+'Modeling results'!B2</f>
        <v>2814294</v>
      </c>
      <c r="F7" s="194">
        <f>+'Modeling results'!C2</f>
        <v>2810109</v>
      </c>
      <c r="G7" s="194"/>
      <c r="I7" s="284"/>
    </row>
    <row r="8" spans="5:9" ht="12.75">
      <c r="E8" s="288"/>
      <c r="F8" s="288"/>
      <c r="G8" s="284"/>
      <c r="I8" s="284"/>
    </row>
    <row r="9" spans="1:2" ht="12.75">
      <c r="A9" s="285">
        <v>2</v>
      </c>
      <c r="B9" s="285" t="s">
        <v>186</v>
      </c>
    </row>
    <row r="10" spans="1:9" ht="12.75">
      <c r="A10" s="285">
        <v>3</v>
      </c>
      <c r="C10" s="285" t="s">
        <v>187</v>
      </c>
      <c r="E10" s="195"/>
      <c r="F10" s="195"/>
      <c r="G10" s="195"/>
      <c r="I10" s="195"/>
    </row>
    <row r="11" spans="1:9" ht="12.75">
      <c r="A11" s="285">
        <v>4</v>
      </c>
      <c r="D11" s="285" t="s">
        <v>372</v>
      </c>
      <c r="E11" s="195">
        <f>+'Income Statement Cash Flows'!E9</f>
        <v>703407.027</v>
      </c>
      <c r="F11" s="195">
        <f>+'Income Statement Cash Flows'!F9</f>
        <v>759721.338</v>
      </c>
      <c r="G11" s="195"/>
      <c r="I11" s="195"/>
    </row>
    <row r="12" spans="1:9" ht="12.75">
      <c r="A12" s="285">
        <v>5</v>
      </c>
      <c r="D12" s="285" t="s">
        <v>373</v>
      </c>
      <c r="E12" s="195">
        <f>+'Income Statement Cash Flows'!E10</f>
        <v>22612.478</v>
      </c>
      <c r="F12" s="195">
        <f>+'Income Statement Cash Flows'!F10</f>
        <v>22996.89</v>
      </c>
      <c r="G12" s="195"/>
      <c r="I12" s="195"/>
    </row>
    <row r="13" spans="1:9" ht="12.75">
      <c r="A13" s="285">
        <v>6</v>
      </c>
      <c r="D13" s="285" t="s">
        <v>190</v>
      </c>
      <c r="E13" s="195">
        <f>+'Income Statement Cash Flows'!E11</f>
        <v>1500</v>
      </c>
      <c r="F13" s="195">
        <f>+'Income Statement Cash Flows'!F11</f>
        <v>1534</v>
      </c>
      <c r="G13" s="195"/>
      <c r="I13" s="195"/>
    </row>
    <row r="14" spans="1:9" ht="12.75">
      <c r="A14" s="285">
        <v>7</v>
      </c>
      <c r="D14" s="285" t="s">
        <v>191</v>
      </c>
      <c r="E14" s="195">
        <f>+'Income Statement Cash Flows'!E12</f>
        <v>100634.31286402777</v>
      </c>
      <c r="F14" s="195">
        <f>+'Income Statement Cash Flows'!F12</f>
        <v>99620.52050860555</v>
      </c>
      <c r="G14" s="195"/>
      <c r="I14" s="195"/>
    </row>
    <row r="15" spans="1:9" ht="12.75">
      <c r="A15" s="285">
        <v>8</v>
      </c>
      <c r="D15" s="285" t="s">
        <v>143</v>
      </c>
      <c r="E15" s="195">
        <f>+'Income Statement Cash Flows'!E13</f>
        <v>0</v>
      </c>
      <c r="F15" s="195">
        <f>+'Income Statement Cash Flows'!F13</f>
        <v>12222</v>
      </c>
      <c r="G15" s="195"/>
      <c r="I15" s="195"/>
    </row>
    <row r="16" spans="1:9" ht="12.75">
      <c r="A16" s="285">
        <v>9</v>
      </c>
      <c r="D16" s="285" t="s">
        <v>192</v>
      </c>
      <c r="E16" s="195">
        <f>+'Income Statement Cash Flows'!E14</f>
        <v>317902</v>
      </c>
      <c r="F16" s="195">
        <f>+'Income Statement Cash Flows'!F14</f>
        <v>317916</v>
      </c>
      <c r="G16" s="195"/>
      <c r="I16" s="195"/>
    </row>
    <row r="17" spans="1:9" ht="12.75">
      <c r="A17" s="285">
        <v>10</v>
      </c>
      <c r="D17" s="285" t="s">
        <v>193</v>
      </c>
      <c r="E17" s="195">
        <f>+'Income Statement Cash Flows'!E15</f>
        <v>38331.832</v>
      </c>
      <c r="F17" s="195">
        <f>+'Income Statement Cash Flows'!F15</f>
        <v>39059.891</v>
      </c>
      <c r="G17" s="195"/>
      <c r="I17" s="195"/>
    </row>
    <row r="18" spans="1:9" ht="12.75">
      <c r="A18" s="285">
        <v>11</v>
      </c>
      <c r="D18" s="285" t="s">
        <v>194</v>
      </c>
      <c r="E18" s="195">
        <f>+'Income Statement Cash Flows'!E16</f>
        <v>126267.003</v>
      </c>
      <c r="F18" s="195">
        <f>+'Income Statement Cash Flows'!F16</f>
        <v>126187.079</v>
      </c>
      <c r="G18" s="195"/>
      <c r="I18" s="195"/>
    </row>
    <row r="19" spans="1:9" ht="12.75">
      <c r="A19" s="285">
        <v>13</v>
      </c>
      <c r="C19" s="285" t="s">
        <v>195</v>
      </c>
      <c r="E19" s="195">
        <f>+'Income Statement Cash Flows'!E17</f>
        <v>90411.461</v>
      </c>
      <c r="F19" s="195">
        <f>+'Income Statement Cash Flows'!F17</f>
        <v>94319.069</v>
      </c>
      <c r="G19" s="195"/>
      <c r="I19" s="195"/>
    </row>
    <row r="20" spans="1:9" ht="12.75">
      <c r="A20" s="285">
        <v>14</v>
      </c>
      <c r="C20" s="285" t="s">
        <v>196</v>
      </c>
      <c r="E20" s="195">
        <f>+'Income Statement Cash Flows'!E18</f>
        <v>215044.4701217253</v>
      </c>
      <c r="F20" s="195">
        <f>+'Income Statement Cash Flows'!F18</f>
        <v>211640.23393102537</v>
      </c>
      <c r="G20" s="195"/>
      <c r="I20" s="195"/>
    </row>
    <row r="21" spans="1:9" ht="12.75">
      <c r="A21" s="289">
        <v>15</v>
      </c>
      <c r="C21" s="285" t="s">
        <v>374</v>
      </c>
      <c r="E21" s="195">
        <f>+'Income Statement Cash Flows'!E19</f>
        <v>321820.531</v>
      </c>
      <c r="F21" s="195">
        <f>+'Income Statement Cash Flows'!F19</f>
        <v>322100.917</v>
      </c>
      <c r="G21" s="195"/>
      <c r="H21" s="295"/>
      <c r="I21" s="295"/>
    </row>
    <row r="22" spans="1:9" ht="12.75">
      <c r="A22" s="285">
        <v>16</v>
      </c>
      <c r="C22" s="285" t="s">
        <v>375</v>
      </c>
      <c r="E22" s="195">
        <f>+'Income Statement Cash Flows'!E20</f>
        <v>79353.238</v>
      </c>
      <c r="F22" s="195">
        <f>+'Income Statement Cash Flows'!F20</f>
        <v>81416.592</v>
      </c>
      <c r="G22" s="195"/>
      <c r="H22" s="295"/>
      <c r="I22" s="295"/>
    </row>
    <row r="23" spans="1:9" ht="12.75">
      <c r="A23" s="289">
        <v>17</v>
      </c>
      <c r="C23" s="285" t="s">
        <v>198</v>
      </c>
      <c r="E23" s="195">
        <f>+'Income Statement Cash Flows'!E21</f>
        <v>-128728.35724599985</v>
      </c>
      <c r="F23" s="195">
        <f>+'Income Statement Cash Flows'!F21</f>
        <v>-74167.95900000015</v>
      </c>
      <c r="G23" s="195"/>
      <c r="H23" s="295"/>
      <c r="I23" s="295"/>
    </row>
    <row r="24" spans="1:9" ht="12.75">
      <c r="A24" s="289">
        <v>18</v>
      </c>
      <c r="C24" s="285" t="s">
        <v>213</v>
      </c>
      <c r="E24" s="195">
        <f>+'Income Statement Cash Flows'!E22</f>
        <v>490561.8091259999</v>
      </c>
      <c r="F24" s="195">
        <f>+'Income Statement Cash Flows'!F22</f>
        <v>420704.15750000003</v>
      </c>
      <c r="G24" s="195"/>
      <c r="H24" s="295"/>
      <c r="I24" s="295"/>
    </row>
    <row r="25" spans="1:9" ht="12.75">
      <c r="A25" s="289">
        <v>19</v>
      </c>
      <c r="C25" s="289" t="s">
        <v>214</v>
      </c>
      <c r="E25" s="195">
        <f>+'Income Statement Cash Flows'!E23</f>
        <v>144091.87550166668</v>
      </c>
      <c r="F25" s="195">
        <f>+'Income Statement Cash Flows'!F23</f>
        <v>144065.45318666665</v>
      </c>
      <c r="G25" s="195"/>
      <c r="H25" s="295"/>
      <c r="I25" s="295"/>
    </row>
    <row r="26" spans="1:11" ht="12.75">
      <c r="A26" s="289">
        <v>20</v>
      </c>
      <c r="B26" s="289"/>
      <c r="C26" s="289" t="s">
        <v>215</v>
      </c>
      <c r="D26" s="289"/>
      <c r="E26" s="195">
        <f>+'Income Statement Cash Flows'!E24</f>
        <v>86795.86666666667</v>
      </c>
      <c r="F26" s="195">
        <f>+'Income Statement Cash Flows'!F24</f>
        <v>87458.29946666668</v>
      </c>
      <c r="G26" s="195"/>
      <c r="H26" s="295"/>
      <c r="I26" s="295"/>
      <c r="K26" s="195"/>
    </row>
    <row r="27" spans="1:9" ht="12.75">
      <c r="A27" s="289">
        <v>21</v>
      </c>
      <c r="B27" s="285" t="s">
        <v>216</v>
      </c>
      <c r="E27" s="195">
        <f>SUM(E11:E26)</f>
        <v>2610005.547034086</v>
      </c>
      <c r="F27" s="195">
        <f>SUM(F11:F26)</f>
        <v>2666794.4815929644</v>
      </c>
      <c r="G27" s="195"/>
      <c r="H27" s="295"/>
      <c r="I27" s="295"/>
    </row>
    <row r="28" spans="5:9" ht="12.75">
      <c r="E28" s="195"/>
      <c r="F28" s="195"/>
      <c r="G28" s="195"/>
      <c r="H28" s="295"/>
      <c r="I28" s="295"/>
    </row>
    <row r="29" spans="1:9" ht="12.75">
      <c r="A29" s="289">
        <v>22</v>
      </c>
      <c r="B29" s="290" t="s">
        <v>376</v>
      </c>
      <c r="C29" s="290"/>
      <c r="D29" s="290"/>
      <c r="E29" s="290"/>
      <c r="F29" s="290"/>
      <c r="G29" s="195"/>
      <c r="H29" s="295"/>
      <c r="I29" s="295"/>
    </row>
    <row r="30" spans="1:9" ht="12.75">
      <c r="A30" s="289">
        <v>23</v>
      </c>
      <c r="B30" s="290"/>
      <c r="C30" s="290" t="s">
        <v>202</v>
      </c>
      <c r="D30" s="290"/>
      <c r="E30" s="290"/>
      <c r="F30" s="290"/>
      <c r="G30" s="195"/>
      <c r="H30" s="295"/>
      <c r="I30" s="295"/>
    </row>
    <row r="31" spans="1:9" ht="12.75">
      <c r="A31" s="289">
        <v>24</v>
      </c>
      <c r="B31" s="290"/>
      <c r="C31" s="290"/>
      <c r="D31" s="290" t="s">
        <v>203</v>
      </c>
      <c r="E31" s="290">
        <f>+'Income Statement Cash Flows'!E29</f>
        <v>83294</v>
      </c>
      <c r="F31" s="290">
        <f>+'Income Statement Cash Flows'!F29</f>
        <v>82687</v>
      </c>
      <c r="G31" s="195"/>
      <c r="H31" s="295"/>
      <c r="I31" s="295"/>
    </row>
    <row r="32" spans="1:9" ht="12.75">
      <c r="A32" s="289">
        <v>25</v>
      </c>
      <c r="B32" s="290"/>
      <c r="D32" s="290" t="s">
        <v>204</v>
      </c>
      <c r="E32" s="290">
        <f>+'Income Statement Cash Flows'!E30</f>
        <v>-45937</v>
      </c>
      <c r="F32" s="290">
        <f>+'Income Statement Cash Flows'!F30</f>
        <v>-45937</v>
      </c>
      <c r="G32" s="195"/>
      <c r="H32" s="295"/>
      <c r="I32" s="295"/>
    </row>
    <row r="33" spans="1:9" ht="12.75">
      <c r="A33" s="289">
        <v>26</v>
      </c>
      <c r="B33" s="290"/>
      <c r="C33" s="290"/>
      <c r="D33" s="290" t="s">
        <v>205</v>
      </c>
      <c r="E33" s="290">
        <f>+'Income Statement Cash Flows'!E31</f>
        <v>56449</v>
      </c>
      <c r="F33" s="290">
        <f>+'Income Statement Cash Flows'!F31</f>
        <v>63302</v>
      </c>
      <c r="G33" s="195"/>
      <c r="H33" s="295"/>
      <c r="I33" s="295"/>
    </row>
    <row r="34" spans="1:11" ht="12.75">
      <c r="A34" s="289">
        <v>27</v>
      </c>
      <c r="B34" s="289"/>
      <c r="D34" s="289" t="s">
        <v>206</v>
      </c>
      <c r="E34" s="290">
        <f>+'Income Statement Cash Flows'!E32</f>
        <v>0</v>
      </c>
      <c r="F34" s="290">
        <f>+'Income Statement Cash Flows'!F32</f>
        <v>0</v>
      </c>
      <c r="G34" s="195"/>
      <c r="H34" s="195"/>
      <c r="I34" s="195"/>
      <c r="K34" s="296"/>
    </row>
    <row r="35" spans="1:11" ht="12.75">
      <c r="A35" s="289"/>
      <c r="B35" s="289"/>
      <c r="D35" s="289" t="s">
        <v>284</v>
      </c>
      <c r="E35" s="290">
        <f>+'Income Statement Cash Flows'!E33</f>
        <v>11627.714081461887</v>
      </c>
      <c r="F35" s="290">
        <f>+'Income Statement Cash Flows'!F33</f>
        <v>10747.46794684212</v>
      </c>
      <c r="G35" s="195"/>
      <c r="H35" s="195"/>
      <c r="I35" s="195"/>
      <c r="K35" s="296"/>
    </row>
    <row r="36" spans="1:11" ht="12.75">
      <c r="A36" s="285">
        <v>28</v>
      </c>
      <c r="B36" s="289"/>
      <c r="C36" s="290" t="s">
        <v>207</v>
      </c>
      <c r="D36" s="290"/>
      <c r="E36" s="290">
        <f>+'Income Statement Cash Flows'!E34</f>
        <v>-8379.415325</v>
      </c>
      <c r="F36" s="290">
        <f>+'Income Statement Cash Flows'!F34</f>
        <v>-8307.435</v>
      </c>
      <c r="G36" s="195"/>
      <c r="I36" s="195"/>
      <c r="K36" s="296"/>
    </row>
    <row r="37" spans="1:9" ht="12.75">
      <c r="A37" s="285">
        <v>29</v>
      </c>
      <c r="B37" s="290"/>
      <c r="C37" s="290" t="s">
        <v>208</v>
      </c>
      <c r="D37" s="290"/>
      <c r="E37" s="290">
        <f>-'interest credit calculations'!C122</f>
        <v>-1259.909</v>
      </c>
      <c r="F37" s="290">
        <f>-'interest credit calculations'!D122</f>
        <v>-1496.0014999999999</v>
      </c>
      <c r="G37" s="195"/>
      <c r="I37" s="195"/>
    </row>
    <row r="38" spans="1:9" ht="12.75">
      <c r="A38" s="285">
        <v>30</v>
      </c>
      <c r="B38" s="290" t="s">
        <v>209</v>
      </c>
      <c r="C38" s="290"/>
      <c r="D38" s="290"/>
      <c r="E38" s="290">
        <f>SUM(E31:E37)</f>
        <v>95794.3897564619</v>
      </c>
      <c r="F38" s="290">
        <f>SUM(F31:F37)</f>
        <v>100996.03144684213</v>
      </c>
      <c r="G38" s="195"/>
      <c r="I38" s="195"/>
    </row>
    <row r="39" spans="1:9" ht="12.75">
      <c r="A39" s="289"/>
      <c r="B39" s="290"/>
      <c r="C39" s="290"/>
      <c r="D39" s="290"/>
      <c r="E39" s="290"/>
      <c r="F39" s="290"/>
      <c r="G39" s="195"/>
      <c r="I39" s="195"/>
    </row>
    <row r="40" spans="1:9" ht="12.75">
      <c r="A40" s="285">
        <v>31</v>
      </c>
      <c r="B40" s="290" t="s">
        <v>210</v>
      </c>
      <c r="C40" s="290"/>
      <c r="D40" s="290"/>
      <c r="E40" s="290">
        <f>E38+E27</f>
        <v>2705799.9367905483</v>
      </c>
      <c r="F40" s="290">
        <f>F38+F27</f>
        <v>2767790.5130398064</v>
      </c>
      <c r="G40" s="195"/>
      <c r="I40" s="195"/>
    </row>
    <row r="41" spans="1:9" ht="12.75">
      <c r="A41" s="289"/>
      <c r="B41" s="290"/>
      <c r="C41" s="290"/>
      <c r="D41" s="290"/>
      <c r="E41" s="290"/>
      <c r="F41" s="290"/>
      <c r="G41" s="195"/>
      <c r="I41" s="195"/>
    </row>
    <row r="42" spans="1:9" ht="12.75">
      <c r="A42" s="285">
        <v>32</v>
      </c>
      <c r="B42" s="290" t="s">
        <v>377</v>
      </c>
      <c r="C42" s="290"/>
      <c r="D42" s="290"/>
      <c r="E42" s="290">
        <f>E7-E40</f>
        <v>108494.06320945174</v>
      </c>
      <c r="F42" s="290">
        <f>F7-F40</f>
        <v>42318.48696019361</v>
      </c>
      <c r="G42" s="195"/>
      <c r="I42" s="195"/>
    </row>
    <row r="43" spans="2:9" ht="12.75">
      <c r="B43" s="195"/>
      <c r="C43" s="195"/>
      <c r="D43" s="195"/>
      <c r="E43" s="195"/>
      <c r="F43" s="195"/>
      <c r="G43" s="195"/>
      <c r="I43" s="195"/>
    </row>
    <row r="44" spans="2:14" ht="12.75">
      <c r="B44" s="195"/>
      <c r="C44" s="195"/>
      <c r="D44" s="195"/>
      <c r="E44" s="195"/>
      <c r="F44" s="195"/>
      <c r="G44" s="195"/>
      <c r="I44" s="195"/>
      <c r="K44" s="284"/>
      <c r="L44" s="284"/>
      <c r="M44" s="284"/>
      <c r="N44" s="284"/>
    </row>
    <row r="45" spans="2:9" ht="12.75">
      <c r="B45" s="195"/>
      <c r="C45" s="195"/>
      <c r="D45" s="195"/>
      <c r="E45" s="195"/>
      <c r="F45" s="195"/>
      <c r="G45" s="195"/>
      <c r="I45" s="195"/>
    </row>
    <row r="46" spans="2:14" ht="12.75">
      <c r="B46" s="195"/>
      <c r="C46" s="195"/>
      <c r="D46" s="195"/>
      <c r="E46" s="195"/>
      <c r="F46" s="195"/>
      <c r="G46" s="198"/>
      <c r="I46" s="198"/>
      <c r="K46" s="195"/>
      <c r="L46" s="195"/>
      <c r="M46" s="195"/>
      <c r="N46" s="195"/>
    </row>
    <row r="47" spans="6:11" ht="12.75">
      <c r="F47" s="297"/>
      <c r="G47" s="195"/>
      <c r="I47" s="195"/>
      <c r="K47" s="198"/>
    </row>
    <row r="48" spans="5:9" ht="12.75">
      <c r="E48" s="195"/>
      <c r="F48" s="195"/>
      <c r="G48" s="195"/>
      <c r="I48" s="195"/>
    </row>
    <row r="49" spans="1:9" ht="12.75">
      <c r="A49" s="291"/>
      <c r="E49" s="195"/>
      <c r="F49" s="195"/>
      <c r="G49" s="195"/>
      <c r="I49" s="195"/>
    </row>
    <row r="52" spans="1:9" ht="12.75">
      <c r="A52" s="406" t="s">
        <v>370</v>
      </c>
      <c r="B52" s="406"/>
      <c r="C52" s="406"/>
      <c r="D52" s="406"/>
      <c r="E52" s="406"/>
      <c r="F52" s="406"/>
      <c r="G52" s="293"/>
      <c r="H52" s="293"/>
      <c r="I52" s="293"/>
    </row>
    <row r="53" spans="1:9" ht="12.75">
      <c r="A53" s="406" t="s">
        <v>266</v>
      </c>
      <c r="B53" s="406"/>
      <c r="C53" s="406"/>
      <c r="D53" s="406"/>
      <c r="E53" s="406"/>
      <c r="F53" s="406"/>
      <c r="G53" s="293"/>
      <c r="H53" s="293"/>
      <c r="I53" s="293"/>
    </row>
    <row r="54" spans="1:9" ht="12.75">
      <c r="A54" s="406" t="s">
        <v>366</v>
      </c>
      <c r="B54" s="406"/>
      <c r="C54" s="406"/>
      <c r="D54" s="406"/>
      <c r="E54" s="406"/>
      <c r="F54" s="406"/>
      <c r="G54" s="293"/>
      <c r="H54" s="293"/>
      <c r="I54" s="293"/>
    </row>
    <row r="55" spans="1:11" ht="12.7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</row>
    <row r="56" spans="1:11" ht="12.75">
      <c r="A56" s="195"/>
      <c r="B56" s="195"/>
      <c r="C56" s="195"/>
      <c r="D56" s="195"/>
      <c r="E56" s="287" t="s">
        <v>172</v>
      </c>
      <c r="F56" s="287" t="s">
        <v>173</v>
      </c>
      <c r="G56" s="287"/>
      <c r="H56" s="195"/>
      <c r="I56" s="287"/>
      <c r="J56" s="195"/>
      <c r="K56" s="287"/>
    </row>
    <row r="57" spans="1:11" ht="12.75">
      <c r="A57" s="195"/>
      <c r="B57" s="195"/>
      <c r="C57" s="195"/>
      <c r="D57" s="195"/>
      <c r="E57" s="284">
        <f>+'Income Statement Cash Flows'!E6</f>
        <v>2018</v>
      </c>
      <c r="F57" s="284">
        <f>+'Income Statement Cash Flows'!F6</f>
        <v>2019</v>
      </c>
      <c r="G57" s="284"/>
      <c r="H57" s="195"/>
      <c r="I57" s="284"/>
      <c r="J57" s="195"/>
      <c r="K57" s="287"/>
    </row>
    <row r="58" spans="1:11" ht="12.75">
      <c r="A58" s="195">
        <v>1</v>
      </c>
      <c r="B58" s="195" t="s">
        <v>270</v>
      </c>
      <c r="C58" s="195"/>
      <c r="D58" s="195"/>
      <c r="E58" s="195"/>
      <c r="F58" s="195"/>
      <c r="G58" s="195"/>
      <c r="H58" s="195"/>
      <c r="I58" s="195"/>
      <c r="J58" s="195"/>
      <c r="K58" s="195"/>
    </row>
    <row r="59" spans="1:11" ht="12.75" hidden="1">
      <c r="A59" s="195"/>
      <c r="B59" s="195"/>
      <c r="C59" s="195" t="s">
        <v>378</v>
      </c>
      <c r="D59" s="195"/>
      <c r="E59" s="195">
        <f>E7-E27-E31-E32-E33-E34-E36</f>
        <v>118861.8682909138</v>
      </c>
      <c r="F59" s="195">
        <f>F7-F27-F31-F32-F33-F34-F36</f>
        <v>51569.95340703562</v>
      </c>
      <c r="G59" s="195"/>
      <c r="H59" s="195"/>
      <c r="I59" s="195"/>
      <c r="J59" s="195"/>
      <c r="K59" s="195"/>
    </row>
    <row r="60" spans="1:11" ht="12.75">
      <c r="A60" s="195">
        <v>2</v>
      </c>
      <c r="B60" s="195"/>
      <c r="C60" s="195" t="s">
        <v>377</v>
      </c>
      <c r="D60" s="195"/>
      <c r="E60" s="195">
        <f>E42</f>
        <v>108494.06320945174</v>
      </c>
      <c r="F60" s="195">
        <f>F42</f>
        <v>42318.48696019361</v>
      </c>
      <c r="G60" s="195"/>
      <c r="H60" s="195"/>
      <c r="I60" s="195"/>
      <c r="J60" s="195"/>
      <c r="K60" s="195"/>
    </row>
    <row r="61" spans="1:11" ht="12.75">
      <c r="A61" s="195">
        <v>3</v>
      </c>
      <c r="B61" s="195"/>
      <c r="C61" s="195" t="s">
        <v>268</v>
      </c>
      <c r="D61" s="195"/>
      <c r="E61" s="195"/>
      <c r="F61" s="195"/>
      <c r="G61" s="195"/>
      <c r="H61" s="195"/>
      <c r="I61" s="195"/>
      <c r="J61" s="195"/>
      <c r="K61" s="195"/>
    </row>
    <row r="62" spans="1:11" ht="12.75">
      <c r="A62" s="195">
        <v>4</v>
      </c>
      <c r="B62" s="195"/>
      <c r="C62" s="195"/>
      <c r="D62" s="195" t="s">
        <v>284</v>
      </c>
      <c r="E62" s="195">
        <f>+E35</f>
        <v>11627.714081461887</v>
      </c>
      <c r="F62" s="195">
        <f>+F35</f>
        <v>10747.46794684212</v>
      </c>
      <c r="G62" s="195"/>
      <c r="H62" s="195"/>
      <c r="I62" s="195"/>
      <c r="J62" s="195"/>
      <c r="K62" s="195"/>
    </row>
    <row r="63" spans="1:11" ht="12.75">
      <c r="A63" s="195">
        <v>5</v>
      </c>
      <c r="B63" s="195"/>
      <c r="C63" s="195"/>
      <c r="D63" s="195" t="s">
        <v>269</v>
      </c>
      <c r="E63" s="195">
        <f>E25+E26</f>
        <v>230887.74216833335</v>
      </c>
      <c r="F63" s="195">
        <f>F25+F26</f>
        <v>231523.75265333333</v>
      </c>
      <c r="G63" s="195"/>
      <c r="H63" s="195"/>
      <c r="I63" s="195"/>
      <c r="J63" s="195"/>
      <c r="K63" s="195"/>
    </row>
    <row r="64" spans="1:11" ht="12.75">
      <c r="A64" s="195"/>
      <c r="B64" s="195"/>
      <c r="C64" s="195"/>
      <c r="D64" s="195" t="s">
        <v>660</v>
      </c>
      <c r="E64" s="195">
        <f>+'Income Statement Cash Flows'!E61</f>
        <v>0</v>
      </c>
      <c r="F64" s="195">
        <f>+'Income Statement Cash Flows'!F61</f>
        <v>0</v>
      </c>
      <c r="G64" s="195"/>
      <c r="H64" s="195"/>
      <c r="I64" s="195"/>
      <c r="J64" s="195"/>
      <c r="K64" s="195"/>
    </row>
    <row r="65" spans="1:11" ht="12.75">
      <c r="A65" s="195">
        <v>6</v>
      </c>
      <c r="B65" s="195"/>
      <c r="C65" s="195"/>
      <c r="D65" s="195" t="s">
        <v>204</v>
      </c>
      <c r="E65" s="195">
        <f>E32</f>
        <v>-45937</v>
      </c>
      <c r="F65" s="195">
        <f>F32</f>
        <v>-45937</v>
      </c>
      <c r="G65" s="195"/>
      <c r="H65" s="195"/>
      <c r="I65" s="195"/>
      <c r="J65" s="195"/>
      <c r="K65" s="195"/>
    </row>
    <row r="66" spans="1:11" ht="12.75">
      <c r="A66" s="195">
        <v>7</v>
      </c>
      <c r="B66" s="198"/>
      <c r="C66" s="294"/>
      <c r="D66" s="195" t="s">
        <v>379</v>
      </c>
      <c r="E66" s="195">
        <f>+'Income Statement Cash Flows'!E64</f>
        <v>-34124</v>
      </c>
      <c r="F66" s="195">
        <f>+'Income Statement Cash Flows'!F64</f>
        <v>-34124</v>
      </c>
      <c r="G66" s="195"/>
      <c r="H66" s="195"/>
      <c r="I66" s="195"/>
      <c r="J66" s="195"/>
      <c r="K66" s="195"/>
    </row>
    <row r="67" spans="1:11" ht="12.75">
      <c r="A67" s="195">
        <v>8</v>
      </c>
      <c r="B67" s="290"/>
      <c r="C67" s="289" t="s">
        <v>380</v>
      </c>
      <c r="D67" s="290"/>
      <c r="E67" s="290">
        <v>0</v>
      </c>
      <c r="F67" s="290">
        <f>E67*-1</f>
        <v>0</v>
      </c>
      <c r="G67" s="195"/>
      <c r="H67" s="195"/>
      <c r="I67" s="195"/>
      <c r="J67" s="195"/>
      <c r="K67" s="195"/>
    </row>
    <row r="68" spans="1:11" ht="12.75">
      <c r="A68" s="195">
        <v>9</v>
      </c>
      <c r="B68" s="195" t="s">
        <v>270</v>
      </c>
      <c r="C68" s="195"/>
      <c r="D68" s="195"/>
      <c r="E68" s="292">
        <f>SUM(E60:E67)</f>
        <v>270948.519459247</v>
      </c>
      <c r="F68" s="292">
        <f>SUM(F60:F67)</f>
        <v>204528.70756036905</v>
      </c>
      <c r="G68" s="292"/>
      <c r="H68" s="195"/>
      <c r="I68" s="292"/>
      <c r="J68" s="195"/>
      <c r="K68" s="292"/>
    </row>
    <row r="69" spans="1:11" ht="12.75">
      <c r="A69" s="195">
        <v>10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</row>
    <row r="70" spans="1:11" ht="12.75">
      <c r="A70" s="195">
        <v>11</v>
      </c>
      <c r="B70" s="195" t="s">
        <v>381</v>
      </c>
      <c r="C70" s="195"/>
      <c r="D70" s="195"/>
      <c r="E70" s="195"/>
      <c r="F70" s="195"/>
      <c r="G70" s="195"/>
      <c r="H70" s="195"/>
      <c r="I70" s="195"/>
      <c r="J70" s="195"/>
      <c r="K70" s="195"/>
    </row>
    <row r="71" spans="1:11" ht="12.75">
      <c r="A71" s="195">
        <v>12</v>
      </c>
      <c r="B71" s="195"/>
      <c r="C71" s="195" t="s">
        <v>271</v>
      </c>
      <c r="D71" s="195"/>
      <c r="E71" s="195"/>
      <c r="F71" s="195"/>
      <c r="G71" s="195"/>
      <c r="H71" s="195"/>
      <c r="I71" s="195"/>
      <c r="J71" s="195"/>
      <c r="K71" s="195"/>
    </row>
    <row r="72" spans="1:11" ht="12.75">
      <c r="A72" s="195">
        <v>13</v>
      </c>
      <c r="B72" s="195"/>
      <c r="C72" s="195"/>
      <c r="D72" s="195" t="s">
        <v>382</v>
      </c>
      <c r="E72" s="195">
        <f>+'Income Statement Cash Flows'!E69</f>
        <v>-401786</v>
      </c>
      <c r="F72" s="195">
        <f>+'Income Statement Cash Flows'!F69</f>
        <v>-339696</v>
      </c>
      <c r="G72" s="195"/>
      <c r="H72" s="195"/>
      <c r="I72" s="195"/>
      <c r="J72" s="195"/>
      <c r="K72" s="195"/>
    </row>
    <row r="73" spans="1:11" ht="12.75">
      <c r="A73" s="195">
        <v>14</v>
      </c>
      <c r="B73" s="195"/>
      <c r="C73" s="195"/>
      <c r="D73" s="195" t="s">
        <v>309</v>
      </c>
      <c r="E73" s="195">
        <f>+'Income Statement Cash Flows'!E70</f>
        <v>0</v>
      </c>
      <c r="F73" s="195">
        <f>+'Income Statement Cash Flows'!F70</f>
        <v>0</v>
      </c>
      <c r="G73" s="195"/>
      <c r="H73" s="195"/>
      <c r="I73" s="195"/>
      <c r="J73" s="195"/>
      <c r="K73" s="195"/>
    </row>
    <row r="74" spans="1:11" ht="12.75">
      <c r="A74" s="195">
        <v>15</v>
      </c>
      <c r="B74" s="195"/>
      <c r="C74" s="195"/>
      <c r="D74" s="195" t="s">
        <v>259</v>
      </c>
      <c r="E74" s="195">
        <f>+'Income Statement Cash Flows'!E71</f>
        <v>-51000</v>
      </c>
      <c r="F74" s="195">
        <f>+'Income Statement Cash Flows'!F71</f>
        <v>-44000</v>
      </c>
      <c r="G74" s="195"/>
      <c r="H74" s="195"/>
      <c r="I74" s="195"/>
      <c r="J74" s="195"/>
      <c r="K74" s="195"/>
    </row>
    <row r="75" spans="1:11" ht="12.75">
      <c r="A75" s="195">
        <v>16</v>
      </c>
      <c r="B75" s="195" t="s">
        <v>381</v>
      </c>
      <c r="C75" s="195"/>
      <c r="D75" s="195"/>
      <c r="E75" s="195">
        <f>SUM(E72:E74)</f>
        <v>-452786</v>
      </c>
      <c r="F75" s="195">
        <f>SUM(F72:F74)</f>
        <v>-383696</v>
      </c>
      <c r="G75" s="195"/>
      <c r="H75" s="195"/>
      <c r="I75" s="195"/>
      <c r="J75" s="195"/>
      <c r="K75" s="195"/>
    </row>
    <row r="76" spans="1:11" ht="12.75">
      <c r="A76" s="195">
        <v>17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</row>
    <row r="77" spans="1:11" ht="12.75">
      <c r="A77" s="195">
        <v>18</v>
      </c>
      <c r="B77" s="195" t="s">
        <v>383</v>
      </c>
      <c r="C77" s="195"/>
      <c r="D77" s="195"/>
      <c r="E77" s="195"/>
      <c r="F77" s="195"/>
      <c r="G77" s="195"/>
      <c r="H77" s="195"/>
      <c r="I77" s="195"/>
      <c r="J77" s="195"/>
      <c r="K77" s="195"/>
    </row>
    <row r="78" spans="1:11" ht="12.75">
      <c r="A78" s="195">
        <v>19</v>
      </c>
      <c r="C78" s="195" t="s">
        <v>384</v>
      </c>
      <c r="D78" s="195"/>
      <c r="E78" s="195">
        <f>E75*-1-E80-E83</f>
        <v>305600</v>
      </c>
      <c r="F78" s="195">
        <f>F75*-1-F80-F83</f>
        <v>319950</v>
      </c>
      <c r="G78" s="195"/>
      <c r="H78" s="195"/>
      <c r="I78" s="195"/>
      <c r="J78" s="195"/>
      <c r="K78" s="195"/>
    </row>
    <row r="79" spans="1:11" ht="12.75">
      <c r="A79" s="195">
        <v>21</v>
      </c>
      <c r="C79" s="195" t="s">
        <v>386</v>
      </c>
      <c r="D79" s="195"/>
      <c r="E79" s="195">
        <f>+'Income Statement Cash Flows'!E76</f>
        <v>-44150</v>
      </c>
      <c r="F79" s="195">
        <f>+'Income Statement Cash Flows'!F76</f>
        <v>-156250</v>
      </c>
      <c r="G79" s="195"/>
      <c r="H79" s="195"/>
      <c r="I79" s="195"/>
      <c r="J79" s="195"/>
      <c r="K79" s="195"/>
    </row>
    <row r="80" spans="1:11" ht="12.75">
      <c r="A80" s="195">
        <v>22</v>
      </c>
      <c r="C80" s="195" t="s">
        <v>277</v>
      </c>
      <c r="D80" s="195"/>
      <c r="E80" s="195">
        <f>+'Income Statement Cash Flows'!E77</f>
        <v>147186</v>
      </c>
      <c r="F80" s="195">
        <f>+'Income Statement Cash Flows'!F77</f>
        <v>63746</v>
      </c>
      <c r="G80" s="195"/>
      <c r="H80" s="195"/>
      <c r="I80" s="195"/>
      <c r="J80" s="195"/>
      <c r="K80" s="195"/>
    </row>
    <row r="81" spans="1:11" ht="12.75">
      <c r="A81" s="195">
        <v>23</v>
      </c>
      <c r="C81" s="195" t="s">
        <v>278</v>
      </c>
      <c r="D81" s="195"/>
      <c r="E81" s="195">
        <f>+'Income Statement Cash Flows'!E78</f>
        <v>-91070</v>
      </c>
      <c r="F81" s="195">
        <f>+'Income Statement Cash Flows'!F78</f>
        <v>-17371</v>
      </c>
      <c r="G81" s="195"/>
      <c r="H81" s="195"/>
      <c r="I81" s="195"/>
      <c r="J81" s="195"/>
      <c r="K81" s="195"/>
    </row>
    <row r="82" spans="1:11" ht="12.75">
      <c r="A82" s="195"/>
      <c r="C82" s="195" t="s">
        <v>661</v>
      </c>
      <c r="D82" s="195"/>
      <c r="E82" s="195">
        <f>+'Income Statement Cash Flows'!E79</f>
        <v>-220252</v>
      </c>
      <c r="F82" s="195">
        <f>+'Income Statement Cash Flows'!F79</f>
        <v>0</v>
      </c>
      <c r="G82" s="195"/>
      <c r="H82" s="195"/>
      <c r="I82" s="195"/>
      <c r="J82" s="195"/>
      <c r="K82" s="195"/>
    </row>
    <row r="83" spans="1:11" ht="12.75">
      <c r="A83" s="195"/>
      <c r="C83" s="195" t="s">
        <v>385</v>
      </c>
      <c r="D83" s="195"/>
      <c r="E83" s="195">
        <f>+'Income Statement Cash Flows'!E80</f>
        <v>0</v>
      </c>
      <c r="F83" s="195">
        <f>+'Revised Revenue Test'!F83</f>
        <v>0</v>
      </c>
      <c r="G83" s="195"/>
      <c r="H83" s="195"/>
      <c r="I83" s="195"/>
      <c r="J83" s="195"/>
      <c r="K83" s="195"/>
    </row>
    <row r="84" spans="1:11" ht="12.75">
      <c r="A84" s="195">
        <v>24</v>
      </c>
      <c r="C84" s="195" t="s">
        <v>279</v>
      </c>
      <c r="D84" s="195"/>
      <c r="E84" s="195">
        <f>+'Income Statement Cash Flows'!E81</f>
        <v>-27234</v>
      </c>
      <c r="F84" s="195">
        <f>+'Income Statement Cash Flows'!F81</f>
        <v>-56573</v>
      </c>
      <c r="G84" s="195"/>
      <c r="H84" s="195"/>
      <c r="I84" s="195"/>
      <c r="J84" s="195"/>
      <c r="K84" s="195"/>
    </row>
    <row r="85" spans="1:11" ht="12.75">
      <c r="A85" s="195">
        <v>25</v>
      </c>
      <c r="B85" s="195" t="s">
        <v>387</v>
      </c>
      <c r="C85" s="195"/>
      <c r="D85" s="195"/>
      <c r="E85" s="195">
        <f>SUM(E78:E84)</f>
        <v>70080</v>
      </c>
      <c r="F85" s="195">
        <f>SUM(F78:F84)</f>
        <v>153502</v>
      </c>
      <c r="G85" s="195"/>
      <c r="H85" s="195"/>
      <c r="I85" s="195"/>
      <c r="J85" s="195"/>
      <c r="K85" s="195"/>
    </row>
    <row r="86" spans="1:11" ht="12.75">
      <c r="A86" s="195">
        <v>26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</row>
    <row r="87" spans="1:11" ht="12.75">
      <c r="A87" s="195">
        <v>27</v>
      </c>
      <c r="B87" s="290" t="s">
        <v>281</v>
      </c>
      <c r="C87" s="290"/>
      <c r="D87" s="290"/>
      <c r="E87" s="290">
        <f>E68+E75+E85</f>
        <v>-111757.480540753</v>
      </c>
      <c r="F87" s="290">
        <f>F68+F75+F85</f>
        <v>-25665.292439630954</v>
      </c>
      <c r="G87" s="195"/>
      <c r="H87" s="195"/>
      <c r="I87" s="195"/>
      <c r="J87" s="195"/>
      <c r="K87" s="195"/>
    </row>
    <row r="88" spans="1:1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</row>
    <row r="89" spans="1:1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</row>
    <row r="90" spans="1:11" ht="12.75">
      <c r="A90" s="195"/>
      <c r="B90" s="195"/>
      <c r="C90" s="195"/>
      <c r="D90" s="297"/>
      <c r="E90" s="195"/>
      <c r="F90" s="195"/>
      <c r="G90" s="195"/>
      <c r="H90" s="195"/>
      <c r="I90" s="195"/>
      <c r="J90" s="195"/>
      <c r="K90" s="195"/>
    </row>
    <row r="91" spans="3:11" ht="12.75">
      <c r="C91" s="195"/>
      <c r="D91" s="297"/>
      <c r="E91" s="195"/>
      <c r="F91" s="195"/>
      <c r="G91" s="195"/>
      <c r="H91" s="195"/>
      <c r="I91" s="195"/>
      <c r="J91" s="195"/>
      <c r="K91" s="195"/>
    </row>
    <row r="92" spans="1:11" ht="12.75">
      <c r="A92" s="195"/>
      <c r="C92" s="195"/>
      <c r="D92" s="297"/>
      <c r="E92" s="195"/>
      <c r="F92" s="195"/>
      <c r="G92" s="195"/>
      <c r="H92" s="195"/>
      <c r="I92" s="195"/>
      <c r="J92" s="195"/>
      <c r="K92" s="195"/>
    </row>
    <row r="93" spans="1:11" ht="12.75">
      <c r="A93" s="195"/>
      <c r="B93" s="195"/>
      <c r="C93" s="195" t="s">
        <v>388</v>
      </c>
      <c r="D93" s="195"/>
      <c r="E93" s="195">
        <f>E59+E63+E62+E65+E66+E75+E85+'interest credit calculations'!C126</f>
        <v>-100020.67545929097</v>
      </c>
      <c r="F93" s="195">
        <f>F59+F63+F62+F65+F66+F75+F85+'interest credit calculations'!D126</f>
        <v>-14468.825992788945</v>
      </c>
      <c r="G93" s="195"/>
      <c r="H93" s="195"/>
      <c r="I93" s="195"/>
      <c r="J93" s="195"/>
      <c r="K93" s="195"/>
    </row>
    <row r="94" spans="1:11" ht="12.75">
      <c r="A94" s="195"/>
      <c r="B94" s="195"/>
      <c r="G94" s="195"/>
      <c r="H94" s="195"/>
      <c r="I94" s="195"/>
      <c r="J94" s="195"/>
      <c r="K94" s="195"/>
    </row>
    <row r="95" spans="5:7" ht="12.75">
      <c r="E95" s="195"/>
      <c r="F95" s="195"/>
      <c r="G95" s="195"/>
    </row>
    <row r="96" spans="5:7" ht="12.75">
      <c r="E96" s="195"/>
      <c r="F96" s="195"/>
      <c r="G96" s="195"/>
    </row>
    <row r="97" spans="2:7" ht="12.75">
      <c r="B97" s="195"/>
      <c r="C97" s="195"/>
      <c r="D97" s="195"/>
      <c r="E97" s="195"/>
      <c r="F97" s="195"/>
      <c r="G97" s="195"/>
    </row>
    <row r="98" spans="5:7" ht="12.75">
      <c r="E98" s="195"/>
      <c r="F98" s="195"/>
      <c r="G98" s="195"/>
    </row>
    <row r="99" spans="5:7" ht="12.75">
      <c r="E99" s="195"/>
      <c r="F99" s="195"/>
      <c r="G99" s="195"/>
    </row>
    <row r="100" spans="5:7" ht="12.75">
      <c r="E100" s="195"/>
      <c r="F100" s="195"/>
      <c r="G100" s="195"/>
    </row>
    <row r="101" spans="5:7" ht="12.75">
      <c r="E101" s="195"/>
      <c r="F101" s="195"/>
      <c r="G101" s="195"/>
    </row>
    <row r="102" spans="5:7" ht="12.75">
      <c r="E102" s="195"/>
      <c r="F102" s="195"/>
      <c r="G102" s="195"/>
    </row>
    <row r="103" spans="5:7" ht="12.75">
      <c r="E103" s="195"/>
      <c r="F103" s="195"/>
      <c r="G103" s="195"/>
    </row>
    <row r="104" spans="5:7" ht="12.75">
      <c r="E104" s="195"/>
      <c r="F104" s="195"/>
      <c r="G104" s="195"/>
    </row>
    <row r="105" spans="5:7" ht="12.75">
      <c r="E105" s="195"/>
      <c r="F105" s="195"/>
      <c r="G105" s="195"/>
    </row>
    <row r="106" spans="5:7" ht="12.75">
      <c r="E106" s="195"/>
      <c r="F106" s="195"/>
      <c r="G106" s="195"/>
    </row>
    <row r="107" spans="5:7" ht="12.75">
      <c r="E107" s="195"/>
      <c r="F107" s="195"/>
      <c r="G107" s="195"/>
    </row>
    <row r="108" spans="5:7" ht="12.75">
      <c r="E108" s="195"/>
      <c r="F108" s="195"/>
      <c r="G108" s="195"/>
    </row>
    <row r="109" spans="5:7" ht="12.75">
      <c r="E109" s="195"/>
      <c r="F109" s="195"/>
      <c r="G109" s="195"/>
    </row>
    <row r="110" spans="5:7" ht="12.75">
      <c r="E110" s="195"/>
      <c r="F110" s="195"/>
      <c r="G110" s="195"/>
    </row>
    <row r="111" spans="5:7" ht="12.75">
      <c r="E111" s="195"/>
      <c r="F111" s="195"/>
      <c r="G111" s="195"/>
    </row>
    <row r="112" spans="5:7" ht="12.75">
      <c r="E112" s="195"/>
      <c r="F112" s="195"/>
      <c r="G112" s="195"/>
    </row>
    <row r="113" spans="5:7" ht="12.75">
      <c r="E113" s="195"/>
      <c r="F113" s="195"/>
      <c r="G113" s="195"/>
    </row>
    <row r="114" spans="5:7" ht="12.75">
      <c r="E114" s="195"/>
      <c r="F114" s="195"/>
      <c r="G114" s="195"/>
    </row>
    <row r="115" spans="5:7" ht="12.75">
      <c r="E115" s="195"/>
      <c r="F115" s="195"/>
      <c r="G115" s="195"/>
    </row>
    <row r="116" spans="5:7" ht="12.75">
      <c r="E116" s="195"/>
      <c r="F116" s="195"/>
      <c r="G116" s="195"/>
    </row>
    <row r="117" spans="5:7" ht="12.75">
      <c r="E117" s="195"/>
      <c r="F117" s="195"/>
      <c r="G117" s="195"/>
    </row>
    <row r="118" spans="5:7" ht="12.75">
      <c r="E118" s="195"/>
      <c r="F118" s="195"/>
      <c r="G118" s="195"/>
    </row>
    <row r="119" spans="5:7" ht="12.75">
      <c r="E119" s="195"/>
      <c r="F119" s="195"/>
      <c r="G119" s="195"/>
    </row>
    <row r="120" spans="5:7" ht="12.75">
      <c r="E120" s="195"/>
      <c r="F120" s="195"/>
      <c r="G120" s="195"/>
    </row>
    <row r="121" spans="5:7" ht="12.75">
      <c r="E121" s="195"/>
      <c r="F121" s="195"/>
      <c r="G121" s="195"/>
    </row>
    <row r="122" spans="5:7" ht="12.75">
      <c r="E122" s="195"/>
      <c r="F122" s="195"/>
      <c r="G122" s="195"/>
    </row>
    <row r="123" spans="5:7" ht="12.75">
      <c r="E123" s="195"/>
      <c r="F123" s="195"/>
      <c r="G123" s="195"/>
    </row>
    <row r="124" spans="5:7" ht="12.75">
      <c r="E124" s="195"/>
      <c r="F124" s="195"/>
      <c r="G124" s="195"/>
    </row>
    <row r="125" spans="5:7" ht="12.75">
      <c r="E125" s="195"/>
      <c r="F125" s="195"/>
      <c r="G125" s="195"/>
    </row>
    <row r="126" spans="5:7" ht="12.75">
      <c r="E126" s="195"/>
      <c r="F126" s="195"/>
      <c r="G126" s="195"/>
    </row>
    <row r="127" spans="5:7" ht="12.75">
      <c r="E127" s="195"/>
      <c r="F127" s="195"/>
      <c r="G127" s="195"/>
    </row>
    <row r="128" spans="5:7" ht="12.75">
      <c r="E128" s="195"/>
      <c r="F128" s="195"/>
      <c r="G128" s="195"/>
    </row>
    <row r="129" spans="5:7" ht="12.75">
      <c r="E129" s="195"/>
      <c r="F129" s="195"/>
      <c r="G129" s="195"/>
    </row>
    <row r="130" spans="5:7" ht="12.75">
      <c r="E130" s="195"/>
      <c r="F130" s="195"/>
      <c r="G130" s="195"/>
    </row>
    <row r="131" spans="5:7" ht="12.75">
      <c r="E131" s="195"/>
      <c r="F131" s="195"/>
      <c r="G131" s="195"/>
    </row>
    <row r="132" spans="5:7" ht="12.75">
      <c r="E132" s="195"/>
      <c r="F132" s="195"/>
      <c r="G132" s="195"/>
    </row>
    <row r="133" spans="5:7" ht="12.75">
      <c r="E133" s="195"/>
      <c r="F133" s="195"/>
      <c r="G133" s="195"/>
    </row>
    <row r="134" spans="5:7" ht="12.75">
      <c r="E134" s="195"/>
      <c r="F134" s="195"/>
      <c r="G134" s="195"/>
    </row>
    <row r="135" spans="5:7" ht="12.75">
      <c r="E135" s="195"/>
      <c r="F135" s="195"/>
      <c r="G135" s="195"/>
    </row>
    <row r="136" spans="5:7" ht="12.75">
      <c r="E136" s="195"/>
      <c r="F136" s="195"/>
      <c r="G136" s="195"/>
    </row>
    <row r="137" spans="5:7" ht="12.75">
      <c r="E137" s="195"/>
      <c r="F137" s="195"/>
      <c r="G137" s="195"/>
    </row>
    <row r="138" spans="5:7" ht="12.75">
      <c r="E138" s="195"/>
      <c r="F138" s="195"/>
      <c r="G138" s="195"/>
    </row>
    <row r="139" spans="5:7" ht="12.75">
      <c r="E139" s="195"/>
      <c r="F139" s="195"/>
      <c r="G139" s="195"/>
    </row>
    <row r="140" spans="5:7" ht="12.75">
      <c r="E140" s="195"/>
      <c r="F140" s="195"/>
      <c r="G140" s="195"/>
    </row>
    <row r="141" spans="5:7" ht="12.75">
      <c r="E141" s="195"/>
      <c r="F141" s="195"/>
      <c r="G141" s="195"/>
    </row>
    <row r="142" spans="5:7" ht="12.75">
      <c r="E142" s="195"/>
      <c r="F142" s="195"/>
      <c r="G142" s="195"/>
    </row>
    <row r="143" spans="5:7" ht="12.75">
      <c r="E143" s="195"/>
      <c r="F143" s="195"/>
      <c r="G143" s="195"/>
    </row>
    <row r="144" spans="5:7" ht="12.75">
      <c r="E144" s="195"/>
      <c r="F144" s="195"/>
      <c r="G144" s="195"/>
    </row>
    <row r="145" spans="5:7" ht="12.75">
      <c r="E145" s="195"/>
      <c r="F145" s="195"/>
      <c r="G145" s="195"/>
    </row>
    <row r="146" spans="5:7" ht="12.75">
      <c r="E146" s="195"/>
      <c r="F146" s="195"/>
      <c r="G146" s="195"/>
    </row>
  </sheetData>
  <mergeCells count="6">
    <mergeCell ref="A54:F54"/>
    <mergeCell ref="A1:F1"/>
    <mergeCell ref="A2:F2"/>
    <mergeCell ref="A3:F3"/>
    <mergeCell ref="A52:F52"/>
    <mergeCell ref="A53:F5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J24"/>
  <sheetViews>
    <sheetView workbookViewId="0" topLeftCell="A1">
      <selection activeCell="O22" sqref="O22"/>
    </sheetView>
  </sheetViews>
  <sheetFormatPr defaultColWidth="9.140625" defaultRowHeight="12.75"/>
  <cols>
    <col min="3" max="3" width="28.57421875" style="0" customWidth="1"/>
    <col min="4" max="4" width="12.8515625" style="0" bestFit="1" customWidth="1"/>
  </cols>
  <sheetData>
    <row r="1" ht="12.75">
      <c r="A1" t="s">
        <v>156</v>
      </c>
    </row>
    <row r="5" spans="4:5" ht="12.75">
      <c r="D5">
        <v>2018</v>
      </c>
      <c r="E5">
        <v>2019</v>
      </c>
    </row>
    <row r="6" spans="3:9" ht="27.75" customHeight="1">
      <c r="C6" t="s">
        <v>391</v>
      </c>
      <c r="D6" s="140">
        <v>0</v>
      </c>
      <c r="E6" s="140">
        <v>0</v>
      </c>
      <c r="I6" s="43"/>
    </row>
    <row r="7" spans="3:10" ht="12.75">
      <c r="C7" t="s">
        <v>392</v>
      </c>
      <c r="D7" s="140">
        <f>21/SUM(21+12.8)</f>
        <v>0.6213017751479291</v>
      </c>
      <c r="E7" s="140">
        <f>21/SUM(21+12.8)</f>
        <v>0.6213017751479291</v>
      </c>
      <c r="I7" s="43"/>
      <c r="J7" s="43"/>
    </row>
    <row r="8" spans="3:9" ht="12.75">
      <c r="C8" s="43" t="s">
        <v>699</v>
      </c>
      <c r="D8" s="10">
        <f>1-D7</f>
        <v>0.37869822485207094</v>
      </c>
      <c r="E8" s="10">
        <f>1-E7</f>
        <v>0.37869822485207094</v>
      </c>
      <c r="I8" s="43"/>
    </row>
    <row r="9" ht="12.75">
      <c r="I9" s="43"/>
    </row>
    <row r="10" ht="12.75">
      <c r="I10" s="43"/>
    </row>
    <row r="18" spans="3:5" ht="12.75">
      <c r="C18" s="1"/>
      <c r="D18" s="2"/>
      <c r="E18" s="2"/>
    </row>
    <row r="19" spans="3:5" ht="12.75">
      <c r="C19" s="1"/>
      <c r="D19" s="2"/>
      <c r="E19" s="2"/>
    </row>
    <row r="20" spans="3:5" ht="12.75">
      <c r="C20" s="1"/>
      <c r="D20" s="2"/>
      <c r="E20" s="2"/>
    </row>
    <row r="21" spans="3:5" ht="12.75">
      <c r="C21" s="1"/>
      <c r="D21" s="2"/>
      <c r="E21" s="2"/>
    </row>
    <row r="22" spans="3:5" ht="12.75">
      <c r="C22" s="1"/>
      <c r="D22" s="2"/>
      <c r="E22" s="2"/>
    </row>
    <row r="23" spans="3:5" ht="12.75">
      <c r="C23" s="1"/>
      <c r="D23" s="2"/>
      <c r="E23" s="2"/>
    </row>
    <row r="24" spans="3:5" ht="12.75">
      <c r="C24" s="1"/>
      <c r="D24" s="2"/>
      <c r="E2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T12"/>
  <sheetViews>
    <sheetView workbookViewId="0" topLeftCell="A1">
      <selection activeCell="F7" sqref="F7"/>
    </sheetView>
  </sheetViews>
  <sheetFormatPr defaultColWidth="9.140625" defaultRowHeight="12.75"/>
  <cols>
    <col min="4" max="4" width="34.57421875" style="0" bestFit="1" customWidth="1"/>
    <col min="5" max="5" width="15.421875" style="0" hidden="1" customWidth="1"/>
    <col min="6" max="7" width="15.421875" style="0" bestFit="1" customWidth="1"/>
    <col min="8" max="20" width="15.00390625" style="0" bestFit="1" customWidth="1"/>
  </cols>
  <sheetData>
    <row r="1" spans="1:7" ht="18.75">
      <c r="A1" s="141" t="s">
        <v>443</v>
      </c>
      <c r="B1" s="141"/>
      <c r="C1" s="141"/>
      <c r="D1" s="141"/>
      <c r="E1" s="141"/>
      <c r="F1" s="141"/>
      <c r="G1" s="141"/>
    </row>
    <row r="4" spans="5:7" ht="30.75" customHeight="1">
      <c r="E4" t="s">
        <v>434</v>
      </c>
      <c r="F4" t="s">
        <v>434</v>
      </c>
      <c r="G4" t="s">
        <v>434</v>
      </c>
    </row>
    <row r="5" spans="5:20" ht="24.75" customHeight="1">
      <c r="E5" s="175"/>
      <c r="F5" s="175">
        <v>2018</v>
      </c>
      <c r="G5" s="175">
        <v>2019</v>
      </c>
      <c r="H5" s="175">
        <v>2020</v>
      </c>
      <c r="I5" s="175">
        <v>2021</v>
      </c>
      <c r="J5" s="175">
        <v>2022</v>
      </c>
      <c r="K5" s="175">
        <v>2023</v>
      </c>
      <c r="L5" s="175">
        <v>2024</v>
      </c>
      <c r="M5" s="175">
        <v>2025</v>
      </c>
      <c r="N5" s="175">
        <v>2026</v>
      </c>
      <c r="O5" s="175">
        <v>2027</v>
      </c>
      <c r="P5" s="175">
        <v>2028</v>
      </c>
      <c r="Q5" s="175">
        <v>2029</v>
      </c>
      <c r="R5" s="175">
        <v>2030</v>
      </c>
      <c r="S5" s="175">
        <v>2029</v>
      </c>
      <c r="T5" s="175">
        <v>2030</v>
      </c>
    </row>
    <row r="6" spans="5:7" ht="37.5" customHeight="1">
      <c r="E6" s="8" t="s">
        <v>157</v>
      </c>
      <c r="F6" s="8" t="s">
        <v>157</v>
      </c>
      <c r="G6" s="8" t="s">
        <v>157</v>
      </c>
    </row>
    <row r="7" spans="1:20" ht="12.75">
      <c r="A7" t="s">
        <v>158</v>
      </c>
      <c r="B7" t="s">
        <v>159</v>
      </c>
      <c r="C7">
        <v>1162</v>
      </c>
      <c r="D7" t="s">
        <v>161</v>
      </c>
      <c r="E7" s="8">
        <v>650312.04</v>
      </c>
      <c r="F7" s="304">
        <v>1005977</v>
      </c>
      <c r="G7" s="304">
        <v>731721</v>
      </c>
      <c r="H7" s="8">
        <v>789028.9096318318</v>
      </c>
      <c r="I7" s="8">
        <v>846119.9162571639</v>
      </c>
      <c r="J7" s="8">
        <v>863380.787790476</v>
      </c>
      <c r="K7" s="8">
        <v>881598.1116744704</v>
      </c>
      <c r="L7" s="8">
        <v>900288.0143886886</v>
      </c>
      <c r="M7" s="8">
        <v>919194.0334145644</v>
      </c>
      <c r="N7" s="8">
        <v>938497.1085658103</v>
      </c>
      <c r="O7" s="8">
        <v>958393.239243118</v>
      </c>
      <c r="P7" s="8">
        <v>978902.8795123857</v>
      </c>
      <c r="Q7" s="8">
        <v>999851.3831186389</v>
      </c>
      <c r="R7" s="8">
        <v>1021348.2130299245</v>
      </c>
      <c r="S7" s="8">
        <v>777074.1698809153</v>
      </c>
      <c r="T7" s="8">
        <v>791527.744555488</v>
      </c>
    </row>
    <row r="8" spans="1:20" ht="12.75">
      <c r="A8" t="s">
        <v>158</v>
      </c>
      <c r="B8" t="s">
        <v>159</v>
      </c>
      <c r="C8">
        <v>1164</v>
      </c>
      <c r="D8" t="s">
        <v>160</v>
      </c>
      <c r="E8" s="8">
        <v>9454.45</v>
      </c>
      <c r="F8" s="304">
        <v>1548</v>
      </c>
      <c r="G8" s="304">
        <v>1592</v>
      </c>
      <c r="H8" s="8">
        <v>1624.8641950258127</v>
      </c>
      <c r="I8" s="8">
        <v>1637.3020633144583</v>
      </c>
      <c r="J8" s="8">
        <v>1670.7033560109417</v>
      </c>
      <c r="K8" s="8">
        <v>1705.9551240634262</v>
      </c>
      <c r="L8" s="8">
        <v>1742.1211173596566</v>
      </c>
      <c r="M8" s="8">
        <v>1778.7059695587698</v>
      </c>
      <c r="N8" s="8">
        <v>1816.0586009461006</v>
      </c>
      <c r="O8" s="8">
        <v>1854.5592303043395</v>
      </c>
      <c r="P8" s="8">
        <v>1894.246497753679</v>
      </c>
      <c r="Q8" s="8">
        <v>1934.7834614460435</v>
      </c>
      <c r="R8" s="8">
        <v>1976.3814828388838</v>
      </c>
      <c r="S8" s="8">
        <v>11963.933843525941</v>
      </c>
      <c r="T8" s="8">
        <v>12186.462502348279</v>
      </c>
    </row>
    <row r="9" spans="5:20" ht="12.75">
      <c r="E9" s="8"/>
      <c r="F9" s="304"/>
      <c r="G9" s="30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145"/>
      <c r="B10" s="145"/>
      <c r="C10" s="145"/>
      <c r="D10" s="145"/>
      <c r="E10" s="176"/>
      <c r="F10" s="352"/>
      <c r="G10" s="35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6:7" ht="12.75">
      <c r="F11" s="115"/>
      <c r="G11" s="115"/>
    </row>
    <row r="12" spans="4:20" ht="12.75">
      <c r="D12" t="s">
        <v>163</v>
      </c>
      <c r="E12" s="16">
        <f>+E7+E8</f>
        <v>659766.49</v>
      </c>
      <c r="F12" s="353">
        <f>+F7+F8</f>
        <v>1007525</v>
      </c>
      <c r="G12" s="353">
        <f aca="true" t="shared" si="0" ref="G12:T12">+G7+G8</f>
        <v>733313</v>
      </c>
      <c r="H12" s="16">
        <f t="shared" si="0"/>
        <v>790653.7738268576</v>
      </c>
      <c r="I12" s="16">
        <f t="shared" si="0"/>
        <v>847757.2183204783</v>
      </c>
      <c r="J12" s="16">
        <f t="shared" si="0"/>
        <v>865051.491146487</v>
      </c>
      <c r="K12" s="16">
        <f t="shared" si="0"/>
        <v>883304.0667985338</v>
      </c>
      <c r="L12" s="16">
        <f t="shared" si="0"/>
        <v>902030.1355060482</v>
      </c>
      <c r="M12" s="16">
        <f t="shared" si="0"/>
        <v>920972.7393841232</v>
      </c>
      <c r="N12" s="16">
        <f t="shared" si="0"/>
        <v>940313.1671667563</v>
      </c>
      <c r="O12" s="16">
        <f t="shared" si="0"/>
        <v>960247.7984734223</v>
      </c>
      <c r="P12" s="16">
        <f t="shared" si="0"/>
        <v>980797.1260101394</v>
      </c>
      <c r="Q12" s="16">
        <f t="shared" si="0"/>
        <v>1001786.166580085</v>
      </c>
      <c r="R12" s="16">
        <f t="shared" si="0"/>
        <v>1023324.5945127634</v>
      </c>
      <c r="S12" s="16">
        <f t="shared" si="0"/>
        <v>789038.1037244413</v>
      </c>
      <c r="T12" s="16">
        <f t="shared" si="0"/>
        <v>803714.2070578362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E15"/>
  <sheetViews>
    <sheetView workbookViewId="0" topLeftCell="A1">
      <selection activeCell="D13" sqref="D13:E13"/>
    </sheetView>
  </sheetViews>
  <sheetFormatPr defaultColWidth="9.140625" defaultRowHeight="12.75"/>
  <cols>
    <col min="1" max="1" width="32.28125" style="0" bestFit="1" customWidth="1"/>
    <col min="2" max="2" width="5.421875" style="0" bestFit="1" customWidth="1"/>
    <col min="3" max="5" width="14.00390625" style="0" bestFit="1" customWidth="1"/>
  </cols>
  <sheetData>
    <row r="1" spans="1:5" ht="15" customHeight="1">
      <c r="A1" s="141" t="s">
        <v>433</v>
      </c>
      <c r="B1" s="142"/>
      <c r="C1" s="142"/>
      <c r="D1" s="142"/>
      <c r="E1" s="142"/>
    </row>
    <row r="2" ht="15" customHeight="1"/>
    <row r="3" ht="15" customHeight="1"/>
    <row r="4" ht="15" customHeight="1"/>
    <row r="5" spans="3:5" ht="15" customHeight="1">
      <c r="C5" t="s">
        <v>692</v>
      </c>
      <c r="D5" t="s">
        <v>692</v>
      </c>
      <c r="E5" t="s">
        <v>692</v>
      </c>
    </row>
    <row r="6" spans="3:5" ht="15" customHeight="1">
      <c r="C6" s="53">
        <v>2017</v>
      </c>
      <c r="D6" s="53">
        <v>2018</v>
      </c>
      <c r="E6" s="53">
        <v>2019</v>
      </c>
    </row>
    <row r="7" spans="1:5" ht="15" customHeight="1">
      <c r="A7" t="s">
        <v>435</v>
      </c>
      <c r="B7" t="s">
        <v>436</v>
      </c>
      <c r="C7" s="143">
        <v>1358930</v>
      </c>
      <c r="D7" s="143">
        <v>1383694.26</v>
      </c>
      <c r="E7" s="143">
        <v>1412940.65</v>
      </c>
    </row>
    <row r="8" spans="1:5" ht="15" customHeight="1">
      <c r="A8" t="s">
        <v>435</v>
      </c>
      <c r="B8" t="s">
        <v>437</v>
      </c>
      <c r="C8" s="143">
        <v>2221769</v>
      </c>
      <c r="D8" s="143">
        <v>2240766.01</v>
      </c>
      <c r="E8" s="143">
        <v>2373027.22</v>
      </c>
    </row>
    <row r="9" spans="1:5" ht="15" customHeight="1">
      <c r="A9" s="115" t="s">
        <v>435</v>
      </c>
      <c r="B9" s="115" t="s">
        <v>438</v>
      </c>
      <c r="C9" s="354">
        <v>10074991</v>
      </c>
      <c r="D9" s="354">
        <v>10537004.02</v>
      </c>
      <c r="E9" s="354">
        <v>10867840.22</v>
      </c>
    </row>
    <row r="10" spans="1:5" ht="15" customHeight="1">
      <c r="A10" t="s">
        <v>435</v>
      </c>
      <c r="B10" t="s">
        <v>439</v>
      </c>
      <c r="C10" s="143">
        <v>16660303</v>
      </c>
      <c r="D10" s="143">
        <v>17347829.58</v>
      </c>
      <c r="E10" s="143">
        <v>18039111.5</v>
      </c>
    </row>
    <row r="11" spans="1:5" ht="15" customHeight="1">
      <c r="A11" t="s">
        <v>435</v>
      </c>
      <c r="B11" t="s">
        <v>440</v>
      </c>
      <c r="C11" s="143">
        <v>8646081</v>
      </c>
      <c r="D11" s="143">
        <v>8996401.13</v>
      </c>
      <c r="E11" s="143">
        <v>9376612.12</v>
      </c>
    </row>
    <row r="12" spans="1:5" ht="15" customHeight="1">
      <c r="A12" t="s">
        <v>435</v>
      </c>
      <c r="B12" t="s">
        <v>441</v>
      </c>
      <c r="C12" s="143">
        <v>11499824</v>
      </c>
      <c r="D12" s="143">
        <v>11856111.36</v>
      </c>
      <c r="E12" s="143">
        <v>12226234.97</v>
      </c>
    </row>
    <row r="13" spans="1:5" ht="15" customHeight="1">
      <c r="A13" s="144" t="s">
        <v>435</v>
      </c>
      <c r="B13" s="144" t="s">
        <v>163</v>
      </c>
      <c r="C13" s="355">
        <v>50461899</v>
      </c>
      <c r="D13" s="355">
        <f>SUM(D7:D12)</f>
        <v>52361806.36</v>
      </c>
      <c r="E13" s="355">
        <f>SUM(E7:E12)</f>
        <v>54295766.68</v>
      </c>
    </row>
    <row r="14" ht="15" customHeight="1"/>
    <row r="15" spans="1:5" ht="15">
      <c r="A15" s="145" t="s">
        <v>442</v>
      </c>
      <c r="B15" s="144"/>
      <c r="C15" s="356">
        <f>C9/C13</f>
        <v>0.1996554073401003</v>
      </c>
      <c r="D15" s="356">
        <f aca="true" t="shared" si="0" ref="D15:E15">D9/D13</f>
        <v>0.20123454006830027</v>
      </c>
      <c r="E15" s="356">
        <f t="shared" si="0"/>
        <v>0.20015999192075504</v>
      </c>
    </row>
    <row r="16" ht="15" customHeight="1"/>
    <row r="17" ht="15" customHeight="1"/>
    <row r="18" ht="15" customHeight="1"/>
    <row r="19" ht="1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N281"/>
  <sheetViews>
    <sheetView workbookViewId="0" topLeftCell="A37">
      <selection activeCell="M64" sqref="M64"/>
    </sheetView>
  </sheetViews>
  <sheetFormatPr defaultColWidth="9.140625" defaultRowHeight="12.75"/>
  <cols>
    <col min="1" max="1" width="45.8515625" style="53" customWidth="1"/>
    <col min="2" max="2" width="10.8515625" style="53" customWidth="1"/>
    <col min="3" max="4" width="10.421875" style="53" customWidth="1"/>
    <col min="5" max="6" width="11.7109375" style="53" customWidth="1"/>
    <col min="7" max="7" width="9.140625" style="53" customWidth="1"/>
    <col min="8" max="8" width="3.140625" style="53" customWidth="1"/>
    <col min="9" max="9" width="3.7109375" style="53" customWidth="1"/>
    <col min="10" max="10" width="18.28125" style="53" customWidth="1"/>
    <col min="11" max="11" width="11.7109375" style="53" customWidth="1"/>
    <col min="12" max="12" width="13.00390625" style="53" customWidth="1"/>
    <col min="13" max="13" width="11.140625" style="53" customWidth="1"/>
    <col min="14" max="256" width="9.140625" style="53" customWidth="1"/>
    <col min="257" max="257" width="45.8515625" style="53" customWidth="1"/>
    <col min="258" max="258" width="10.8515625" style="53" customWidth="1"/>
    <col min="259" max="260" width="10.421875" style="53" customWidth="1"/>
    <col min="261" max="262" width="11.7109375" style="53" customWidth="1"/>
    <col min="263" max="263" width="9.140625" style="53" customWidth="1"/>
    <col min="264" max="264" width="3.140625" style="53" customWidth="1"/>
    <col min="265" max="265" width="3.7109375" style="53" customWidth="1"/>
    <col min="266" max="266" width="18.28125" style="53" customWidth="1"/>
    <col min="267" max="267" width="11.7109375" style="53" customWidth="1"/>
    <col min="268" max="268" width="13.00390625" style="53" customWidth="1"/>
    <col min="269" max="269" width="11.140625" style="53" customWidth="1"/>
    <col min="270" max="512" width="9.140625" style="53" customWidth="1"/>
    <col min="513" max="513" width="45.8515625" style="53" customWidth="1"/>
    <col min="514" max="514" width="10.8515625" style="53" customWidth="1"/>
    <col min="515" max="516" width="10.421875" style="53" customWidth="1"/>
    <col min="517" max="518" width="11.7109375" style="53" customWidth="1"/>
    <col min="519" max="519" width="9.140625" style="53" customWidth="1"/>
    <col min="520" max="520" width="3.140625" style="53" customWidth="1"/>
    <col min="521" max="521" width="3.7109375" style="53" customWidth="1"/>
    <col min="522" max="522" width="18.28125" style="53" customWidth="1"/>
    <col min="523" max="523" width="11.7109375" style="53" customWidth="1"/>
    <col min="524" max="524" width="13.00390625" style="53" customWidth="1"/>
    <col min="525" max="525" width="11.140625" style="53" customWidth="1"/>
    <col min="526" max="768" width="9.140625" style="53" customWidth="1"/>
    <col min="769" max="769" width="45.8515625" style="53" customWidth="1"/>
    <col min="770" max="770" width="10.8515625" style="53" customWidth="1"/>
    <col min="771" max="772" width="10.421875" style="53" customWidth="1"/>
    <col min="773" max="774" width="11.7109375" style="53" customWidth="1"/>
    <col min="775" max="775" width="9.140625" style="53" customWidth="1"/>
    <col min="776" max="776" width="3.140625" style="53" customWidth="1"/>
    <col min="777" max="777" width="3.7109375" style="53" customWidth="1"/>
    <col min="778" max="778" width="18.28125" style="53" customWidth="1"/>
    <col min="779" max="779" width="11.7109375" style="53" customWidth="1"/>
    <col min="780" max="780" width="13.00390625" style="53" customWidth="1"/>
    <col min="781" max="781" width="11.140625" style="53" customWidth="1"/>
    <col min="782" max="1024" width="9.140625" style="53" customWidth="1"/>
    <col min="1025" max="1025" width="45.8515625" style="53" customWidth="1"/>
    <col min="1026" max="1026" width="10.8515625" style="53" customWidth="1"/>
    <col min="1027" max="1028" width="10.421875" style="53" customWidth="1"/>
    <col min="1029" max="1030" width="11.7109375" style="53" customWidth="1"/>
    <col min="1031" max="1031" width="9.140625" style="53" customWidth="1"/>
    <col min="1032" max="1032" width="3.140625" style="53" customWidth="1"/>
    <col min="1033" max="1033" width="3.7109375" style="53" customWidth="1"/>
    <col min="1034" max="1034" width="18.28125" style="53" customWidth="1"/>
    <col min="1035" max="1035" width="11.7109375" style="53" customWidth="1"/>
    <col min="1036" max="1036" width="13.00390625" style="53" customWidth="1"/>
    <col min="1037" max="1037" width="11.140625" style="53" customWidth="1"/>
    <col min="1038" max="1280" width="9.140625" style="53" customWidth="1"/>
    <col min="1281" max="1281" width="45.8515625" style="53" customWidth="1"/>
    <col min="1282" max="1282" width="10.8515625" style="53" customWidth="1"/>
    <col min="1283" max="1284" width="10.421875" style="53" customWidth="1"/>
    <col min="1285" max="1286" width="11.7109375" style="53" customWidth="1"/>
    <col min="1287" max="1287" width="9.140625" style="53" customWidth="1"/>
    <col min="1288" max="1288" width="3.140625" style="53" customWidth="1"/>
    <col min="1289" max="1289" width="3.7109375" style="53" customWidth="1"/>
    <col min="1290" max="1290" width="18.28125" style="53" customWidth="1"/>
    <col min="1291" max="1291" width="11.7109375" style="53" customWidth="1"/>
    <col min="1292" max="1292" width="13.00390625" style="53" customWidth="1"/>
    <col min="1293" max="1293" width="11.140625" style="53" customWidth="1"/>
    <col min="1294" max="1536" width="9.140625" style="53" customWidth="1"/>
    <col min="1537" max="1537" width="45.8515625" style="53" customWidth="1"/>
    <col min="1538" max="1538" width="10.8515625" style="53" customWidth="1"/>
    <col min="1539" max="1540" width="10.421875" style="53" customWidth="1"/>
    <col min="1541" max="1542" width="11.7109375" style="53" customWidth="1"/>
    <col min="1543" max="1543" width="9.140625" style="53" customWidth="1"/>
    <col min="1544" max="1544" width="3.140625" style="53" customWidth="1"/>
    <col min="1545" max="1545" width="3.7109375" style="53" customWidth="1"/>
    <col min="1546" max="1546" width="18.28125" style="53" customWidth="1"/>
    <col min="1547" max="1547" width="11.7109375" style="53" customWidth="1"/>
    <col min="1548" max="1548" width="13.00390625" style="53" customWidth="1"/>
    <col min="1549" max="1549" width="11.140625" style="53" customWidth="1"/>
    <col min="1550" max="1792" width="9.140625" style="53" customWidth="1"/>
    <col min="1793" max="1793" width="45.8515625" style="53" customWidth="1"/>
    <col min="1794" max="1794" width="10.8515625" style="53" customWidth="1"/>
    <col min="1795" max="1796" width="10.421875" style="53" customWidth="1"/>
    <col min="1797" max="1798" width="11.7109375" style="53" customWidth="1"/>
    <col min="1799" max="1799" width="9.140625" style="53" customWidth="1"/>
    <col min="1800" max="1800" width="3.140625" style="53" customWidth="1"/>
    <col min="1801" max="1801" width="3.7109375" style="53" customWidth="1"/>
    <col min="1802" max="1802" width="18.28125" style="53" customWidth="1"/>
    <col min="1803" max="1803" width="11.7109375" style="53" customWidth="1"/>
    <col min="1804" max="1804" width="13.00390625" style="53" customWidth="1"/>
    <col min="1805" max="1805" width="11.140625" style="53" customWidth="1"/>
    <col min="1806" max="2048" width="9.140625" style="53" customWidth="1"/>
    <col min="2049" max="2049" width="45.8515625" style="53" customWidth="1"/>
    <col min="2050" max="2050" width="10.8515625" style="53" customWidth="1"/>
    <col min="2051" max="2052" width="10.421875" style="53" customWidth="1"/>
    <col min="2053" max="2054" width="11.7109375" style="53" customWidth="1"/>
    <col min="2055" max="2055" width="9.140625" style="53" customWidth="1"/>
    <col min="2056" max="2056" width="3.140625" style="53" customWidth="1"/>
    <col min="2057" max="2057" width="3.7109375" style="53" customWidth="1"/>
    <col min="2058" max="2058" width="18.28125" style="53" customWidth="1"/>
    <col min="2059" max="2059" width="11.7109375" style="53" customWidth="1"/>
    <col min="2060" max="2060" width="13.00390625" style="53" customWidth="1"/>
    <col min="2061" max="2061" width="11.140625" style="53" customWidth="1"/>
    <col min="2062" max="2304" width="9.140625" style="53" customWidth="1"/>
    <col min="2305" max="2305" width="45.8515625" style="53" customWidth="1"/>
    <col min="2306" max="2306" width="10.8515625" style="53" customWidth="1"/>
    <col min="2307" max="2308" width="10.421875" style="53" customWidth="1"/>
    <col min="2309" max="2310" width="11.7109375" style="53" customWidth="1"/>
    <col min="2311" max="2311" width="9.140625" style="53" customWidth="1"/>
    <col min="2312" max="2312" width="3.140625" style="53" customWidth="1"/>
    <col min="2313" max="2313" width="3.7109375" style="53" customWidth="1"/>
    <col min="2314" max="2314" width="18.28125" style="53" customWidth="1"/>
    <col min="2315" max="2315" width="11.7109375" style="53" customWidth="1"/>
    <col min="2316" max="2316" width="13.00390625" style="53" customWidth="1"/>
    <col min="2317" max="2317" width="11.140625" style="53" customWidth="1"/>
    <col min="2318" max="2560" width="9.140625" style="53" customWidth="1"/>
    <col min="2561" max="2561" width="45.8515625" style="53" customWidth="1"/>
    <col min="2562" max="2562" width="10.8515625" style="53" customWidth="1"/>
    <col min="2563" max="2564" width="10.421875" style="53" customWidth="1"/>
    <col min="2565" max="2566" width="11.7109375" style="53" customWidth="1"/>
    <col min="2567" max="2567" width="9.140625" style="53" customWidth="1"/>
    <col min="2568" max="2568" width="3.140625" style="53" customWidth="1"/>
    <col min="2569" max="2569" width="3.7109375" style="53" customWidth="1"/>
    <col min="2570" max="2570" width="18.28125" style="53" customWidth="1"/>
    <col min="2571" max="2571" width="11.7109375" style="53" customWidth="1"/>
    <col min="2572" max="2572" width="13.00390625" style="53" customWidth="1"/>
    <col min="2573" max="2573" width="11.140625" style="53" customWidth="1"/>
    <col min="2574" max="2816" width="9.140625" style="53" customWidth="1"/>
    <col min="2817" max="2817" width="45.8515625" style="53" customWidth="1"/>
    <col min="2818" max="2818" width="10.8515625" style="53" customWidth="1"/>
    <col min="2819" max="2820" width="10.421875" style="53" customWidth="1"/>
    <col min="2821" max="2822" width="11.7109375" style="53" customWidth="1"/>
    <col min="2823" max="2823" width="9.140625" style="53" customWidth="1"/>
    <col min="2824" max="2824" width="3.140625" style="53" customWidth="1"/>
    <col min="2825" max="2825" width="3.7109375" style="53" customWidth="1"/>
    <col min="2826" max="2826" width="18.28125" style="53" customWidth="1"/>
    <col min="2827" max="2827" width="11.7109375" style="53" customWidth="1"/>
    <col min="2828" max="2828" width="13.00390625" style="53" customWidth="1"/>
    <col min="2829" max="2829" width="11.140625" style="53" customWidth="1"/>
    <col min="2830" max="3072" width="9.140625" style="53" customWidth="1"/>
    <col min="3073" max="3073" width="45.8515625" style="53" customWidth="1"/>
    <col min="3074" max="3074" width="10.8515625" style="53" customWidth="1"/>
    <col min="3075" max="3076" width="10.421875" style="53" customWidth="1"/>
    <col min="3077" max="3078" width="11.7109375" style="53" customWidth="1"/>
    <col min="3079" max="3079" width="9.140625" style="53" customWidth="1"/>
    <col min="3080" max="3080" width="3.140625" style="53" customWidth="1"/>
    <col min="3081" max="3081" width="3.7109375" style="53" customWidth="1"/>
    <col min="3082" max="3082" width="18.28125" style="53" customWidth="1"/>
    <col min="3083" max="3083" width="11.7109375" style="53" customWidth="1"/>
    <col min="3084" max="3084" width="13.00390625" style="53" customWidth="1"/>
    <col min="3085" max="3085" width="11.140625" style="53" customWidth="1"/>
    <col min="3086" max="3328" width="9.140625" style="53" customWidth="1"/>
    <col min="3329" max="3329" width="45.8515625" style="53" customWidth="1"/>
    <col min="3330" max="3330" width="10.8515625" style="53" customWidth="1"/>
    <col min="3331" max="3332" width="10.421875" style="53" customWidth="1"/>
    <col min="3333" max="3334" width="11.7109375" style="53" customWidth="1"/>
    <col min="3335" max="3335" width="9.140625" style="53" customWidth="1"/>
    <col min="3336" max="3336" width="3.140625" style="53" customWidth="1"/>
    <col min="3337" max="3337" width="3.7109375" style="53" customWidth="1"/>
    <col min="3338" max="3338" width="18.28125" style="53" customWidth="1"/>
    <col min="3339" max="3339" width="11.7109375" style="53" customWidth="1"/>
    <col min="3340" max="3340" width="13.00390625" style="53" customWidth="1"/>
    <col min="3341" max="3341" width="11.140625" style="53" customWidth="1"/>
    <col min="3342" max="3584" width="9.140625" style="53" customWidth="1"/>
    <col min="3585" max="3585" width="45.8515625" style="53" customWidth="1"/>
    <col min="3586" max="3586" width="10.8515625" style="53" customWidth="1"/>
    <col min="3587" max="3588" width="10.421875" style="53" customWidth="1"/>
    <col min="3589" max="3590" width="11.7109375" style="53" customWidth="1"/>
    <col min="3591" max="3591" width="9.140625" style="53" customWidth="1"/>
    <col min="3592" max="3592" width="3.140625" style="53" customWidth="1"/>
    <col min="3593" max="3593" width="3.7109375" style="53" customWidth="1"/>
    <col min="3594" max="3594" width="18.28125" style="53" customWidth="1"/>
    <col min="3595" max="3595" width="11.7109375" style="53" customWidth="1"/>
    <col min="3596" max="3596" width="13.00390625" style="53" customWidth="1"/>
    <col min="3597" max="3597" width="11.140625" style="53" customWidth="1"/>
    <col min="3598" max="3840" width="9.140625" style="53" customWidth="1"/>
    <col min="3841" max="3841" width="45.8515625" style="53" customWidth="1"/>
    <col min="3842" max="3842" width="10.8515625" style="53" customWidth="1"/>
    <col min="3843" max="3844" width="10.421875" style="53" customWidth="1"/>
    <col min="3845" max="3846" width="11.7109375" style="53" customWidth="1"/>
    <col min="3847" max="3847" width="9.140625" style="53" customWidth="1"/>
    <col min="3848" max="3848" width="3.140625" style="53" customWidth="1"/>
    <col min="3849" max="3849" width="3.7109375" style="53" customWidth="1"/>
    <col min="3850" max="3850" width="18.28125" style="53" customWidth="1"/>
    <col min="3851" max="3851" width="11.7109375" style="53" customWidth="1"/>
    <col min="3852" max="3852" width="13.00390625" style="53" customWidth="1"/>
    <col min="3853" max="3853" width="11.140625" style="53" customWidth="1"/>
    <col min="3854" max="4096" width="9.140625" style="53" customWidth="1"/>
    <col min="4097" max="4097" width="45.8515625" style="53" customWidth="1"/>
    <col min="4098" max="4098" width="10.8515625" style="53" customWidth="1"/>
    <col min="4099" max="4100" width="10.421875" style="53" customWidth="1"/>
    <col min="4101" max="4102" width="11.7109375" style="53" customWidth="1"/>
    <col min="4103" max="4103" width="9.140625" style="53" customWidth="1"/>
    <col min="4104" max="4104" width="3.140625" style="53" customWidth="1"/>
    <col min="4105" max="4105" width="3.7109375" style="53" customWidth="1"/>
    <col min="4106" max="4106" width="18.28125" style="53" customWidth="1"/>
    <col min="4107" max="4107" width="11.7109375" style="53" customWidth="1"/>
    <col min="4108" max="4108" width="13.00390625" style="53" customWidth="1"/>
    <col min="4109" max="4109" width="11.140625" style="53" customWidth="1"/>
    <col min="4110" max="4352" width="9.140625" style="53" customWidth="1"/>
    <col min="4353" max="4353" width="45.8515625" style="53" customWidth="1"/>
    <col min="4354" max="4354" width="10.8515625" style="53" customWidth="1"/>
    <col min="4355" max="4356" width="10.421875" style="53" customWidth="1"/>
    <col min="4357" max="4358" width="11.7109375" style="53" customWidth="1"/>
    <col min="4359" max="4359" width="9.140625" style="53" customWidth="1"/>
    <col min="4360" max="4360" width="3.140625" style="53" customWidth="1"/>
    <col min="4361" max="4361" width="3.7109375" style="53" customWidth="1"/>
    <col min="4362" max="4362" width="18.28125" style="53" customWidth="1"/>
    <col min="4363" max="4363" width="11.7109375" style="53" customWidth="1"/>
    <col min="4364" max="4364" width="13.00390625" style="53" customWidth="1"/>
    <col min="4365" max="4365" width="11.140625" style="53" customWidth="1"/>
    <col min="4366" max="4608" width="9.140625" style="53" customWidth="1"/>
    <col min="4609" max="4609" width="45.8515625" style="53" customWidth="1"/>
    <col min="4610" max="4610" width="10.8515625" style="53" customWidth="1"/>
    <col min="4611" max="4612" width="10.421875" style="53" customWidth="1"/>
    <col min="4613" max="4614" width="11.7109375" style="53" customWidth="1"/>
    <col min="4615" max="4615" width="9.140625" style="53" customWidth="1"/>
    <col min="4616" max="4616" width="3.140625" style="53" customWidth="1"/>
    <col min="4617" max="4617" width="3.7109375" style="53" customWidth="1"/>
    <col min="4618" max="4618" width="18.28125" style="53" customWidth="1"/>
    <col min="4619" max="4619" width="11.7109375" style="53" customWidth="1"/>
    <col min="4620" max="4620" width="13.00390625" style="53" customWidth="1"/>
    <col min="4621" max="4621" width="11.140625" style="53" customWidth="1"/>
    <col min="4622" max="4864" width="9.140625" style="53" customWidth="1"/>
    <col min="4865" max="4865" width="45.8515625" style="53" customWidth="1"/>
    <col min="4866" max="4866" width="10.8515625" style="53" customWidth="1"/>
    <col min="4867" max="4868" width="10.421875" style="53" customWidth="1"/>
    <col min="4869" max="4870" width="11.7109375" style="53" customWidth="1"/>
    <col min="4871" max="4871" width="9.140625" style="53" customWidth="1"/>
    <col min="4872" max="4872" width="3.140625" style="53" customWidth="1"/>
    <col min="4873" max="4873" width="3.7109375" style="53" customWidth="1"/>
    <col min="4874" max="4874" width="18.28125" style="53" customWidth="1"/>
    <col min="4875" max="4875" width="11.7109375" style="53" customWidth="1"/>
    <col min="4876" max="4876" width="13.00390625" style="53" customWidth="1"/>
    <col min="4877" max="4877" width="11.140625" style="53" customWidth="1"/>
    <col min="4878" max="5120" width="9.140625" style="53" customWidth="1"/>
    <col min="5121" max="5121" width="45.8515625" style="53" customWidth="1"/>
    <col min="5122" max="5122" width="10.8515625" style="53" customWidth="1"/>
    <col min="5123" max="5124" width="10.421875" style="53" customWidth="1"/>
    <col min="5125" max="5126" width="11.7109375" style="53" customWidth="1"/>
    <col min="5127" max="5127" width="9.140625" style="53" customWidth="1"/>
    <col min="5128" max="5128" width="3.140625" style="53" customWidth="1"/>
    <col min="5129" max="5129" width="3.7109375" style="53" customWidth="1"/>
    <col min="5130" max="5130" width="18.28125" style="53" customWidth="1"/>
    <col min="5131" max="5131" width="11.7109375" style="53" customWidth="1"/>
    <col min="5132" max="5132" width="13.00390625" style="53" customWidth="1"/>
    <col min="5133" max="5133" width="11.140625" style="53" customWidth="1"/>
    <col min="5134" max="5376" width="9.140625" style="53" customWidth="1"/>
    <col min="5377" max="5377" width="45.8515625" style="53" customWidth="1"/>
    <col min="5378" max="5378" width="10.8515625" style="53" customWidth="1"/>
    <col min="5379" max="5380" width="10.421875" style="53" customWidth="1"/>
    <col min="5381" max="5382" width="11.7109375" style="53" customWidth="1"/>
    <col min="5383" max="5383" width="9.140625" style="53" customWidth="1"/>
    <col min="5384" max="5384" width="3.140625" style="53" customWidth="1"/>
    <col min="5385" max="5385" width="3.7109375" style="53" customWidth="1"/>
    <col min="5386" max="5386" width="18.28125" style="53" customWidth="1"/>
    <col min="5387" max="5387" width="11.7109375" style="53" customWidth="1"/>
    <col min="5388" max="5388" width="13.00390625" style="53" customWidth="1"/>
    <col min="5389" max="5389" width="11.140625" style="53" customWidth="1"/>
    <col min="5390" max="5632" width="9.140625" style="53" customWidth="1"/>
    <col min="5633" max="5633" width="45.8515625" style="53" customWidth="1"/>
    <col min="5634" max="5634" width="10.8515625" style="53" customWidth="1"/>
    <col min="5635" max="5636" width="10.421875" style="53" customWidth="1"/>
    <col min="5637" max="5638" width="11.7109375" style="53" customWidth="1"/>
    <col min="5639" max="5639" width="9.140625" style="53" customWidth="1"/>
    <col min="5640" max="5640" width="3.140625" style="53" customWidth="1"/>
    <col min="5641" max="5641" width="3.7109375" style="53" customWidth="1"/>
    <col min="5642" max="5642" width="18.28125" style="53" customWidth="1"/>
    <col min="5643" max="5643" width="11.7109375" style="53" customWidth="1"/>
    <col min="5644" max="5644" width="13.00390625" style="53" customWidth="1"/>
    <col min="5645" max="5645" width="11.140625" style="53" customWidth="1"/>
    <col min="5646" max="5888" width="9.140625" style="53" customWidth="1"/>
    <col min="5889" max="5889" width="45.8515625" style="53" customWidth="1"/>
    <col min="5890" max="5890" width="10.8515625" style="53" customWidth="1"/>
    <col min="5891" max="5892" width="10.421875" style="53" customWidth="1"/>
    <col min="5893" max="5894" width="11.7109375" style="53" customWidth="1"/>
    <col min="5895" max="5895" width="9.140625" style="53" customWidth="1"/>
    <col min="5896" max="5896" width="3.140625" style="53" customWidth="1"/>
    <col min="5897" max="5897" width="3.7109375" style="53" customWidth="1"/>
    <col min="5898" max="5898" width="18.28125" style="53" customWidth="1"/>
    <col min="5899" max="5899" width="11.7109375" style="53" customWidth="1"/>
    <col min="5900" max="5900" width="13.00390625" style="53" customWidth="1"/>
    <col min="5901" max="5901" width="11.140625" style="53" customWidth="1"/>
    <col min="5902" max="6144" width="9.140625" style="53" customWidth="1"/>
    <col min="6145" max="6145" width="45.8515625" style="53" customWidth="1"/>
    <col min="6146" max="6146" width="10.8515625" style="53" customWidth="1"/>
    <col min="6147" max="6148" width="10.421875" style="53" customWidth="1"/>
    <col min="6149" max="6150" width="11.7109375" style="53" customWidth="1"/>
    <col min="6151" max="6151" width="9.140625" style="53" customWidth="1"/>
    <col min="6152" max="6152" width="3.140625" style="53" customWidth="1"/>
    <col min="6153" max="6153" width="3.7109375" style="53" customWidth="1"/>
    <col min="6154" max="6154" width="18.28125" style="53" customWidth="1"/>
    <col min="6155" max="6155" width="11.7109375" style="53" customWidth="1"/>
    <col min="6156" max="6156" width="13.00390625" style="53" customWidth="1"/>
    <col min="6157" max="6157" width="11.140625" style="53" customWidth="1"/>
    <col min="6158" max="6400" width="9.140625" style="53" customWidth="1"/>
    <col min="6401" max="6401" width="45.8515625" style="53" customWidth="1"/>
    <col min="6402" max="6402" width="10.8515625" style="53" customWidth="1"/>
    <col min="6403" max="6404" width="10.421875" style="53" customWidth="1"/>
    <col min="6405" max="6406" width="11.7109375" style="53" customWidth="1"/>
    <col min="6407" max="6407" width="9.140625" style="53" customWidth="1"/>
    <col min="6408" max="6408" width="3.140625" style="53" customWidth="1"/>
    <col min="6409" max="6409" width="3.7109375" style="53" customWidth="1"/>
    <col min="6410" max="6410" width="18.28125" style="53" customWidth="1"/>
    <col min="6411" max="6411" width="11.7109375" style="53" customWidth="1"/>
    <col min="6412" max="6412" width="13.00390625" style="53" customWidth="1"/>
    <col min="6413" max="6413" width="11.140625" style="53" customWidth="1"/>
    <col min="6414" max="6656" width="9.140625" style="53" customWidth="1"/>
    <col min="6657" max="6657" width="45.8515625" style="53" customWidth="1"/>
    <col min="6658" max="6658" width="10.8515625" style="53" customWidth="1"/>
    <col min="6659" max="6660" width="10.421875" style="53" customWidth="1"/>
    <col min="6661" max="6662" width="11.7109375" style="53" customWidth="1"/>
    <col min="6663" max="6663" width="9.140625" style="53" customWidth="1"/>
    <col min="6664" max="6664" width="3.140625" style="53" customWidth="1"/>
    <col min="6665" max="6665" width="3.7109375" style="53" customWidth="1"/>
    <col min="6666" max="6666" width="18.28125" style="53" customWidth="1"/>
    <col min="6667" max="6667" width="11.7109375" style="53" customWidth="1"/>
    <col min="6668" max="6668" width="13.00390625" style="53" customWidth="1"/>
    <col min="6669" max="6669" width="11.140625" style="53" customWidth="1"/>
    <col min="6670" max="6912" width="9.140625" style="53" customWidth="1"/>
    <col min="6913" max="6913" width="45.8515625" style="53" customWidth="1"/>
    <col min="6914" max="6914" width="10.8515625" style="53" customWidth="1"/>
    <col min="6915" max="6916" width="10.421875" style="53" customWidth="1"/>
    <col min="6917" max="6918" width="11.7109375" style="53" customWidth="1"/>
    <col min="6919" max="6919" width="9.140625" style="53" customWidth="1"/>
    <col min="6920" max="6920" width="3.140625" style="53" customWidth="1"/>
    <col min="6921" max="6921" width="3.7109375" style="53" customWidth="1"/>
    <col min="6922" max="6922" width="18.28125" style="53" customWidth="1"/>
    <col min="6923" max="6923" width="11.7109375" style="53" customWidth="1"/>
    <col min="6924" max="6924" width="13.00390625" style="53" customWidth="1"/>
    <col min="6925" max="6925" width="11.140625" style="53" customWidth="1"/>
    <col min="6926" max="7168" width="9.140625" style="53" customWidth="1"/>
    <col min="7169" max="7169" width="45.8515625" style="53" customWidth="1"/>
    <col min="7170" max="7170" width="10.8515625" style="53" customWidth="1"/>
    <col min="7171" max="7172" width="10.421875" style="53" customWidth="1"/>
    <col min="7173" max="7174" width="11.7109375" style="53" customWidth="1"/>
    <col min="7175" max="7175" width="9.140625" style="53" customWidth="1"/>
    <col min="7176" max="7176" width="3.140625" style="53" customWidth="1"/>
    <col min="7177" max="7177" width="3.7109375" style="53" customWidth="1"/>
    <col min="7178" max="7178" width="18.28125" style="53" customWidth="1"/>
    <col min="7179" max="7179" width="11.7109375" style="53" customWidth="1"/>
    <col min="7180" max="7180" width="13.00390625" style="53" customWidth="1"/>
    <col min="7181" max="7181" width="11.140625" style="53" customWidth="1"/>
    <col min="7182" max="7424" width="9.140625" style="53" customWidth="1"/>
    <col min="7425" max="7425" width="45.8515625" style="53" customWidth="1"/>
    <col min="7426" max="7426" width="10.8515625" style="53" customWidth="1"/>
    <col min="7427" max="7428" width="10.421875" style="53" customWidth="1"/>
    <col min="7429" max="7430" width="11.7109375" style="53" customWidth="1"/>
    <col min="7431" max="7431" width="9.140625" style="53" customWidth="1"/>
    <col min="7432" max="7432" width="3.140625" style="53" customWidth="1"/>
    <col min="7433" max="7433" width="3.7109375" style="53" customWidth="1"/>
    <col min="7434" max="7434" width="18.28125" style="53" customWidth="1"/>
    <col min="7435" max="7435" width="11.7109375" style="53" customWidth="1"/>
    <col min="7436" max="7436" width="13.00390625" style="53" customWidth="1"/>
    <col min="7437" max="7437" width="11.140625" style="53" customWidth="1"/>
    <col min="7438" max="7680" width="9.140625" style="53" customWidth="1"/>
    <col min="7681" max="7681" width="45.8515625" style="53" customWidth="1"/>
    <col min="7682" max="7682" width="10.8515625" style="53" customWidth="1"/>
    <col min="7683" max="7684" width="10.421875" style="53" customWidth="1"/>
    <col min="7685" max="7686" width="11.7109375" style="53" customWidth="1"/>
    <col min="7687" max="7687" width="9.140625" style="53" customWidth="1"/>
    <col min="7688" max="7688" width="3.140625" style="53" customWidth="1"/>
    <col min="7689" max="7689" width="3.7109375" style="53" customWidth="1"/>
    <col min="7690" max="7690" width="18.28125" style="53" customWidth="1"/>
    <col min="7691" max="7691" width="11.7109375" style="53" customWidth="1"/>
    <col min="7692" max="7692" width="13.00390625" style="53" customWidth="1"/>
    <col min="7693" max="7693" width="11.140625" style="53" customWidth="1"/>
    <col min="7694" max="7936" width="9.140625" style="53" customWidth="1"/>
    <col min="7937" max="7937" width="45.8515625" style="53" customWidth="1"/>
    <col min="7938" max="7938" width="10.8515625" style="53" customWidth="1"/>
    <col min="7939" max="7940" width="10.421875" style="53" customWidth="1"/>
    <col min="7941" max="7942" width="11.7109375" style="53" customWidth="1"/>
    <col min="7943" max="7943" width="9.140625" style="53" customWidth="1"/>
    <col min="7944" max="7944" width="3.140625" style="53" customWidth="1"/>
    <col min="7945" max="7945" width="3.7109375" style="53" customWidth="1"/>
    <col min="7946" max="7946" width="18.28125" style="53" customWidth="1"/>
    <col min="7947" max="7947" width="11.7109375" style="53" customWidth="1"/>
    <col min="7948" max="7948" width="13.00390625" style="53" customWidth="1"/>
    <col min="7949" max="7949" width="11.140625" style="53" customWidth="1"/>
    <col min="7950" max="8192" width="9.140625" style="53" customWidth="1"/>
    <col min="8193" max="8193" width="45.8515625" style="53" customWidth="1"/>
    <col min="8194" max="8194" width="10.8515625" style="53" customWidth="1"/>
    <col min="8195" max="8196" width="10.421875" style="53" customWidth="1"/>
    <col min="8197" max="8198" width="11.7109375" style="53" customWidth="1"/>
    <col min="8199" max="8199" width="9.140625" style="53" customWidth="1"/>
    <col min="8200" max="8200" width="3.140625" style="53" customWidth="1"/>
    <col min="8201" max="8201" width="3.7109375" style="53" customWidth="1"/>
    <col min="8202" max="8202" width="18.28125" style="53" customWidth="1"/>
    <col min="8203" max="8203" width="11.7109375" style="53" customWidth="1"/>
    <col min="8204" max="8204" width="13.00390625" style="53" customWidth="1"/>
    <col min="8205" max="8205" width="11.140625" style="53" customWidth="1"/>
    <col min="8206" max="8448" width="9.140625" style="53" customWidth="1"/>
    <col min="8449" max="8449" width="45.8515625" style="53" customWidth="1"/>
    <col min="8450" max="8450" width="10.8515625" style="53" customWidth="1"/>
    <col min="8451" max="8452" width="10.421875" style="53" customWidth="1"/>
    <col min="8453" max="8454" width="11.7109375" style="53" customWidth="1"/>
    <col min="8455" max="8455" width="9.140625" style="53" customWidth="1"/>
    <col min="8456" max="8456" width="3.140625" style="53" customWidth="1"/>
    <col min="8457" max="8457" width="3.7109375" style="53" customWidth="1"/>
    <col min="8458" max="8458" width="18.28125" style="53" customWidth="1"/>
    <col min="8459" max="8459" width="11.7109375" style="53" customWidth="1"/>
    <col min="8460" max="8460" width="13.00390625" style="53" customWidth="1"/>
    <col min="8461" max="8461" width="11.140625" style="53" customWidth="1"/>
    <col min="8462" max="8704" width="9.140625" style="53" customWidth="1"/>
    <col min="8705" max="8705" width="45.8515625" style="53" customWidth="1"/>
    <col min="8706" max="8706" width="10.8515625" style="53" customWidth="1"/>
    <col min="8707" max="8708" width="10.421875" style="53" customWidth="1"/>
    <col min="8709" max="8710" width="11.7109375" style="53" customWidth="1"/>
    <col min="8711" max="8711" width="9.140625" style="53" customWidth="1"/>
    <col min="8712" max="8712" width="3.140625" style="53" customWidth="1"/>
    <col min="8713" max="8713" width="3.7109375" style="53" customWidth="1"/>
    <col min="8714" max="8714" width="18.28125" style="53" customWidth="1"/>
    <col min="8715" max="8715" width="11.7109375" style="53" customWidth="1"/>
    <col min="8716" max="8716" width="13.00390625" style="53" customWidth="1"/>
    <col min="8717" max="8717" width="11.140625" style="53" customWidth="1"/>
    <col min="8718" max="8960" width="9.140625" style="53" customWidth="1"/>
    <col min="8961" max="8961" width="45.8515625" style="53" customWidth="1"/>
    <col min="8962" max="8962" width="10.8515625" style="53" customWidth="1"/>
    <col min="8963" max="8964" width="10.421875" style="53" customWidth="1"/>
    <col min="8965" max="8966" width="11.7109375" style="53" customWidth="1"/>
    <col min="8967" max="8967" width="9.140625" style="53" customWidth="1"/>
    <col min="8968" max="8968" width="3.140625" style="53" customWidth="1"/>
    <col min="8969" max="8969" width="3.7109375" style="53" customWidth="1"/>
    <col min="8970" max="8970" width="18.28125" style="53" customWidth="1"/>
    <col min="8971" max="8971" width="11.7109375" style="53" customWidth="1"/>
    <col min="8972" max="8972" width="13.00390625" style="53" customWidth="1"/>
    <col min="8973" max="8973" width="11.140625" style="53" customWidth="1"/>
    <col min="8974" max="9216" width="9.140625" style="53" customWidth="1"/>
    <col min="9217" max="9217" width="45.8515625" style="53" customWidth="1"/>
    <col min="9218" max="9218" width="10.8515625" style="53" customWidth="1"/>
    <col min="9219" max="9220" width="10.421875" style="53" customWidth="1"/>
    <col min="9221" max="9222" width="11.7109375" style="53" customWidth="1"/>
    <col min="9223" max="9223" width="9.140625" style="53" customWidth="1"/>
    <col min="9224" max="9224" width="3.140625" style="53" customWidth="1"/>
    <col min="9225" max="9225" width="3.7109375" style="53" customWidth="1"/>
    <col min="9226" max="9226" width="18.28125" style="53" customWidth="1"/>
    <col min="9227" max="9227" width="11.7109375" style="53" customWidth="1"/>
    <col min="9228" max="9228" width="13.00390625" style="53" customWidth="1"/>
    <col min="9229" max="9229" width="11.140625" style="53" customWidth="1"/>
    <col min="9230" max="9472" width="9.140625" style="53" customWidth="1"/>
    <col min="9473" max="9473" width="45.8515625" style="53" customWidth="1"/>
    <col min="9474" max="9474" width="10.8515625" style="53" customWidth="1"/>
    <col min="9475" max="9476" width="10.421875" style="53" customWidth="1"/>
    <col min="9477" max="9478" width="11.7109375" style="53" customWidth="1"/>
    <col min="9479" max="9479" width="9.140625" style="53" customWidth="1"/>
    <col min="9480" max="9480" width="3.140625" style="53" customWidth="1"/>
    <col min="9481" max="9481" width="3.7109375" style="53" customWidth="1"/>
    <col min="9482" max="9482" width="18.28125" style="53" customWidth="1"/>
    <col min="9483" max="9483" width="11.7109375" style="53" customWidth="1"/>
    <col min="9484" max="9484" width="13.00390625" style="53" customWidth="1"/>
    <col min="9485" max="9485" width="11.140625" style="53" customWidth="1"/>
    <col min="9486" max="9728" width="9.140625" style="53" customWidth="1"/>
    <col min="9729" max="9729" width="45.8515625" style="53" customWidth="1"/>
    <col min="9730" max="9730" width="10.8515625" style="53" customWidth="1"/>
    <col min="9731" max="9732" width="10.421875" style="53" customWidth="1"/>
    <col min="9733" max="9734" width="11.7109375" style="53" customWidth="1"/>
    <col min="9735" max="9735" width="9.140625" style="53" customWidth="1"/>
    <col min="9736" max="9736" width="3.140625" style="53" customWidth="1"/>
    <col min="9737" max="9737" width="3.7109375" style="53" customWidth="1"/>
    <col min="9738" max="9738" width="18.28125" style="53" customWidth="1"/>
    <col min="9739" max="9739" width="11.7109375" style="53" customWidth="1"/>
    <col min="9740" max="9740" width="13.00390625" style="53" customWidth="1"/>
    <col min="9741" max="9741" width="11.140625" style="53" customWidth="1"/>
    <col min="9742" max="9984" width="9.140625" style="53" customWidth="1"/>
    <col min="9985" max="9985" width="45.8515625" style="53" customWidth="1"/>
    <col min="9986" max="9986" width="10.8515625" style="53" customWidth="1"/>
    <col min="9987" max="9988" width="10.421875" style="53" customWidth="1"/>
    <col min="9989" max="9990" width="11.7109375" style="53" customWidth="1"/>
    <col min="9991" max="9991" width="9.140625" style="53" customWidth="1"/>
    <col min="9992" max="9992" width="3.140625" style="53" customWidth="1"/>
    <col min="9993" max="9993" width="3.7109375" style="53" customWidth="1"/>
    <col min="9994" max="9994" width="18.28125" style="53" customWidth="1"/>
    <col min="9995" max="9995" width="11.7109375" style="53" customWidth="1"/>
    <col min="9996" max="9996" width="13.00390625" style="53" customWidth="1"/>
    <col min="9997" max="9997" width="11.140625" style="53" customWidth="1"/>
    <col min="9998" max="10240" width="9.140625" style="53" customWidth="1"/>
    <col min="10241" max="10241" width="45.8515625" style="53" customWidth="1"/>
    <col min="10242" max="10242" width="10.8515625" style="53" customWidth="1"/>
    <col min="10243" max="10244" width="10.421875" style="53" customWidth="1"/>
    <col min="10245" max="10246" width="11.7109375" style="53" customWidth="1"/>
    <col min="10247" max="10247" width="9.140625" style="53" customWidth="1"/>
    <col min="10248" max="10248" width="3.140625" style="53" customWidth="1"/>
    <col min="10249" max="10249" width="3.7109375" style="53" customWidth="1"/>
    <col min="10250" max="10250" width="18.28125" style="53" customWidth="1"/>
    <col min="10251" max="10251" width="11.7109375" style="53" customWidth="1"/>
    <col min="10252" max="10252" width="13.00390625" style="53" customWidth="1"/>
    <col min="10253" max="10253" width="11.140625" style="53" customWidth="1"/>
    <col min="10254" max="10496" width="9.140625" style="53" customWidth="1"/>
    <col min="10497" max="10497" width="45.8515625" style="53" customWidth="1"/>
    <col min="10498" max="10498" width="10.8515625" style="53" customWidth="1"/>
    <col min="10499" max="10500" width="10.421875" style="53" customWidth="1"/>
    <col min="10501" max="10502" width="11.7109375" style="53" customWidth="1"/>
    <col min="10503" max="10503" width="9.140625" style="53" customWidth="1"/>
    <col min="10504" max="10504" width="3.140625" style="53" customWidth="1"/>
    <col min="10505" max="10505" width="3.7109375" style="53" customWidth="1"/>
    <col min="10506" max="10506" width="18.28125" style="53" customWidth="1"/>
    <col min="10507" max="10507" width="11.7109375" style="53" customWidth="1"/>
    <col min="10508" max="10508" width="13.00390625" style="53" customWidth="1"/>
    <col min="10509" max="10509" width="11.140625" style="53" customWidth="1"/>
    <col min="10510" max="10752" width="9.140625" style="53" customWidth="1"/>
    <col min="10753" max="10753" width="45.8515625" style="53" customWidth="1"/>
    <col min="10754" max="10754" width="10.8515625" style="53" customWidth="1"/>
    <col min="10755" max="10756" width="10.421875" style="53" customWidth="1"/>
    <col min="10757" max="10758" width="11.7109375" style="53" customWidth="1"/>
    <col min="10759" max="10759" width="9.140625" style="53" customWidth="1"/>
    <col min="10760" max="10760" width="3.140625" style="53" customWidth="1"/>
    <col min="10761" max="10761" width="3.7109375" style="53" customWidth="1"/>
    <col min="10762" max="10762" width="18.28125" style="53" customWidth="1"/>
    <col min="10763" max="10763" width="11.7109375" style="53" customWidth="1"/>
    <col min="10764" max="10764" width="13.00390625" style="53" customWidth="1"/>
    <col min="10765" max="10765" width="11.140625" style="53" customWidth="1"/>
    <col min="10766" max="11008" width="9.140625" style="53" customWidth="1"/>
    <col min="11009" max="11009" width="45.8515625" style="53" customWidth="1"/>
    <col min="11010" max="11010" width="10.8515625" style="53" customWidth="1"/>
    <col min="11011" max="11012" width="10.421875" style="53" customWidth="1"/>
    <col min="11013" max="11014" width="11.7109375" style="53" customWidth="1"/>
    <col min="11015" max="11015" width="9.140625" style="53" customWidth="1"/>
    <col min="11016" max="11016" width="3.140625" style="53" customWidth="1"/>
    <col min="11017" max="11017" width="3.7109375" style="53" customWidth="1"/>
    <col min="11018" max="11018" width="18.28125" style="53" customWidth="1"/>
    <col min="11019" max="11019" width="11.7109375" style="53" customWidth="1"/>
    <col min="11020" max="11020" width="13.00390625" style="53" customWidth="1"/>
    <col min="11021" max="11021" width="11.140625" style="53" customWidth="1"/>
    <col min="11022" max="11264" width="9.140625" style="53" customWidth="1"/>
    <col min="11265" max="11265" width="45.8515625" style="53" customWidth="1"/>
    <col min="11266" max="11266" width="10.8515625" style="53" customWidth="1"/>
    <col min="11267" max="11268" width="10.421875" style="53" customWidth="1"/>
    <col min="11269" max="11270" width="11.7109375" style="53" customWidth="1"/>
    <col min="11271" max="11271" width="9.140625" style="53" customWidth="1"/>
    <col min="11272" max="11272" width="3.140625" style="53" customWidth="1"/>
    <col min="11273" max="11273" width="3.7109375" style="53" customWidth="1"/>
    <col min="11274" max="11274" width="18.28125" style="53" customWidth="1"/>
    <col min="11275" max="11275" width="11.7109375" style="53" customWidth="1"/>
    <col min="11276" max="11276" width="13.00390625" style="53" customWidth="1"/>
    <col min="11277" max="11277" width="11.140625" style="53" customWidth="1"/>
    <col min="11278" max="11520" width="9.140625" style="53" customWidth="1"/>
    <col min="11521" max="11521" width="45.8515625" style="53" customWidth="1"/>
    <col min="11522" max="11522" width="10.8515625" style="53" customWidth="1"/>
    <col min="11523" max="11524" width="10.421875" style="53" customWidth="1"/>
    <col min="11525" max="11526" width="11.7109375" style="53" customWidth="1"/>
    <col min="11527" max="11527" width="9.140625" style="53" customWidth="1"/>
    <col min="11528" max="11528" width="3.140625" style="53" customWidth="1"/>
    <col min="11529" max="11529" width="3.7109375" style="53" customWidth="1"/>
    <col min="11530" max="11530" width="18.28125" style="53" customWidth="1"/>
    <col min="11531" max="11531" width="11.7109375" style="53" customWidth="1"/>
    <col min="11532" max="11532" width="13.00390625" style="53" customWidth="1"/>
    <col min="11533" max="11533" width="11.140625" style="53" customWidth="1"/>
    <col min="11534" max="11776" width="9.140625" style="53" customWidth="1"/>
    <col min="11777" max="11777" width="45.8515625" style="53" customWidth="1"/>
    <col min="11778" max="11778" width="10.8515625" style="53" customWidth="1"/>
    <col min="11779" max="11780" width="10.421875" style="53" customWidth="1"/>
    <col min="11781" max="11782" width="11.7109375" style="53" customWidth="1"/>
    <col min="11783" max="11783" width="9.140625" style="53" customWidth="1"/>
    <col min="11784" max="11784" width="3.140625" style="53" customWidth="1"/>
    <col min="11785" max="11785" width="3.7109375" style="53" customWidth="1"/>
    <col min="11786" max="11786" width="18.28125" style="53" customWidth="1"/>
    <col min="11787" max="11787" width="11.7109375" style="53" customWidth="1"/>
    <col min="11788" max="11788" width="13.00390625" style="53" customWidth="1"/>
    <col min="11789" max="11789" width="11.140625" style="53" customWidth="1"/>
    <col min="11790" max="12032" width="9.140625" style="53" customWidth="1"/>
    <col min="12033" max="12033" width="45.8515625" style="53" customWidth="1"/>
    <col min="12034" max="12034" width="10.8515625" style="53" customWidth="1"/>
    <col min="12035" max="12036" width="10.421875" style="53" customWidth="1"/>
    <col min="12037" max="12038" width="11.7109375" style="53" customWidth="1"/>
    <col min="12039" max="12039" width="9.140625" style="53" customWidth="1"/>
    <col min="12040" max="12040" width="3.140625" style="53" customWidth="1"/>
    <col min="12041" max="12041" width="3.7109375" style="53" customWidth="1"/>
    <col min="12042" max="12042" width="18.28125" style="53" customWidth="1"/>
    <col min="12043" max="12043" width="11.7109375" style="53" customWidth="1"/>
    <col min="12044" max="12044" width="13.00390625" style="53" customWidth="1"/>
    <col min="12045" max="12045" width="11.140625" style="53" customWidth="1"/>
    <col min="12046" max="12288" width="9.140625" style="53" customWidth="1"/>
    <col min="12289" max="12289" width="45.8515625" style="53" customWidth="1"/>
    <col min="12290" max="12290" width="10.8515625" style="53" customWidth="1"/>
    <col min="12291" max="12292" width="10.421875" style="53" customWidth="1"/>
    <col min="12293" max="12294" width="11.7109375" style="53" customWidth="1"/>
    <col min="12295" max="12295" width="9.140625" style="53" customWidth="1"/>
    <col min="12296" max="12296" width="3.140625" style="53" customWidth="1"/>
    <col min="12297" max="12297" width="3.7109375" style="53" customWidth="1"/>
    <col min="12298" max="12298" width="18.28125" style="53" customWidth="1"/>
    <col min="12299" max="12299" width="11.7109375" style="53" customWidth="1"/>
    <col min="12300" max="12300" width="13.00390625" style="53" customWidth="1"/>
    <col min="12301" max="12301" width="11.140625" style="53" customWidth="1"/>
    <col min="12302" max="12544" width="9.140625" style="53" customWidth="1"/>
    <col min="12545" max="12545" width="45.8515625" style="53" customWidth="1"/>
    <col min="12546" max="12546" width="10.8515625" style="53" customWidth="1"/>
    <col min="12547" max="12548" width="10.421875" style="53" customWidth="1"/>
    <col min="12549" max="12550" width="11.7109375" style="53" customWidth="1"/>
    <col min="12551" max="12551" width="9.140625" style="53" customWidth="1"/>
    <col min="12552" max="12552" width="3.140625" style="53" customWidth="1"/>
    <col min="12553" max="12553" width="3.7109375" style="53" customWidth="1"/>
    <col min="12554" max="12554" width="18.28125" style="53" customWidth="1"/>
    <col min="12555" max="12555" width="11.7109375" style="53" customWidth="1"/>
    <col min="12556" max="12556" width="13.00390625" style="53" customWidth="1"/>
    <col min="12557" max="12557" width="11.140625" style="53" customWidth="1"/>
    <col min="12558" max="12800" width="9.140625" style="53" customWidth="1"/>
    <col min="12801" max="12801" width="45.8515625" style="53" customWidth="1"/>
    <col min="12802" max="12802" width="10.8515625" style="53" customWidth="1"/>
    <col min="12803" max="12804" width="10.421875" style="53" customWidth="1"/>
    <col min="12805" max="12806" width="11.7109375" style="53" customWidth="1"/>
    <col min="12807" max="12807" width="9.140625" style="53" customWidth="1"/>
    <col min="12808" max="12808" width="3.140625" style="53" customWidth="1"/>
    <col min="12809" max="12809" width="3.7109375" style="53" customWidth="1"/>
    <col min="12810" max="12810" width="18.28125" style="53" customWidth="1"/>
    <col min="12811" max="12811" width="11.7109375" style="53" customWidth="1"/>
    <col min="12812" max="12812" width="13.00390625" style="53" customWidth="1"/>
    <col min="12813" max="12813" width="11.140625" style="53" customWidth="1"/>
    <col min="12814" max="13056" width="9.140625" style="53" customWidth="1"/>
    <col min="13057" max="13057" width="45.8515625" style="53" customWidth="1"/>
    <col min="13058" max="13058" width="10.8515625" style="53" customWidth="1"/>
    <col min="13059" max="13060" width="10.421875" style="53" customWidth="1"/>
    <col min="13061" max="13062" width="11.7109375" style="53" customWidth="1"/>
    <col min="13063" max="13063" width="9.140625" style="53" customWidth="1"/>
    <col min="13064" max="13064" width="3.140625" style="53" customWidth="1"/>
    <col min="13065" max="13065" width="3.7109375" style="53" customWidth="1"/>
    <col min="13066" max="13066" width="18.28125" style="53" customWidth="1"/>
    <col min="13067" max="13067" width="11.7109375" style="53" customWidth="1"/>
    <col min="13068" max="13068" width="13.00390625" style="53" customWidth="1"/>
    <col min="13069" max="13069" width="11.140625" style="53" customWidth="1"/>
    <col min="13070" max="13312" width="9.140625" style="53" customWidth="1"/>
    <col min="13313" max="13313" width="45.8515625" style="53" customWidth="1"/>
    <col min="13314" max="13314" width="10.8515625" style="53" customWidth="1"/>
    <col min="13315" max="13316" width="10.421875" style="53" customWidth="1"/>
    <col min="13317" max="13318" width="11.7109375" style="53" customWidth="1"/>
    <col min="13319" max="13319" width="9.140625" style="53" customWidth="1"/>
    <col min="13320" max="13320" width="3.140625" style="53" customWidth="1"/>
    <col min="13321" max="13321" width="3.7109375" style="53" customWidth="1"/>
    <col min="13322" max="13322" width="18.28125" style="53" customWidth="1"/>
    <col min="13323" max="13323" width="11.7109375" style="53" customWidth="1"/>
    <col min="13324" max="13324" width="13.00390625" style="53" customWidth="1"/>
    <col min="13325" max="13325" width="11.140625" style="53" customWidth="1"/>
    <col min="13326" max="13568" width="9.140625" style="53" customWidth="1"/>
    <col min="13569" max="13569" width="45.8515625" style="53" customWidth="1"/>
    <col min="13570" max="13570" width="10.8515625" style="53" customWidth="1"/>
    <col min="13571" max="13572" width="10.421875" style="53" customWidth="1"/>
    <col min="13573" max="13574" width="11.7109375" style="53" customWidth="1"/>
    <col min="13575" max="13575" width="9.140625" style="53" customWidth="1"/>
    <col min="13576" max="13576" width="3.140625" style="53" customWidth="1"/>
    <col min="13577" max="13577" width="3.7109375" style="53" customWidth="1"/>
    <col min="13578" max="13578" width="18.28125" style="53" customWidth="1"/>
    <col min="13579" max="13579" width="11.7109375" style="53" customWidth="1"/>
    <col min="13580" max="13580" width="13.00390625" style="53" customWidth="1"/>
    <col min="13581" max="13581" width="11.140625" style="53" customWidth="1"/>
    <col min="13582" max="13824" width="9.140625" style="53" customWidth="1"/>
    <col min="13825" max="13825" width="45.8515625" style="53" customWidth="1"/>
    <col min="13826" max="13826" width="10.8515625" style="53" customWidth="1"/>
    <col min="13827" max="13828" width="10.421875" style="53" customWidth="1"/>
    <col min="13829" max="13830" width="11.7109375" style="53" customWidth="1"/>
    <col min="13831" max="13831" width="9.140625" style="53" customWidth="1"/>
    <col min="13832" max="13832" width="3.140625" style="53" customWidth="1"/>
    <col min="13833" max="13833" width="3.7109375" style="53" customWidth="1"/>
    <col min="13834" max="13834" width="18.28125" style="53" customWidth="1"/>
    <col min="13835" max="13835" width="11.7109375" style="53" customWidth="1"/>
    <col min="13836" max="13836" width="13.00390625" style="53" customWidth="1"/>
    <col min="13837" max="13837" width="11.140625" style="53" customWidth="1"/>
    <col min="13838" max="14080" width="9.140625" style="53" customWidth="1"/>
    <col min="14081" max="14081" width="45.8515625" style="53" customWidth="1"/>
    <col min="14082" max="14082" width="10.8515625" style="53" customWidth="1"/>
    <col min="14083" max="14084" width="10.421875" style="53" customWidth="1"/>
    <col min="14085" max="14086" width="11.7109375" style="53" customWidth="1"/>
    <col min="14087" max="14087" width="9.140625" style="53" customWidth="1"/>
    <col min="14088" max="14088" width="3.140625" style="53" customWidth="1"/>
    <col min="14089" max="14089" width="3.7109375" style="53" customWidth="1"/>
    <col min="14090" max="14090" width="18.28125" style="53" customWidth="1"/>
    <col min="14091" max="14091" width="11.7109375" style="53" customWidth="1"/>
    <col min="14092" max="14092" width="13.00390625" style="53" customWidth="1"/>
    <col min="14093" max="14093" width="11.140625" style="53" customWidth="1"/>
    <col min="14094" max="14336" width="9.140625" style="53" customWidth="1"/>
    <col min="14337" max="14337" width="45.8515625" style="53" customWidth="1"/>
    <col min="14338" max="14338" width="10.8515625" style="53" customWidth="1"/>
    <col min="14339" max="14340" width="10.421875" style="53" customWidth="1"/>
    <col min="14341" max="14342" width="11.7109375" style="53" customWidth="1"/>
    <col min="14343" max="14343" width="9.140625" style="53" customWidth="1"/>
    <col min="14344" max="14344" width="3.140625" style="53" customWidth="1"/>
    <col min="14345" max="14345" width="3.7109375" style="53" customWidth="1"/>
    <col min="14346" max="14346" width="18.28125" style="53" customWidth="1"/>
    <col min="14347" max="14347" width="11.7109375" style="53" customWidth="1"/>
    <col min="14348" max="14348" width="13.00390625" style="53" customWidth="1"/>
    <col min="14349" max="14349" width="11.140625" style="53" customWidth="1"/>
    <col min="14350" max="14592" width="9.140625" style="53" customWidth="1"/>
    <col min="14593" max="14593" width="45.8515625" style="53" customWidth="1"/>
    <col min="14594" max="14594" width="10.8515625" style="53" customWidth="1"/>
    <col min="14595" max="14596" width="10.421875" style="53" customWidth="1"/>
    <col min="14597" max="14598" width="11.7109375" style="53" customWidth="1"/>
    <col min="14599" max="14599" width="9.140625" style="53" customWidth="1"/>
    <col min="14600" max="14600" width="3.140625" style="53" customWidth="1"/>
    <col min="14601" max="14601" width="3.7109375" style="53" customWidth="1"/>
    <col min="14602" max="14602" width="18.28125" style="53" customWidth="1"/>
    <col min="14603" max="14603" width="11.7109375" style="53" customWidth="1"/>
    <col min="14604" max="14604" width="13.00390625" style="53" customWidth="1"/>
    <col min="14605" max="14605" width="11.140625" style="53" customWidth="1"/>
    <col min="14606" max="14848" width="9.140625" style="53" customWidth="1"/>
    <col min="14849" max="14849" width="45.8515625" style="53" customWidth="1"/>
    <col min="14850" max="14850" width="10.8515625" style="53" customWidth="1"/>
    <col min="14851" max="14852" width="10.421875" style="53" customWidth="1"/>
    <col min="14853" max="14854" width="11.7109375" style="53" customWidth="1"/>
    <col min="14855" max="14855" width="9.140625" style="53" customWidth="1"/>
    <col min="14856" max="14856" width="3.140625" style="53" customWidth="1"/>
    <col min="14857" max="14857" width="3.7109375" style="53" customWidth="1"/>
    <col min="14858" max="14858" width="18.28125" style="53" customWidth="1"/>
    <col min="14859" max="14859" width="11.7109375" style="53" customWidth="1"/>
    <col min="14860" max="14860" width="13.00390625" style="53" customWidth="1"/>
    <col min="14861" max="14861" width="11.140625" style="53" customWidth="1"/>
    <col min="14862" max="15104" width="9.140625" style="53" customWidth="1"/>
    <col min="15105" max="15105" width="45.8515625" style="53" customWidth="1"/>
    <col min="15106" max="15106" width="10.8515625" style="53" customWidth="1"/>
    <col min="15107" max="15108" width="10.421875" style="53" customWidth="1"/>
    <col min="15109" max="15110" width="11.7109375" style="53" customWidth="1"/>
    <col min="15111" max="15111" width="9.140625" style="53" customWidth="1"/>
    <col min="15112" max="15112" width="3.140625" style="53" customWidth="1"/>
    <col min="15113" max="15113" width="3.7109375" style="53" customWidth="1"/>
    <col min="15114" max="15114" width="18.28125" style="53" customWidth="1"/>
    <col min="15115" max="15115" width="11.7109375" style="53" customWidth="1"/>
    <col min="15116" max="15116" width="13.00390625" style="53" customWidth="1"/>
    <col min="15117" max="15117" width="11.140625" style="53" customWidth="1"/>
    <col min="15118" max="15360" width="9.140625" style="53" customWidth="1"/>
    <col min="15361" max="15361" width="45.8515625" style="53" customWidth="1"/>
    <col min="15362" max="15362" width="10.8515625" style="53" customWidth="1"/>
    <col min="15363" max="15364" width="10.421875" style="53" customWidth="1"/>
    <col min="15365" max="15366" width="11.7109375" style="53" customWidth="1"/>
    <col min="15367" max="15367" width="9.140625" style="53" customWidth="1"/>
    <col min="15368" max="15368" width="3.140625" style="53" customWidth="1"/>
    <col min="15369" max="15369" width="3.7109375" style="53" customWidth="1"/>
    <col min="15370" max="15370" width="18.28125" style="53" customWidth="1"/>
    <col min="15371" max="15371" width="11.7109375" style="53" customWidth="1"/>
    <col min="15372" max="15372" width="13.00390625" style="53" customWidth="1"/>
    <col min="15373" max="15373" width="11.140625" style="53" customWidth="1"/>
    <col min="15374" max="15616" width="9.140625" style="53" customWidth="1"/>
    <col min="15617" max="15617" width="45.8515625" style="53" customWidth="1"/>
    <col min="15618" max="15618" width="10.8515625" style="53" customWidth="1"/>
    <col min="15619" max="15620" width="10.421875" style="53" customWidth="1"/>
    <col min="15621" max="15622" width="11.7109375" style="53" customWidth="1"/>
    <col min="15623" max="15623" width="9.140625" style="53" customWidth="1"/>
    <col min="15624" max="15624" width="3.140625" style="53" customWidth="1"/>
    <col min="15625" max="15625" width="3.7109375" style="53" customWidth="1"/>
    <col min="15626" max="15626" width="18.28125" style="53" customWidth="1"/>
    <col min="15627" max="15627" width="11.7109375" style="53" customWidth="1"/>
    <col min="15628" max="15628" width="13.00390625" style="53" customWidth="1"/>
    <col min="15629" max="15629" width="11.140625" style="53" customWidth="1"/>
    <col min="15630" max="15872" width="9.140625" style="53" customWidth="1"/>
    <col min="15873" max="15873" width="45.8515625" style="53" customWidth="1"/>
    <col min="15874" max="15874" width="10.8515625" style="53" customWidth="1"/>
    <col min="15875" max="15876" width="10.421875" style="53" customWidth="1"/>
    <col min="15877" max="15878" width="11.7109375" style="53" customWidth="1"/>
    <col min="15879" max="15879" width="9.140625" style="53" customWidth="1"/>
    <col min="15880" max="15880" width="3.140625" style="53" customWidth="1"/>
    <col min="15881" max="15881" width="3.7109375" style="53" customWidth="1"/>
    <col min="15882" max="15882" width="18.28125" style="53" customWidth="1"/>
    <col min="15883" max="15883" width="11.7109375" style="53" customWidth="1"/>
    <col min="15884" max="15884" width="13.00390625" style="53" customWidth="1"/>
    <col min="15885" max="15885" width="11.140625" style="53" customWidth="1"/>
    <col min="15886" max="16128" width="9.140625" style="53" customWidth="1"/>
    <col min="16129" max="16129" width="45.8515625" style="53" customWidth="1"/>
    <col min="16130" max="16130" width="10.8515625" style="53" customWidth="1"/>
    <col min="16131" max="16132" width="10.421875" style="53" customWidth="1"/>
    <col min="16133" max="16134" width="11.7109375" style="53" customWidth="1"/>
    <col min="16135" max="16135" width="9.140625" style="53" customWidth="1"/>
    <col min="16136" max="16136" width="3.140625" style="53" customWidth="1"/>
    <col min="16137" max="16137" width="3.7109375" style="53" customWidth="1"/>
    <col min="16138" max="16138" width="18.28125" style="53" customWidth="1"/>
    <col min="16139" max="16139" width="11.7109375" style="53" customWidth="1"/>
    <col min="16140" max="16140" width="13.00390625" style="53" customWidth="1"/>
    <col min="16141" max="16141" width="11.140625" style="53" customWidth="1"/>
    <col min="16142" max="16384" width="9.140625" style="53" customWidth="1"/>
  </cols>
  <sheetData>
    <row r="1" spans="1:12" ht="12.75">
      <c r="A1" s="61" t="s">
        <v>314</v>
      </c>
      <c r="B1" s="61"/>
      <c r="D1" s="62"/>
      <c r="L1" s="63"/>
    </row>
    <row r="2" spans="1:3" ht="12.75">
      <c r="A2" s="56" t="s">
        <v>315</v>
      </c>
      <c r="B2" s="56"/>
      <c r="C2" s="64"/>
    </row>
    <row r="3" spans="1:3" ht="12.75">
      <c r="A3" s="64" t="s">
        <v>171</v>
      </c>
      <c r="B3" s="64"/>
      <c r="C3" s="64"/>
    </row>
    <row r="4" spans="5:6" ht="12.75">
      <c r="E4" s="65" t="s">
        <v>316</v>
      </c>
      <c r="F4" s="66">
        <v>2018</v>
      </c>
    </row>
    <row r="5" ht="12.75">
      <c r="B5" s="64"/>
    </row>
    <row r="6" spans="2:7" ht="12.75">
      <c r="B6" s="67" t="s">
        <v>172</v>
      </c>
      <c r="C6" s="67" t="s">
        <v>173</v>
      </c>
      <c r="D6" s="67" t="s">
        <v>174</v>
      </c>
      <c r="E6" s="67" t="s">
        <v>175</v>
      </c>
      <c r="F6" s="67" t="s">
        <v>176</v>
      </c>
      <c r="G6" s="67"/>
    </row>
    <row r="7" spans="2:7" ht="12.75">
      <c r="B7" s="68" t="s">
        <v>317</v>
      </c>
      <c r="C7" s="67" t="s">
        <v>318</v>
      </c>
      <c r="D7" s="67" t="s">
        <v>318</v>
      </c>
      <c r="E7" s="67" t="s">
        <v>319</v>
      </c>
      <c r="F7" s="67" t="s">
        <v>320</v>
      </c>
      <c r="G7" s="67"/>
    </row>
    <row r="8" spans="2:7" ht="12.75">
      <c r="B8" s="68" t="s">
        <v>321</v>
      </c>
      <c r="C8" s="67" t="s">
        <v>295</v>
      </c>
      <c r="D8" s="67" t="s">
        <v>322</v>
      </c>
      <c r="E8" s="67" t="s">
        <v>323</v>
      </c>
      <c r="F8" s="67" t="s">
        <v>324</v>
      </c>
      <c r="G8" s="67"/>
    </row>
    <row r="9" spans="1:7" ht="12.75">
      <c r="A9" s="69" t="s">
        <v>325</v>
      </c>
      <c r="G9" s="64"/>
    </row>
    <row r="10" spans="9:13" ht="12.75">
      <c r="I10" s="70"/>
      <c r="M10" s="68" t="s">
        <v>163</v>
      </c>
    </row>
    <row r="11" spans="1:13" ht="12.75">
      <c r="A11" s="69" t="s">
        <v>326</v>
      </c>
      <c r="I11" s="71" t="s">
        <v>316</v>
      </c>
      <c r="J11" s="72">
        <f>F4</f>
        <v>2018</v>
      </c>
      <c r="K11" s="68" t="s">
        <v>327</v>
      </c>
      <c r="L11" s="68" t="s">
        <v>328</v>
      </c>
      <c r="M11" s="68" t="s">
        <v>329</v>
      </c>
    </row>
    <row r="12" spans="1:13" ht="12.75">
      <c r="A12" s="69" t="s">
        <v>330</v>
      </c>
      <c r="C12" s="53">
        <f>K15</f>
        <v>76103.1297564619</v>
      </c>
      <c r="D12" s="53">
        <f>K17+K19</f>
        <v>191131.54375020473</v>
      </c>
      <c r="E12" s="53">
        <v>136409.78666666668</v>
      </c>
      <c r="F12" s="53">
        <f>SUM(C12:E12)</f>
        <v>403644.4601733333</v>
      </c>
      <c r="H12" s="73">
        <v>1</v>
      </c>
      <c r="I12" s="53" t="s">
        <v>331</v>
      </c>
      <c r="J12" s="74"/>
      <c r="K12" s="75">
        <f>+'equivalent annual costs'!F5</f>
        <v>494336.8110844136</v>
      </c>
      <c r="L12" s="53">
        <f>+'equivalent annual costs'!F11</f>
        <v>127044.17359287091</v>
      </c>
      <c r="M12" s="75">
        <f>SUM(K12:L12)</f>
        <v>621380.9846772845</v>
      </c>
    </row>
    <row r="13" spans="1:13" ht="12.75">
      <c r="A13" s="69" t="s">
        <v>332</v>
      </c>
      <c r="B13" s="53">
        <v>276454</v>
      </c>
      <c r="C13" s="53">
        <f>L15-C30-C33</f>
        <v>9560</v>
      </c>
      <c r="D13" s="53">
        <f>L17+L19-D30-D33</f>
        <v>24008</v>
      </c>
      <c r="E13" s="53">
        <v>35329.866666666676</v>
      </c>
      <c r="F13" s="53">
        <f>SUM(C13:E13)</f>
        <v>68897.86666666667</v>
      </c>
      <c r="H13" s="53">
        <v>2</v>
      </c>
      <c r="J13" s="53" t="s">
        <v>333</v>
      </c>
      <c r="K13" s="54">
        <f>K12/M12</f>
        <v>0.7955454435754072</v>
      </c>
      <c r="L13" s="54">
        <f>L12/M12</f>
        <v>0.20445455642459281</v>
      </c>
      <c r="M13" s="10">
        <v>1</v>
      </c>
    </row>
    <row r="14" spans="1:13" ht="12.75">
      <c r="A14" s="69" t="s">
        <v>334</v>
      </c>
      <c r="E14" s="53">
        <v>0</v>
      </c>
      <c r="F14" s="53">
        <f aca="true" t="shared" si="0" ref="F14:F19">SUM(C14:E14)</f>
        <v>0</v>
      </c>
      <c r="G14" s="76"/>
      <c r="J14"/>
      <c r="K14"/>
      <c r="M14"/>
    </row>
    <row r="15" spans="1:13" ht="12.75">
      <c r="A15" s="69" t="s">
        <v>335</v>
      </c>
      <c r="E15" s="53">
        <v>0</v>
      </c>
      <c r="F15" s="53">
        <f t="shared" si="0"/>
        <v>0</v>
      </c>
      <c r="G15" s="77"/>
      <c r="H15" s="53">
        <v>3</v>
      </c>
      <c r="I15" s="53" t="s">
        <v>336</v>
      </c>
      <c r="J15"/>
      <c r="K15" s="29">
        <f>M15-L15</f>
        <v>76103.1297564619</v>
      </c>
      <c r="L15" s="53">
        <f>ROUND(M15*L13,0)</f>
        <v>19559</v>
      </c>
      <c r="M15" s="29">
        <f>+'Income Statement Cash Flows'!E36</f>
        <v>95662.1297564619</v>
      </c>
    </row>
    <row r="16" spans="1:13" ht="12.75">
      <c r="A16" s="69" t="s">
        <v>337</v>
      </c>
      <c r="E16" s="53">
        <v>0</v>
      </c>
      <c r="F16" s="53">
        <f t="shared" si="0"/>
        <v>0</v>
      </c>
      <c r="G16" s="76"/>
      <c r="J16"/>
      <c r="K16"/>
      <c r="M16"/>
    </row>
    <row r="17" spans="1:13" ht="12.75">
      <c r="A17" s="53" t="s">
        <v>338</v>
      </c>
      <c r="E17" s="53">
        <v>0</v>
      </c>
      <c r="F17" s="53">
        <f t="shared" si="0"/>
        <v>0</v>
      </c>
      <c r="G17" s="76"/>
      <c r="H17" s="53">
        <v>4</v>
      </c>
      <c r="I17" s="224" t="s">
        <v>367</v>
      </c>
      <c r="J17"/>
      <c r="K17" s="29">
        <f>M17-L17</f>
        <v>175220.54375020473</v>
      </c>
      <c r="L17" s="53">
        <f>ROUND(M17*$L$13,0)</f>
        <v>45031</v>
      </c>
      <c r="M17" s="29">
        <f>+'Income Statement Cash Flows'!E40</f>
        <v>220251.54375020473</v>
      </c>
    </row>
    <row r="18" spans="1:13" ht="12.75">
      <c r="A18" s="69" t="s">
        <v>340</v>
      </c>
      <c r="E18" s="53">
        <v>0</v>
      </c>
      <c r="F18" s="53">
        <f t="shared" si="0"/>
        <v>0</v>
      </c>
      <c r="G18" s="76"/>
      <c r="J18"/>
      <c r="K18" s="29"/>
      <c r="M18" s="29"/>
    </row>
    <row r="19" spans="1:13" ht="12.75">
      <c r="A19" s="69" t="s">
        <v>341</v>
      </c>
      <c r="E19" s="53">
        <v>0</v>
      </c>
      <c r="F19" s="53">
        <f t="shared" si="0"/>
        <v>0</v>
      </c>
      <c r="G19" s="78"/>
      <c r="H19" s="53">
        <v>5</v>
      </c>
      <c r="I19" s="224" t="s">
        <v>722</v>
      </c>
      <c r="J19"/>
      <c r="K19" s="29">
        <f>M19-L19</f>
        <v>15911</v>
      </c>
      <c r="L19" s="53">
        <f>ROUND(M19*$L$13,0)</f>
        <v>4089</v>
      </c>
      <c r="M19">
        <f>+'Modeling results'!B31</f>
        <v>20000</v>
      </c>
    </row>
    <row r="20" spans="1:13" ht="12.75">
      <c r="A20" s="69" t="s">
        <v>342</v>
      </c>
      <c r="B20" s="53">
        <f>SUM(B12:B19)</f>
        <v>276454</v>
      </c>
      <c r="C20" s="53">
        <f>SUM(C12:C19)</f>
        <v>85663.1297564619</v>
      </c>
      <c r="D20" s="53">
        <f>SUM(D12:D19)</f>
        <v>215139.54375020473</v>
      </c>
      <c r="E20" s="53">
        <f>SUM(E12:E19)</f>
        <v>171739.65333333335</v>
      </c>
      <c r="F20" s="53">
        <f>SUM(F12:F19)</f>
        <v>472542.32684</v>
      </c>
      <c r="G20" s="78"/>
      <c r="K20"/>
      <c r="M20"/>
    </row>
    <row r="21" spans="10:14" ht="12.75">
      <c r="J21"/>
      <c r="K21"/>
      <c r="L21"/>
      <c r="M21"/>
      <c r="N21"/>
    </row>
    <row r="22" spans="1:14" ht="12.75">
      <c r="A22" s="69" t="s">
        <v>343</v>
      </c>
      <c r="I22" s="224" t="s">
        <v>723</v>
      </c>
      <c r="J22"/>
      <c r="K22"/>
      <c r="L22"/>
      <c r="M22" s="103">
        <f>+M17/(M17+M19)</f>
        <v>0.9167539167998251</v>
      </c>
      <c r="N22"/>
    </row>
    <row r="23" spans="1:13" ht="12.75">
      <c r="A23" s="69" t="s">
        <v>344</v>
      </c>
      <c r="E23" s="53">
        <v>0</v>
      </c>
      <c r="F23" s="53">
        <f>SUM(C23:E23)</f>
        <v>0</v>
      </c>
      <c r="G23" s="79"/>
      <c r="J23"/>
      <c r="K23"/>
      <c r="M23"/>
    </row>
    <row r="24" spans="1:13" ht="12.75">
      <c r="A24" s="69" t="s">
        <v>345</v>
      </c>
      <c r="E24" s="53">
        <v>0</v>
      </c>
      <c r="F24" s="53">
        <f>SUM(C24:E24)</f>
        <v>0</v>
      </c>
      <c r="G24" s="79"/>
      <c r="J24"/>
      <c r="K24"/>
      <c r="M24"/>
    </row>
    <row r="25" spans="1:13" ht="12.75">
      <c r="A25" s="69" t="s">
        <v>346</v>
      </c>
      <c r="E25" s="53">
        <v>0</v>
      </c>
      <c r="F25" s="53">
        <f>SUM(C25:E25)</f>
        <v>0</v>
      </c>
      <c r="J25"/>
      <c r="K25"/>
      <c r="M25"/>
    </row>
    <row r="26" spans="1:13" ht="12.75">
      <c r="A26" s="69" t="s">
        <v>347</v>
      </c>
      <c r="E26" s="53">
        <v>0</v>
      </c>
      <c r="F26" s="53">
        <f>F23+F24+F25</f>
        <v>0</v>
      </c>
      <c r="J26"/>
      <c r="K26"/>
      <c r="M26"/>
    </row>
    <row r="27" spans="10:14" ht="12.75">
      <c r="J27"/>
      <c r="K27"/>
      <c r="L27"/>
      <c r="M27"/>
      <c r="N27"/>
    </row>
    <row r="28" spans="1:14" ht="12.75">
      <c r="A28" s="69" t="s">
        <v>348</v>
      </c>
      <c r="E28" s="53">
        <v>0</v>
      </c>
      <c r="F28" s="53">
        <f>SUM(C28:E28)</f>
        <v>0</v>
      </c>
      <c r="J28"/>
      <c r="K28"/>
      <c r="L28"/>
      <c r="M28"/>
      <c r="N28"/>
    </row>
    <row r="29" spans="10:14" ht="12.75">
      <c r="J29"/>
      <c r="K29"/>
      <c r="L29"/>
      <c r="M29"/>
      <c r="N29"/>
    </row>
    <row r="30" spans="1:13" ht="12.75">
      <c r="A30" s="69" t="s">
        <v>349</v>
      </c>
      <c r="B30" s="53">
        <v>246937</v>
      </c>
      <c r="C30" s="53">
        <f>ROUND($B30/$B$37*$L$15,0)</f>
        <v>8539</v>
      </c>
      <c r="D30" s="53">
        <f>ROUND($B30/$B$37*($L$17+$L$19),0)</f>
        <v>21445</v>
      </c>
      <c r="E30" s="53">
        <v>25555</v>
      </c>
      <c r="F30" s="53">
        <f>SUM(C30:E30)</f>
        <v>55539</v>
      </c>
      <c r="K30"/>
      <c r="M30"/>
    </row>
    <row r="31" spans="1:14" ht="12.75">
      <c r="A31" s="69"/>
      <c r="J31"/>
      <c r="K31"/>
      <c r="L31"/>
      <c r="M31"/>
      <c r="N31"/>
    </row>
    <row r="32" spans="1:14" ht="12.75">
      <c r="A32" s="69" t="s">
        <v>350</v>
      </c>
      <c r="J32"/>
      <c r="K32"/>
      <c r="L32"/>
      <c r="M32"/>
      <c r="N32"/>
    </row>
    <row r="33" spans="1:13" ht="12.75">
      <c r="A33" s="69" t="s">
        <v>351</v>
      </c>
      <c r="B33" s="53">
        <v>42228</v>
      </c>
      <c r="C33" s="53">
        <f>ROUND($B33/$B$37*$L$15,0)</f>
        <v>1460</v>
      </c>
      <c r="D33" s="53">
        <f>ROUND($B33/$B$37*($L$17+$L$19),0)</f>
        <v>3667</v>
      </c>
      <c r="E33" s="53">
        <v>18080.088835</v>
      </c>
      <c r="F33" s="53">
        <f>SUM(C33:E33)</f>
        <v>23207.088835</v>
      </c>
      <c r="K33"/>
      <c r="M33"/>
    </row>
    <row r="34" spans="1:13" ht="12.75">
      <c r="A34" s="69" t="s">
        <v>352</v>
      </c>
      <c r="F34" s="53">
        <f>SUM(C34:E34)</f>
        <v>0</v>
      </c>
      <c r="J34"/>
      <c r="K34"/>
      <c r="M34"/>
    </row>
    <row r="35" spans="1:13" ht="12.75">
      <c r="A35" s="69" t="s">
        <v>353</v>
      </c>
      <c r="B35" s="53">
        <f>B33+B34</f>
        <v>42228</v>
      </c>
      <c r="C35" s="53">
        <f>C33+C34</f>
        <v>1460</v>
      </c>
      <c r="D35" s="53">
        <f>D33+D34</f>
        <v>3667</v>
      </c>
      <c r="E35" s="53">
        <f>E33+E34</f>
        <v>18080.088835</v>
      </c>
      <c r="F35" s="53">
        <f>F33+F34</f>
        <v>23207.088835</v>
      </c>
      <c r="K35"/>
      <c r="M35"/>
    </row>
    <row r="36" spans="10:14" ht="12.75">
      <c r="J36"/>
      <c r="K36"/>
      <c r="L36"/>
      <c r="M36"/>
      <c r="N36"/>
    </row>
    <row r="37" spans="1:13" ht="12.75">
      <c r="A37" s="69" t="s">
        <v>354</v>
      </c>
      <c r="B37" s="53">
        <f>B35+B30+B28+B26+B20</f>
        <v>565619</v>
      </c>
      <c r="C37" s="53">
        <f>C35+C30+C28+C26+C20</f>
        <v>95662.1297564619</v>
      </c>
      <c r="D37" s="53">
        <f>D35+D30+D28+D26+D20</f>
        <v>240251.54375020473</v>
      </c>
      <c r="E37" s="53">
        <f>E35+E30+E28+E26+E20</f>
        <v>215374.74216833335</v>
      </c>
      <c r="F37" s="53">
        <f>F35+F30+F28+F26+F20</f>
        <v>551288.415675</v>
      </c>
      <c r="K37"/>
      <c r="M37"/>
    </row>
    <row r="38" spans="10:14" ht="12.75">
      <c r="J38"/>
      <c r="K38"/>
      <c r="L38"/>
      <c r="M38"/>
      <c r="N38"/>
    </row>
    <row r="39" spans="1:14" ht="12.75">
      <c r="A39" s="69" t="s">
        <v>355</v>
      </c>
      <c r="B39"/>
      <c r="J39"/>
      <c r="K39"/>
      <c r="L39"/>
      <c r="M39"/>
      <c r="N39"/>
    </row>
    <row r="40" spans="1:13" ht="12.75">
      <c r="A40" s="53" t="s">
        <v>356</v>
      </c>
      <c r="E40" s="53">
        <v>0</v>
      </c>
      <c r="F40" s="53">
        <f>SUM(C40:E40)</f>
        <v>0</v>
      </c>
      <c r="M40"/>
    </row>
    <row r="41" spans="1:13" ht="12.75">
      <c r="A41" s="53" t="s">
        <v>357</v>
      </c>
      <c r="E41" s="53">
        <v>0</v>
      </c>
      <c r="F41" s="53">
        <f>SUM(C41:E41)</f>
        <v>0</v>
      </c>
      <c r="M41"/>
    </row>
    <row r="42" spans="1:13" ht="12.75">
      <c r="A42" s="53" t="s">
        <v>358</v>
      </c>
      <c r="E42" s="53">
        <v>0</v>
      </c>
      <c r="F42" s="53">
        <f>SUM(C42:E42)</f>
        <v>0</v>
      </c>
      <c r="M42"/>
    </row>
    <row r="43" spans="1:13" ht="12.75">
      <c r="A43" s="53" t="s">
        <v>359</v>
      </c>
      <c r="E43" s="53">
        <v>0</v>
      </c>
      <c r="F43" s="53">
        <f>SUM(F40:F42)</f>
        <v>0</v>
      </c>
      <c r="M43"/>
    </row>
    <row r="44" spans="10:14" ht="12.75">
      <c r="J44"/>
      <c r="K44"/>
      <c r="L44"/>
      <c r="M44"/>
      <c r="N44"/>
    </row>
    <row r="45" spans="1:13" ht="12.75">
      <c r="A45" s="69" t="s">
        <v>360</v>
      </c>
      <c r="C45" s="53">
        <f>C37+C43</f>
        <v>95662.1297564619</v>
      </c>
      <c r="D45" s="53">
        <f>D37+D43</f>
        <v>240251.54375020473</v>
      </c>
      <c r="E45" s="53">
        <f>E37+E43</f>
        <v>215374.74216833335</v>
      </c>
      <c r="F45" s="53">
        <f>F37+F43</f>
        <v>551288.415675</v>
      </c>
      <c r="M45"/>
    </row>
    <row r="46" spans="10:14" ht="12.75">
      <c r="J46"/>
      <c r="K46"/>
      <c r="L46"/>
      <c r="M46"/>
      <c r="N46"/>
    </row>
    <row r="47" spans="10:14" ht="12.75">
      <c r="J47"/>
      <c r="K47"/>
      <c r="L47"/>
      <c r="M47"/>
      <c r="N47"/>
    </row>
    <row r="48" spans="10:14" ht="12.75">
      <c r="J48"/>
      <c r="K48"/>
      <c r="L48"/>
      <c r="M48"/>
      <c r="N48"/>
    </row>
    <row r="49" spans="1:14" ht="12.75">
      <c r="A49" s="80"/>
      <c r="B49" s="80"/>
      <c r="J49"/>
      <c r="K49"/>
      <c r="L49"/>
      <c r="M49"/>
      <c r="N49"/>
    </row>
    <row r="50" spans="2:6" ht="12.75">
      <c r="B50" s="80"/>
      <c r="E50" s="65" t="s">
        <v>316</v>
      </c>
      <c r="F50" s="66">
        <f>F4+1</f>
        <v>2019</v>
      </c>
    </row>
    <row r="51" spans="1:2" ht="12.75">
      <c r="A51" s="64"/>
      <c r="B51" s="64"/>
    </row>
    <row r="52" spans="2:6" ht="12.75">
      <c r="B52" s="67" t="s">
        <v>172</v>
      </c>
      <c r="C52" s="67" t="s">
        <v>173</v>
      </c>
      <c r="D52" s="67" t="s">
        <v>174</v>
      </c>
      <c r="E52" s="67" t="s">
        <v>175</v>
      </c>
      <c r="F52" s="67" t="s">
        <v>176</v>
      </c>
    </row>
    <row r="53" spans="2:6" ht="12.75">
      <c r="B53" s="68" t="s">
        <v>317</v>
      </c>
      <c r="C53" s="67" t="s">
        <v>318</v>
      </c>
      <c r="D53" s="67" t="s">
        <v>318</v>
      </c>
      <c r="E53" s="67" t="s">
        <v>319</v>
      </c>
      <c r="F53" s="67" t="s">
        <v>320</v>
      </c>
    </row>
    <row r="54" spans="2:6" ht="12.75">
      <c r="B54" s="68" t="s">
        <v>321</v>
      </c>
      <c r="C54" s="67" t="s">
        <v>295</v>
      </c>
      <c r="D54" s="67" t="s">
        <v>322</v>
      </c>
      <c r="E54" s="67" t="s">
        <v>323</v>
      </c>
      <c r="F54" s="67" t="s">
        <v>324</v>
      </c>
    </row>
    <row r="55" spans="1:7" ht="12.75">
      <c r="A55" s="69" t="s">
        <v>325</v>
      </c>
      <c r="G55" s="64"/>
    </row>
    <row r="56" spans="9:13" ht="12.75">
      <c r="I56" s="70"/>
      <c r="M56" s="68" t="s">
        <v>163</v>
      </c>
    </row>
    <row r="57" spans="1:13" ht="12.75">
      <c r="A57" s="69" t="s">
        <v>326</v>
      </c>
      <c r="I57" s="71" t="s">
        <v>316</v>
      </c>
      <c r="J57" s="72">
        <f>F50</f>
        <v>2019</v>
      </c>
      <c r="K57" s="68" t="s">
        <v>327</v>
      </c>
      <c r="L57" s="68" t="s">
        <v>328</v>
      </c>
      <c r="M57" s="68" t="s">
        <v>329</v>
      </c>
    </row>
    <row r="58" spans="1:13" ht="12.75">
      <c r="A58" s="69" t="s">
        <v>330</v>
      </c>
      <c r="C58" s="53">
        <f>K61</f>
        <v>79385.90144684212</v>
      </c>
      <c r="D58" s="53">
        <f>K63+K65</f>
        <v>69646.77939982456</v>
      </c>
      <c r="E58" s="53">
        <v>140854.78666666668</v>
      </c>
      <c r="F58" s="53">
        <f>SUM(C58:E58)</f>
        <v>289887.46751333337</v>
      </c>
      <c r="H58" s="73">
        <v>1</v>
      </c>
      <c r="I58" s="53" t="s">
        <v>331</v>
      </c>
      <c r="J58" s="74"/>
      <c r="K58" s="75">
        <f>+'equivalent annual costs'!I5</f>
        <v>498712.9459541612</v>
      </c>
      <c r="L58" s="53">
        <f>+'equivalent annual costs'!I11</f>
        <v>131306.7848034893</v>
      </c>
      <c r="M58" s="75">
        <f>SUM(K58:L58)</f>
        <v>630019.7307576505</v>
      </c>
    </row>
    <row r="59" spans="1:13" ht="12" customHeight="1">
      <c r="A59" s="69" t="s">
        <v>332</v>
      </c>
      <c r="B59" s="53">
        <v>287781</v>
      </c>
      <c r="C59" s="53">
        <f>L61-C76-C79</f>
        <v>10984</v>
      </c>
      <c r="D59" s="53">
        <f>L63+L65-D76-D79</f>
        <v>9637</v>
      </c>
      <c r="E59" s="53">
        <v>36548.29946666667</v>
      </c>
      <c r="F59" s="53">
        <f aca="true" t="shared" si="1" ref="F59:F65">SUM(C59:E59)</f>
        <v>57169.29946666667</v>
      </c>
      <c r="H59" s="53">
        <v>2</v>
      </c>
      <c r="J59" s="53" t="s">
        <v>333</v>
      </c>
      <c r="K59" s="54">
        <f>K58/M58</f>
        <v>0.7915830593978667</v>
      </c>
      <c r="L59" s="54">
        <f>L58/M58</f>
        <v>0.2084169406021334</v>
      </c>
      <c r="M59" s="10">
        <v>1</v>
      </c>
    </row>
    <row r="60" spans="1:13" ht="12.75">
      <c r="A60" s="69" t="s">
        <v>334</v>
      </c>
      <c r="E60" s="53">
        <v>0</v>
      </c>
      <c r="F60" s="53">
        <f t="shared" si="1"/>
        <v>0</v>
      </c>
      <c r="G60" s="76"/>
      <c r="J60"/>
      <c r="K60"/>
      <c r="M60"/>
    </row>
    <row r="61" spans="1:13" ht="12.75">
      <c r="A61" s="69" t="s">
        <v>335</v>
      </c>
      <c r="E61" s="53">
        <v>0</v>
      </c>
      <c r="F61" s="53">
        <f t="shared" si="1"/>
        <v>0</v>
      </c>
      <c r="G61" s="77"/>
      <c r="H61" s="53">
        <v>3</v>
      </c>
      <c r="I61" s="53" t="s">
        <v>336</v>
      </c>
      <c r="J61"/>
      <c r="K61" s="29">
        <f>M61-L61</f>
        <v>79385.90144684212</v>
      </c>
      <c r="L61" s="53">
        <f>ROUND(M61*L59,0)</f>
        <v>20901</v>
      </c>
      <c r="M61" s="29">
        <f>+'Income Statement Cash Flows'!F36</f>
        <v>100286.90144684212</v>
      </c>
    </row>
    <row r="62" spans="1:13" ht="12.75">
      <c r="A62" s="69" t="s">
        <v>337</v>
      </c>
      <c r="E62" s="53">
        <v>0</v>
      </c>
      <c r="F62" s="53">
        <f t="shared" si="1"/>
        <v>0</v>
      </c>
      <c r="G62" s="76"/>
      <c r="J62"/>
      <c r="K62"/>
      <c r="M62"/>
    </row>
    <row r="63" spans="1:13" ht="12.75">
      <c r="A63" s="53" t="s">
        <v>338</v>
      </c>
      <c r="E63" s="53">
        <v>0</v>
      </c>
      <c r="F63" s="53">
        <f t="shared" si="1"/>
        <v>0</v>
      </c>
      <c r="G63" s="76"/>
      <c r="H63" s="53">
        <v>4</v>
      </c>
      <c r="I63" s="53" t="s">
        <v>339</v>
      </c>
      <c r="J63"/>
      <c r="K63" s="29">
        <f>M63-L63</f>
        <v>53814.77939982456</v>
      </c>
      <c r="L63" s="53">
        <f>ROUND(M63*L59,0)</f>
        <v>14169</v>
      </c>
      <c r="M63" s="29">
        <f>+'Income Statement Cash Flows'!F40</f>
        <v>67983.77939982456</v>
      </c>
    </row>
    <row r="64" spans="1:13" ht="12.75">
      <c r="A64" s="69" t="s">
        <v>340</v>
      </c>
      <c r="E64" s="53">
        <v>0</v>
      </c>
      <c r="F64" s="53">
        <f t="shared" si="1"/>
        <v>0</v>
      </c>
      <c r="G64" s="76"/>
      <c r="J64"/>
      <c r="K64" s="323"/>
      <c r="L64" s="323"/>
      <c r="M64" s="323"/>
    </row>
    <row r="65" spans="1:13" ht="12.75">
      <c r="A65" s="69" t="s">
        <v>341</v>
      </c>
      <c r="E65" s="53">
        <v>0</v>
      </c>
      <c r="F65" s="53">
        <f t="shared" si="1"/>
        <v>0</v>
      </c>
      <c r="G65" s="78"/>
      <c r="H65" s="53">
        <v>5</v>
      </c>
      <c r="I65" s="224" t="s">
        <v>722</v>
      </c>
      <c r="J65"/>
      <c r="K65" s="323">
        <f>M65-L65</f>
        <v>15832</v>
      </c>
      <c r="L65" s="323">
        <f>ROUND(M65*$L$59,0)</f>
        <v>4168</v>
      </c>
      <c r="M65" s="323">
        <f>+'Modeling results'!C31</f>
        <v>20000</v>
      </c>
    </row>
    <row r="66" spans="1:13" ht="12.75">
      <c r="A66" s="69" t="s">
        <v>342</v>
      </c>
      <c r="B66" s="53">
        <f>SUM(B58:B65)</f>
        <v>287781</v>
      </c>
      <c r="C66" s="53">
        <f>SUM(C58:C65)</f>
        <v>90369.90144684212</v>
      </c>
      <c r="D66" s="53">
        <f>SUM(D58:D65)</f>
        <v>79283.77939982456</v>
      </c>
      <c r="E66" s="53">
        <f>SUM(E58:E65)</f>
        <v>177403.08613333336</v>
      </c>
      <c r="F66" s="53">
        <f>SUM(F58:F65)</f>
        <v>347056.76698</v>
      </c>
      <c r="G66" s="78"/>
      <c r="K66"/>
      <c r="M66"/>
    </row>
    <row r="67" spans="10:14" ht="12.75">
      <c r="J67"/>
      <c r="K67"/>
      <c r="L67"/>
      <c r="M67"/>
      <c r="N67"/>
    </row>
    <row r="68" spans="1:14" ht="12.75">
      <c r="A68" s="69" t="s">
        <v>343</v>
      </c>
      <c r="I68" s="224" t="s">
        <v>723</v>
      </c>
      <c r="J68"/>
      <c r="K68"/>
      <c r="L68"/>
      <c r="M68" s="103">
        <f>+M63/(M63+M65)</f>
        <v>0.7726853729581901</v>
      </c>
      <c r="N68"/>
    </row>
    <row r="69" spans="1:13" ht="12.75">
      <c r="A69" s="69" t="s">
        <v>344</v>
      </c>
      <c r="E69" s="53">
        <v>0</v>
      </c>
      <c r="F69" s="53">
        <f>SUM(C69:E69)</f>
        <v>0</v>
      </c>
      <c r="G69" s="79"/>
      <c r="J69"/>
      <c r="K69"/>
      <c r="M69"/>
    </row>
    <row r="70" spans="1:13" ht="12.75">
      <c r="A70" s="69" t="s">
        <v>345</v>
      </c>
      <c r="E70" s="53">
        <v>0</v>
      </c>
      <c r="F70" s="53">
        <f>SUM(C70:E70)</f>
        <v>0</v>
      </c>
      <c r="G70" s="79"/>
      <c r="J70"/>
      <c r="K70"/>
      <c r="M70"/>
    </row>
    <row r="71" spans="1:13" ht="12.75">
      <c r="A71" s="69" t="s">
        <v>346</v>
      </c>
      <c r="E71" s="53">
        <v>0</v>
      </c>
      <c r="F71" s="53">
        <f>SUM(C71:E71)</f>
        <v>0</v>
      </c>
      <c r="J71"/>
      <c r="K71"/>
      <c r="M71"/>
    </row>
    <row r="72" spans="1:13" ht="12.75">
      <c r="A72" s="69" t="s">
        <v>347</v>
      </c>
      <c r="E72" s="53">
        <v>0</v>
      </c>
      <c r="F72" s="53">
        <f>F69+F70+F71</f>
        <v>0</v>
      </c>
      <c r="J72"/>
      <c r="K72"/>
      <c r="M72"/>
    </row>
    <row r="73" spans="10:14" ht="12.75">
      <c r="J73"/>
      <c r="K73"/>
      <c r="L73"/>
      <c r="M73"/>
      <c r="N73"/>
    </row>
    <row r="74" spans="1:14" ht="12.75">
      <c r="A74" s="69" t="s">
        <v>348</v>
      </c>
      <c r="E74" s="53">
        <v>0</v>
      </c>
      <c r="F74" s="53">
        <f>SUM(C74:E74)</f>
        <v>0</v>
      </c>
      <c r="J74"/>
      <c r="K74"/>
      <c r="L74"/>
      <c r="M74"/>
      <c r="N74"/>
    </row>
    <row r="75" spans="10:14" ht="12.75">
      <c r="J75"/>
      <c r="K75"/>
      <c r="L75"/>
      <c r="M75"/>
      <c r="N75"/>
    </row>
    <row r="76" spans="1:13" ht="12.75">
      <c r="A76" s="69" t="s">
        <v>349</v>
      </c>
      <c r="B76" s="53">
        <v>226219</v>
      </c>
      <c r="C76" s="53">
        <f>ROUND($B76/$B$83*$L$61,0)</f>
        <v>8635</v>
      </c>
      <c r="D76" s="53">
        <f>ROUND($B76/$B$83*($L$63+$L$65),0)</f>
        <v>7575</v>
      </c>
      <c r="E76" s="53">
        <v>40512</v>
      </c>
      <c r="F76" s="53">
        <f>SUM(C76:E76)</f>
        <v>56722</v>
      </c>
      <c r="K76"/>
      <c r="M76"/>
    </row>
    <row r="77" spans="1:14" ht="12.75">
      <c r="A77" s="69"/>
      <c r="J77"/>
      <c r="K77"/>
      <c r="L77"/>
      <c r="M77"/>
      <c r="N77"/>
    </row>
    <row r="78" spans="1:14" ht="12.75">
      <c r="A78" s="69" t="s">
        <v>350</v>
      </c>
      <c r="J78"/>
      <c r="K78"/>
      <c r="L78"/>
      <c r="M78"/>
      <c r="N78"/>
    </row>
    <row r="79" spans="1:13" ht="12.75">
      <c r="A79" s="69" t="s">
        <v>351</v>
      </c>
      <c r="B79" s="53">
        <v>33583</v>
      </c>
      <c r="C79" s="53">
        <f>ROUND($B79/$B$83*$L$61,0)</f>
        <v>1282</v>
      </c>
      <c r="D79" s="53">
        <f>ROUND($B79/$B$83*($L$63+$L$65),0)</f>
        <v>1125</v>
      </c>
      <c r="E79" s="53">
        <v>13608.666519999999</v>
      </c>
      <c r="F79" s="53">
        <f>SUM(C79:E79)</f>
        <v>16015.666519999999</v>
      </c>
      <c r="K79"/>
      <c r="M79"/>
    </row>
    <row r="80" spans="1:13" ht="12.75">
      <c r="A80" s="69" t="s">
        <v>352</v>
      </c>
      <c r="F80" s="53">
        <f>SUM(C80:E80)</f>
        <v>0</v>
      </c>
      <c r="J80"/>
      <c r="K80"/>
      <c r="M80"/>
    </row>
    <row r="81" spans="1:13" ht="12.75">
      <c r="A81" s="69" t="s">
        <v>353</v>
      </c>
      <c r="B81" s="53">
        <f>B79+B80</f>
        <v>33583</v>
      </c>
      <c r="C81" s="53">
        <f>C79+C80</f>
        <v>1282</v>
      </c>
      <c r="D81" s="53">
        <f>D79+D80</f>
        <v>1125</v>
      </c>
      <c r="E81" s="53">
        <f>E79+E80</f>
        <v>13608.666519999999</v>
      </c>
      <c r="F81" s="53">
        <f>F79+F80</f>
        <v>16015.666519999999</v>
      </c>
      <c r="K81"/>
      <c r="M81"/>
    </row>
    <row r="82" spans="10:14" ht="12.75">
      <c r="J82"/>
      <c r="K82"/>
      <c r="L82"/>
      <c r="M82"/>
      <c r="N82"/>
    </row>
    <row r="83" spans="1:13" ht="12.75">
      <c r="A83" s="69" t="s">
        <v>354</v>
      </c>
      <c r="B83" s="53">
        <f>B81+B76+B74+B72+B66</f>
        <v>547583</v>
      </c>
      <c r="C83" s="53">
        <f>C81+C76+C74+C72+C66</f>
        <v>100286.90144684212</v>
      </c>
      <c r="D83" s="53">
        <f>D81+D76+D74+D72+D66</f>
        <v>87983.77939982456</v>
      </c>
      <c r="E83" s="53">
        <f>E81+E76+E74+E72+E66</f>
        <v>231523.75265333336</v>
      </c>
      <c r="F83" s="53">
        <f>F81+F76+F74+F72+F66</f>
        <v>419794.43350000004</v>
      </c>
      <c r="K83"/>
      <c r="M83"/>
    </row>
    <row r="84" spans="10:14" ht="12.75">
      <c r="J84"/>
      <c r="K84"/>
      <c r="L84"/>
      <c r="M84"/>
      <c r="N84"/>
    </row>
    <row r="85" spans="1:14" ht="12.75">
      <c r="A85" s="69" t="s">
        <v>355</v>
      </c>
      <c r="B85"/>
      <c r="J85"/>
      <c r="K85"/>
      <c r="L85"/>
      <c r="M85"/>
      <c r="N85"/>
    </row>
    <row r="86" spans="1:13" ht="12.75">
      <c r="A86" s="53" t="s">
        <v>356</v>
      </c>
      <c r="E86" s="53">
        <v>0</v>
      </c>
      <c r="F86" s="53">
        <f>SUM(C86:E86)</f>
        <v>0</v>
      </c>
      <c r="M86"/>
    </row>
    <row r="87" spans="1:13" ht="12.75">
      <c r="A87" s="53" t="s">
        <v>357</v>
      </c>
      <c r="E87" s="53">
        <v>0</v>
      </c>
      <c r="F87" s="53">
        <f>SUM(C87:E87)</f>
        <v>0</v>
      </c>
      <c r="M87"/>
    </row>
    <row r="88" spans="1:13" ht="12.75">
      <c r="A88" s="53" t="s">
        <v>358</v>
      </c>
      <c r="E88" s="53">
        <v>0</v>
      </c>
      <c r="F88" s="53">
        <f>SUM(C88:E88)</f>
        <v>0</v>
      </c>
      <c r="M88"/>
    </row>
    <row r="89" spans="1:13" ht="12.75">
      <c r="A89" s="53" t="s">
        <v>359</v>
      </c>
      <c r="E89" s="53">
        <v>0</v>
      </c>
      <c r="F89" s="53">
        <f>SUM(F86:F88)</f>
        <v>0</v>
      </c>
      <c r="M89"/>
    </row>
    <row r="90" spans="10:14" ht="12.75">
      <c r="J90"/>
      <c r="K90"/>
      <c r="L90"/>
      <c r="M90"/>
      <c r="N90"/>
    </row>
    <row r="91" spans="1:13" ht="12.75">
      <c r="A91" s="69" t="s">
        <v>360</v>
      </c>
      <c r="C91" s="53">
        <f>C89+C83</f>
        <v>100286.90144684212</v>
      </c>
      <c r="D91" s="53">
        <f>D89+D83</f>
        <v>87983.77939982456</v>
      </c>
      <c r="E91" s="53">
        <f>E89+E83</f>
        <v>231523.75265333336</v>
      </c>
      <c r="F91" s="53">
        <f>F89+F83</f>
        <v>419794.43350000004</v>
      </c>
      <c r="M91"/>
    </row>
    <row r="92" spans="10:14" ht="12.75">
      <c r="J92"/>
      <c r="K92"/>
      <c r="L92"/>
      <c r="M92"/>
      <c r="N92"/>
    </row>
    <row r="93" spans="10:14" ht="12.75">
      <c r="J93"/>
      <c r="K93"/>
      <c r="L93"/>
      <c r="M93"/>
      <c r="N93"/>
    </row>
    <row r="94" spans="10:14" ht="12.75">
      <c r="J94"/>
      <c r="K94"/>
      <c r="L94"/>
      <c r="M94"/>
      <c r="N94"/>
    </row>
    <row r="95" spans="1:14" ht="12.75">
      <c r="A95" s="80"/>
      <c r="B95" s="80"/>
      <c r="J95"/>
      <c r="K95"/>
      <c r="L95"/>
      <c r="M95"/>
      <c r="N95"/>
    </row>
    <row r="96" spans="5:6" ht="12.75">
      <c r="E96" s="65" t="s">
        <v>316</v>
      </c>
      <c r="F96" s="66">
        <f>F50+1</f>
        <v>2020</v>
      </c>
    </row>
    <row r="97" spans="1:2" ht="12.75">
      <c r="A97" s="64"/>
      <c r="B97" s="64"/>
    </row>
    <row r="98" spans="2:6" ht="12.75">
      <c r="B98" s="67" t="s">
        <v>172</v>
      </c>
      <c r="C98" s="67" t="s">
        <v>173</v>
      </c>
      <c r="D98" s="67" t="s">
        <v>174</v>
      </c>
      <c r="E98" s="67" t="s">
        <v>175</v>
      </c>
      <c r="F98" s="67" t="s">
        <v>176</v>
      </c>
    </row>
    <row r="99" spans="2:6" ht="12.75">
      <c r="B99" s="68" t="s">
        <v>317</v>
      </c>
      <c r="C99" s="67" t="s">
        <v>318</v>
      </c>
      <c r="D99" s="67" t="s">
        <v>318</v>
      </c>
      <c r="E99" s="67" t="s">
        <v>319</v>
      </c>
      <c r="F99" s="67" t="s">
        <v>320</v>
      </c>
    </row>
    <row r="100" spans="2:6" ht="12.75">
      <c r="B100" s="68" t="s">
        <v>321</v>
      </c>
      <c r="C100" s="67" t="s">
        <v>295</v>
      </c>
      <c r="D100" s="67" t="s">
        <v>322</v>
      </c>
      <c r="E100" s="67" t="s">
        <v>323</v>
      </c>
      <c r="F100" s="67" t="s">
        <v>324</v>
      </c>
    </row>
    <row r="101" spans="1:7" ht="12.75">
      <c r="A101" s="69" t="s">
        <v>325</v>
      </c>
      <c r="G101" s="64"/>
    </row>
    <row r="102" spans="9:13" ht="12.75">
      <c r="I102" s="70"/>
      <c r="M102" s="68" t="s">
        <v>163</v>
      </c>
    </row>
    <row r="103" spans="1:13" ht="12.75">
      <c r="A103" s="69" t="s">
        <v>326</v>
      </c>
      <c r="I103" s="71" t="s">
        <v>316</v>
      </c>
      <c r="J103" s="72">
        <f>F96</f>
        <v>2020</v>
      </c>
      <c r="K103" s="68" t="s">
        <v>327</v>
      </c>
      <c r="L103" s="68" t="s">
        <v>328</v>
      </c>
      <c r="M103" s="68" t="s">
        <v>329</v>
      </c>
    </row>
    <row r="104" spans="1:13" ht="12.75">
      <c r="A104" s="69" t="s">
        <v>330</v>
      </c>
      <c r="H104" s="73">
        <v>1</v>
      </c>
      <c r="I104" s="53" t="s">
        <v>331</v>
      </c>
      <c r="J104" s="74"/>
      <c r="K104" s="75"/>
      <c r="M104" s="75"/>
    </row>
    <row r="105" spans="1:13" ht="12.75">
      <c r="A105" s="69" t="s">
        <v>332</v>
      </c>
      <c r="H105" s="53">
        <v>2</v>
      </c>
      <c r="J105" s="53" t="s">
        <v>333</v>
      </c>
      <c r="K105" s="54" t="e">
        <f>K104/M104</f>
        <v>#DIV/0!</v>
      </c>
      <c r="L105" s="54" t="e">
        <f>L104/M104</f>
        <v>#DIV/0!</v>
      </c>
      <c r="M105" s="10">
        <v>1</v>
      </c>
    </row>
    <row r="106" spans="1:13" ht="12.75">
      <c r="A106" s="69" t="s">
        <v>334</v>
      </c>
      <c r="G106" s="76"/>
      <c r="J106"/>
      <c r="K106"/>
      <c r="M106"/>
    </row>
    <row r="107" spans="1:13" ht="12.75">
      <c r="A107" s="69" t="s">
        <v>335</v>
      </c>
      <c r="G107" s="77"/>
      <c r="H107" s="53">
        <v>3</v>
      </c>
      <c r="I107" s="53" t="s">
        <v>336</v>
      </c>
      <c r="J107"/>
      <c r="K107" s="29" t="e">
        <f>M107-L107</f>
        <v>#DIV/0!</v>
      </c>
      <c r="L107" s="53" t="e">
        <f>ROUND(M107*L105,0)</f>
        <v>#DIV/0!</v>
      </c>
      <c r="M107" s="29"/>
    </row>
    <row r="108" spans="1:13" ht="12.75">
      <c r="A108" s="69" t="s">
        <v>337</v>
      </c>
      <c r="G108" s="76"/>
      <c r="J108"/>
      <c r="K108"/>
      <c r="M108"/>
    </row>
    <row r="109" spans="1:13" ht="12.75">
      <c r="A109" s="53" t="s">
        <v>338</v>
      </c>
      <c r="G109" s="76"/>
      <c r="H109" s="53">
        <v>4</v>
      </c>
      <c r="I109" s="53" t="s">
        <v>339</v>
      </c>
      <c r="J109"/>
      <c r="K109" s="29" t="e">
        <f>M109-L109</f>
        <v>#DIV/0!</v>
      </c>
      <c r="L109" s="53" t="e">
        <f>ROUND(M109*L105,0)</f>
        <v>#DIV/0!</v>
      </c>
      <c r="M109" s="29"/>
    </row>
    <row r="110" spans="1:13" ht="12.75">
      <c r="A110" s="69" t="s">
        <v>340</v>
      </c>
      <c r="G110" s="76"/>
      <c r="J110"/>
      <c r="K110" s="29"/>
      <c r="M110" s="29"/>
    </row>
    <row r="111" spans="1:13" ht="12.75">
      <c r="A111" s="69" t="s">
        <v>341</v>
      </c>
      <c r="G111" s="78"/>
      <c r="J111"/>
      <c r="K111"/>
      <c r="M111"/>
    </row>
    <row r="112" spans="1:13" ht="12.75">
      <c r="A112" s="69" t="s">
        <v>342</v>
      </c>
      <c r="G112" s="78"/>
      <c r="K112"/>
      <c r="M112"/>
    </row>
    <row r="113" spans="10:14" ht="12.75">
      <c r="J113"/>
      <c r="K113"/>
      <c r="L113"/>
      <c r="M113"/>
      <c r="N113"/>
    </row>
    <row r="114" spans="1:14" ht="12.75">
      <c r="A114" s="69" t="s">
        <v>343</v>
      </c>
      <c r="J114"/>
      <c r="K114"/>
      <c r="L114"/>
      <c r="M114"/>
      <c r="N114"/>
    </row>
    <row r="115" spans="1:13" ht="12.75">
      <c r="A115" s="69" t="s">
        <v>344</v>
      </c>
      <c r="G115" s="79"/>
      <c r="J115"/>
      <c r="K115"/>
      <c r="M115"/>
    </row>
    <row r="116" spans="1:13" ht="12.75">
      <c r="A116" s="69" t="s">
        <v>345</v>
      </c>
      <c r="G116" s="79"/>
      <c r="J116"/>
      <c r="K116"/>
      <c r="M116"/>
    </row>
    <row r="117" spans="1:13" ht="12.75">
      <c r="A117" s="69" t="s">
        <v>346</v>
      </c>
      <c r="J117"/>
      <c r="K117"/>
      <c r="M117"/>
    </row>
    <row r="118" spans="1:13" ht="12.75">
      <c r="A118" s="69" t="s">
        <v>347</v>
      </c>
      <c r="J118"/>
      <c r="K118"/>
      <c r="M118"/>
    </row>
    <row r="119" spans="10:14" ht="12.75">
      <c r="J119"/>
      <c r="K119"/>
      <c r="L119"/>
      <c r="M119"/>
      <c r="N119"/>
    </row>
    <row r="120" spans="1:13" ht="12.75">
      <c r="A120" s="69" t="s">
        <v>348</v>
      </c>
      <c r="J120"/>
      <c r="K120"/>
      <c r="L120"/>
      <c r="M120"/>
    </row>
    <row r="121" spans="10:14" ht="12.75">
      <c r="J121"/>
      <c r="K121"/>
      <c r="L121"/>
      <c r="M121"/>
      <c r="N121"/>
    </row>
    <row r="122" spans="1:13" ht="12.75">
      <c r="A122" s="69" t="s">
        <v>349</v>
      </c>
      <c r="K122"/>
      <c r="M122"/>
    </row>
    <row r="123" spans="1:14" ht="12.75">
      <c r="A123" s="69"/>
      <c r="J123"/>
      <c r="K123"/>
      <c r="L123"/>
      <c r="M123"/>
      <c r="N123"/>
    </row>
    <row r="124" spans="1:14" ht="12.75">
      <c r="A124" s="69" t="s">
        <v>350</v>
      </c>
      <c r="J124"/>
      <c r="K124"/>
      <c r="L124"/>
      <c r="M124"/>
      <c r="N124"/>
    </row>
    <row r="125" spans="1:13" ht="12.75">
      <c r="A125" s="69" t="s">
        <v>351</v>
      </c>
      <c r="K125"/>
      <c r="M125"/>
    </row>
    <row r="126" spans="1:13" ht="12.75">
      <c r="A126" s="69" t="s">
        <v>352</v>
      </c>
      <c r="J126"/>
      <c r="K126"/>
      <c r="M126"/>
    </row>
    <row r="127" spans="1:13" ht="12.75">
      <c r="A127" s="69" t="s">
        <v>353</v>
      </c>
      <c r="K127"/>
      <c r="M127"/>
    </row>
    <row r="128" spans="10:14" ht="12.75">
      <c r="J128"/>
      <c r="K128"/>
      <c r="L128"/>
      <c r="M128"/>
      <c r="N128"/>
    </row>
    <row r="129" spans="1:13" ht="12.75">
      <c r="A129" s="69" t="s">
        <v>354</v>
      </c>
      <c r="K129"/>
      <c r="M129"/>
    </row>
    <row r="130" spans="10:14" ht="12.75">
      <c r="J130"/>
      <c r="K130"/>
      <c r="L130"/>
      <c r="M130"/>
      <c r="N130"/>
    </row>
    <row r="131" spans="1:14" ht="12.75">
      <c r="A131" s="69" t="s">
        <v>355</v>
      </c>
      <c r="J131"/>
      <c r="K131"/>
      <c r="L131"/>
      <c r="M131"/>
      <c r="N131"/>
    </row>
    <row r="132" spans="1:13" ht="12.75">
      <c r="A132" s="53" t="s">
        <v>356</v>
      </c>
      <c r="M132"/>
    </row>
    <row r="133" spans="1:13" ht="12.75">
      <c r="A133" s="53" t="s">
        <v>357</v>
      </c>
      <c r="M133"/>
    </row>
    <row r="134" spans="1:13" ht="12.75">
      <c r="A134" s="53" t="s">
        <v>358</v>
      </c>
      <c r="M134"/>
    </row>
    <row r="135" spans="1:13" ht="12.75">
      <c r="A135" s="53" t="s">
        <v>359</v>
      </c>
      <c r="M135"/>
    </row>
    <row r="136" spans="10:14" ht="12.75">
      <c r="J136"/>
      <c r="K136"/>
      <c r="L136"/>
      <c r="M136"/>
      <c r="N136"/>
    </row>
    <row r="137" spans="1:13" ht="12.75">
      <c r="A137" s="69" t="s">
        <v>360</v>
      </c>
      <c r="M137"/>
    </row>
    <row r="138" spans="10:14" ht="12.75">
      <c r="J138"/>
      <c r="K138"/>
      <c r="L138"/>
      <c r="M138"/>
      <c r="N138"/>
    </row>
    <row r="139" spans="10:14" ht="12.75">
      <c r="J139"/>
      <c r="K139"/>
      <c r="L139"/>
      <c r="M139"/>
      <c r="N139"/>
    </row>
    <row r="140" spans="10:13" ht="12.75">
      <c r="J140"/>
      <c r="K140"/>
      <c r="L140"/>
      <c r="M140"/>
    </row>
    <row r="141" spans="1:14" ht="12.75">
      <c r="A141" s="80"/>
      <c r="B141" s="80"/>
      <c r="J141"/>
      <c r="K141"/>
      <c r="L141"/>
      <c r="M141"/>
      <c r="N141"/>
    </row>
    <row r="142" spans="5:6" ht="12.75">
      <c r="E142" s="65" t="s">
        <v>316</v>
      </c>
      <c r="F142" s="66">
        <f>F96+1</f>
        <v>2021</v>
      </c>
    </row>
    <row r="143" spans="1:2" ht="12.75">
      <c r="A143" s="64"/>
      <c r="B143" s="64"/>
    </row>
    <row r="144" spans="2:6" ht="12.75">
      <c r="B144" s="67" t="s">
        <v>172</v>
      </c>
      <c r="C144" s="67" t="s">
        <v>173</v>
      </c>
      <c r="D144" s="67" t="s">
        <v>174</v>
      </c>
      <c r="E144" s="67" t="s">
        <v>175</v>
      </c>
      <c r="F144" s="67" t="s">
        <v>176</v>
      </c>
    </row>
    <row r="145" spans="2:6" ht="12.75">
      <c r="B145" s="68" t="s">
        <v>317</v>
      </c>
      <c r="C145" s="67" t="s">
        <v>318</v>
      </c>
      <c r="D145" s="67" t="s">
        <v>318</v>
      </c>
      <c r="E145" s="67" t="s">
        <v>319</v>
      </c>
      <c r="F145" s="67" t="s">
        <v>320</v>
      </c>
    </row>
    <row r="146" spans="2:6" ht="12.75">
      <c r="B146" s="68" t="s">
        <v>321</v>
      </c>
      <c r="C146" s="67" t="s">
        <v>295</v>
      </c>
      <c r="D146" s="67" t="s">
        <v>322</v>
      </c>
      <c r="E146" s="67" t="s">
        <v>323</v>
      </c>
      <c r="F146" s="67" t="s">
        <v>324</v>
      </c>
    </row>
    <row r="147" spans="1:7" ht="12.75">
      <c r="A147" s="69" t="s">
        <v>325</v>
      </c>
      <c r="G147" s="64"/>
    </row>
    <row r="148" spans="9:13" ht="12.75">
      <c r="I148" s="70"/>
      <c r="M148" s="68" t="s">
        <v>163</v>
      </c>
    </row>
    <row r="149" spans="1:13" ht="12.75">
      <c r="A149" s="69" t="s">
        <v>326</v>
      </c>
      <c r="I149" s="71" t="s">
        <v>316</v>
      </c>
      <c r="J149" s="72">
        <f>F142</f>
        <v>2021</v>
      </c>
      <c r="K149" s="68" t="s">
        <v>327</v>
      </c>
      <c r="L149" s="68" t="s">
        <v>328</v>
      </c>
      <c r="M149" s="68" t="s">
        <v>329</v>
      </c>
    </row>
    <row r="150" spans="1:13" ht="12.75">
      <c r="A150" s="69" t="s">
        <v>330</v>
      </c>
      <c r="H150" s="73">
        <v>1</v>
      </c>
      <c r="I150" s="53" t="s">
        <v>331</v>
      </c>
      <c r="J150" s="74"/>
      <c r="K150" s="75"/>
      <c r="M150" s="75"/>
    </row>
    <row r="151" spans="1:13" ht="12.75">
      <c r="A151" s="69" t="s">
        <v>332</v>
      </c>
      <c r="H151" s="53">
        <v>2</v>
      </c>
      <c r="J151" s="53" t="s">
        <v>333</v>
      </c>
      <c r="K151" s="54" t="e">
        <f>K150/M150</f>
        <v>#DIV/0!</v>
      </c>
      <c r="L151" s="54" t="e">
        <f>L150/M150</f>
        <v>#DIV/0!</v>
      </c>
      <c r="M151" s="10">
        <v>1</v>
      </c>
    </row>
    <row r="152" spans="1:13" ht="12.75">
      <c r="A152" s="69" t="s">
        <v>334</v>
      </c>
      <c r="G152" s="76"/>
      <c r="J152"/>
      <c r="K152"/>
      <c r="M152"/>
    </row>
    <row r="153" spans="1:13" ht="12.75">
      <c r="A153" s="69" t="s">
        <v>335</v>
      </c>
      <c r="G153" s="77"/>
      <c r="H153" s="53">
        <v>3</v>
      </c>
      <c r="I153" s="53" t="s">
        <v>336</v>
      </c>
      <c r="J153"/>
      <c r="K153" s="29" t="e">
        <f>M153-L153</f>
        <v>#DIV/0!</v>
      </c>
      <c r="L153" s="53" t="e">
        <f>ROUND(M153*L151,0)</f>
        <v>#DIV/0!</v>
      </c>
      <c r="M153" s="29"/>
    </row>
    <row r="154" spans="1:13" ht="12.75">
      <c r="A154" s="69" t="s">
        <v>337</v>
      </c>
      <c r="G154" s="76"/>
      <c r="J154"/>
      <c r="K154"/>
      <c r="M154"/>
    </row>
    <row r="155" spans="1:13" ht="12.75">
      <c r="A155" s="53" t="s">
        <v>338</v>
      </c>
      <c r="G155" s="76"/>
      <c r="H155" s="53">
        <v>4</v>
      </c>
      <c r="I155" s="53" t="s">
        <v>339</v>
      </c>
      <c r="J155"/>
      <c r="K155" s="29" t="e">
        <f>M155-L155</f>
        <v>#DIV/0!</v>
      </c>
      <c r="L155" s="53" t="e">
        <f>ROUND(M155*L151,0)</f>
        <v>#DIV/0!</v>
      </c>
      <c r="M155" s="29"/>
    </row>
    <row r="156" spans="1:13" ht="12.75">
      <c r="A156" s="69" t="s">
        <v>340</v>
      </c>
      <c r="G156" s="76"/>
      <c r="J156"/>
      <c r="K156" s="29"/>
      <c r="M156" s="29"/>
    </row>
    <row r="157" spans="1:13" ht="12.75">
      <c r="A157" s="69" t="s">
        <v>341</v>
      </c>
      <c r="G157" s="78"/>
      <c r="J157"/>
      <c r="K157"/>
      <c r="M157"/>
    </row>
    <row r="158" spans="1:13" ht="12.75">
      <c r="A158" s="69" t="s">
        <v>342</v>
      </c>
      <c r="G158" s="78"/>
      <c r="K158"/>
      <c r="M158"/>
    </row>
    <row r="159" spans="10:14" ht="12.75">
      <c r="J159"/>
      <c r="K159"/>
      <c r="L159"/>
      <c r="M159"/>
      <c r="N159"/>
    </row>
    <row r="160" spans="1:14" ht="12.75">
      <c r="A160" s="69" t="s">
        <v>343</v>
      </c>
      <c r="J160"/>
      <c r="K160"/>
      <c r="L160"/>
      <c r="M160"/>
      <c r="N160"/>
    </row>
    <row r="161" spans="1:13" ht="12.75">
      <c r="A161" s="69" t="s">
        <v>344</v>
      </c>
      <c r="G161" s="79"/>
      <c r="J161"/>
      <c r="K161"/>
      <c r="M161"/>
    </row>
    <row r="162" spans="1:13" ht="12.75">
      <c r="A162" s="69" t="s">
        <v>345</v>
      </c>
      <c r="G162" s="79"/>
      <c r="J162"/>
      <c r="K162"/>
      <c r="M162"/>
    </row>
    <row r="163" spans="1:13" ht="12.75">
      <c r="A163" s="69" t="s">
        <v>346</v>
      </c>
      <c r="J163"/>
      <c r="K163"/>
      <c r="M163"/>
    </row>
    <row r="164" spans="1:13" ht="12.75">
      <c r="A164" s="69" t="s">
        <v>347</v>
      </c>
      <c r="J164"/>
      <c r="K164"/>
      <c r="M164"/>
    </row>
    <row r="165" spans="10:14" ht="12.75">
      <c r="J165"/>
      <c r="K165"/>
      <c r="L165"/>
      <c r="M165"/>
      <c r="N165"/>
    </row>
    <row r="166" spans="1:13" ht="12.75">
      <c r="A166" s="69" t="s">
        <v>348</v>
      </c>
      <c r="J166"/>
      <c r="K166"/>
      <c r="L166"/>
      <c r="M166"/>
    </row>
    <row r="167" spans="10:14" ht="12.75">
      <c r="J167"/>
      <c r="K167"/>
      <c r="L167"/>
      <c r="M167"/>
      <c r="N167"/>
    </row>
    <row r="168" spans="1:13" ht="12.75">
      <c r="A168" s="69" t="s">
        <v>349</v>
      </c>
      <c r="K168"/>
      <c r="M168"/>
    </row>
    <row r="169" spans="1:14" ht="12.75">
      <c r="A169" s="69"/>
      <c r="J169"/>
      <c r="K169"/>
      <c r="L169"/>
      <c r="M169"/>
      <c r="N169"/>
    </row>
    <row r="170" spans="1:14" ht="12.75">
      <c r="A170" s="69" t="s">
        <v>350</v>
      </c>
      <c r="J170"/>
      <c r="K170"/>
      <c r="L170"/>
      <c r="M170"/>
      <c r="N170"/>
    </row>
    <row r="171" spans="1:13" ht="12.75">
      <c r="A171" s="69" t="s">
        <v>351</v>
      </c>
      <c r="K171"/>
      <c r="M171"/>
    </row>
    <row r="172" spans="1:13" ht="12.75">
      <c r="A172" s="69" t="s">
        <v>352</v>
      </c>
      <c r="J172"/>
      <c r="K172"/>
      <c r="M172"/>
    </row>
    <row r="173" spans="1:13" ht="12.75">
      <c r="A173" s="69" t="s">
        <v>353</v>
      </c>
      <c r="K173"/>
      <c r="M173"/>
    </row>
    <row r="174" spans="10:14" ht="12.75">
      <c r="J174"/>
      <c r="K174"/>
      <c r="L174"/>
      <c r="M174"/>
      <c r="N174"/>
    </row>
    <row r="175" spans="1:13" ht="12.75">
      <c r="A175" s="69" t="s">
        <v>354</v>
      </c>
      <c r="K175"/>
      <c r="M175"/>
    </row>
    <row r="176" spans="10:14" ht="12.75">
      <c r="J176"/>
      <c r="K176"/>
      <c r="L176"/>
      <c r="M176"/>
      <c r="N176"/>
    </row>
    <row r="177" spans="1:14" ht="12.75">
      <c r="A177" s="69" t="s">
        <v>355</v>
      </c>
      <c r="J177"/>
      <c r="K177"/>
      <c r="L177"/>
      <c r="M177"/>
      <c r="N177"/>
    </row>
    <row r="178" spans="1:13" ht="12.75">
      <c r="A178" s="53" t="s">
        <v>356</v>
      </c>
      <c r="M178"/>
    </row>
    <row r="179" spans="1:13" ht="12.75">
      <c r="A179" s="53" t="s">
        <v>357</v>
      </c>
      <c r="M179"/>
    </row>
    <row r="180" spans="1:13" ht="12.75">
      <c r="A180" s="53" t="s">
        <v>358</v>
      </c>
      <c r="M180"/>
    </row>
    <row r="181" spans="1:13" ht="12.75">
      <c r="A181" s="53" t="s">
        <v>359</v>
      </c>
      <c r="M181"/>
    </row>
    <row r="182" spans="10:14" ht="12.75">
      <c r="J182"/>
      <c r="K182"/>
      <c r="L182"/>
      <c r="M182"/>
      <c r="N182"/>
    </row>
    <row r="183" spans="1:13" ht="12.75">
      <c r="A183" s="69" t="s">
        <v>360</v>
      </c>
      <c r="M183"/>
    </row>
    <row r="184" spans="10:14" ht="12.75">
      <c r="J184"/>
      <c r="K184"/>
      <c r="L184"/>
      <c r="M184"/>
      <c r="N184"/>
    </row>
    <row r="185" spans="10:14" ht="12.75">
      <c r="J185"/>
      <c r="K185"/>
      <c r="L185"/>
      <c r="M185"/>
      <c r="N185"/>
    </row>
    <row r="186" spans="10:13" ht="12.75">
      <c r="J186"/>
      <c r="K186"/>
      <c r="L186"/>
      <c r="M186"/>
    </row>
    <row r="187" spans="1:14" ht="12.75">
      <c r="A187" s="80"/>
      <c r="B187" s="80"/>
      <c r="J187"/>
      <c r="K187"/>
      <c r="L187"/>
      <c r="M187"/>
      <c r="N187"/>
    </row>
    <row r="188" spans="5:6" ht="12.75">
      <c r="E188" s="65"/>
      <c r="F188" s="66"/>
    </row>
    <row r="189" spans="1:2" ht="12.75">
      <c r="A189" s="64"/>
      <c r="B189" s="64"/>
    </row>
    <row r="190" spans="2:6" ht="12.75">
      <c r="B190" s="67"/>
      <c r="C190" s="67"/>
      <c r="D190" s="67"/>
      <c r="E190" s="67"/>
      <c r="F190" s="67"/>
    </row>
    <row r="191" spans="2:6" ht="12.75">
      <c r="B191" s="68"/>
      <c r="C191" s="67"/>
      <c r="D191" s="67"/>
      <c r="E191" s="67"/>
      <c r="F191" s="67"/>
    </row>
    <row r="192" spans="2:6" ht="12.75">
      <c r="B192" s="68"/>
      <c r="C192" s="67"/>
      <c r="D192" s="67"/>
      <c r="E192" s="67"/>
      <c r="F192" s="67"/>
    </row>
    <row r="193" spans="1:7" ht="12.75">
      <c r="A193" s="69" t="s">
        <v>325</v>
      </c>
      <c r="G193" s="64"/>
    </row>
    <row r="194" spans="9:13" ht="12.75">
      <c r="I194" s="70"/>
      <c r="M194" s="68" t="s">
        <v>163</v>
      </c>
    </row>
    <row r="195" spans="1:13" ht="12.75">
      <c r="A195" s="69" t="s">
        <v>326</v>
      </c>
      <c r="I195" s="71" t="s">
        <v>316</v>
      </c>
      <c r="J195" s="72">
        <f>F188</f>
        <v>0</v>
      </c>
      <c r="K195" s="68" t="s">
        <v>327</v>
      </c>
      <c r="L195" s="68" t="s">
        <v>328</v>
      </c>
      <c r="M195" s="68" t="s">
        <v>329</v>
      </c>
    </row>
    <row r="196" spans="1:13" ht="12.75">
      <c r="A196" s="69" t="s">
        <v>330</v>
      </c>
      <c r="H196" s="73">
        <v>1</v>
      </c>
      <c r="I196" s="53" t="s">
        <v>331</v>
      </c>
      <c r="J196" s="74"/>
      <c r="K196" s="75"/>
      <c r="M196" s="75">
        <f>SUM(K196:L196)</f>
        <v>0</v>
      </c>
    </row>
    <row r="197" spans="1:13" ht="12.75">
      <c r="A197" s="69" t="s">
        <v>332</v>
      </c>
      <c r="H197" s="53">
        <v>2</v>
      </c>
      <c r="J197" s="53" t="s">
        <v>333</v>
      </c>
      <c r="K197" s="54" t="e">
        <f>K196/M196</f>
        <v>#DIV/0!</v>
      </c>
      <c r="L197" s="54" t="e">
        <f>L196/M196</f>
        <v>#DIV/0!</v>
      </c>
      <c r="M197" s="10">
        <v>1</v>
      </c>
    </row>
    <row r="198" spans="1:13" ht="12.75">
      <c r="A198" s="69" t="s">
        <v>334</v>
      </c>
      <c r="G198" s="76"/>
      <c r="J198"/>
      <c r="K198"/>
      <c r="M198"/>
    </row>
    <row r="199" spans="1:13" ht="12.75">
      <c r="A199" s="69" t="s">
        <v>335</v>
      </c>
      <c r="G199" s="77"/>
      <c r="H199" s="53">
        <v>3</v>
      </c>
      <c r="I199" s="53" t="s">
        <v>336</v>
      </c>
      <c r="J199"/>
      <c r="K199" s="29" t="e">
        <f>M199-L199</f>
        <v>#DIV/0!</v>
      </c>
      <c r="L199" s="53" t="e">
        <f>ROUND(M199*L197,0)</f>
        <v>#DIV/0!</v>
      </c>
      <c r="M199" s="29"/>
    </row>
    <row r="200" spans="1:13" ht="12.75">
      <c r="A200" s="69" t="s">
        <v>337</v>
      </c>
      <c r="G200" s="76"/>
      <c r="J200"/>
      <c r="K200"/>
      <c r="M200"/>
    </row>
    <row r="201" spans="1:13" ht="12.75">
      <c r="A201" s="53" t="s">
        <v>338</v>
      </c>
      <c r="G201" s="76"/>
      <c r="H201" s="53">
        <v>4</v>
      </c>
      <c r="I201" s="53" t="s">
        <v>339</v>
      </c>
      <c r="J201"/>
      <c r="K201" s="29" t="e">
        <f>M201-L201</f>
        <v>#DIV/0!</v>
      </c>
      <c r="L201" s="53" t="e">
        <f>ROUND(M201*L197,0)</f>
        <v>#DIV/0!</v>
      </c>
      <c r="M201" s="29"/>
    </row>
    <row r="202" spans="1:13" ht="12.75">
      <c r="A202" s="69" t="s">
        <v>340</v>
      </c>
      <c r="G202" s="76"/>
      <c r="J202"/>
      <c r="K202" s="29"/>
      <c r="M202" s="29"/>
    </row>
    <row r="203" spans="1:13" ht="12.75">
      <c r="A203" s="69" t="s">
        <v>341</v>
      </c>
      <c r="G203" s="78"/>
      <c r="J203"/>
      <c r="K203"/>
      <c r="M203"/>
    </row>
    <row r="204" spans="1:13" ht="12.75">
      <c r="A204" s="69" t="s">
        <v>342</v>
      </c>
      <c r="G204" s="78"/>
      <c r="K204"/>
      <c r="M204"/>
    </row>
    <row r="205" spans="10:14" ht="12.75">
      <c r="J205"/>
      <c r="K205"/>
      <c r="L205"/>
      <c r="M205"/>
      <c r="N205"/>
    </row>
    <row r="206" spans="1:14" ht="12.75">
      <c r="A206" s="69" t="s">
        <v>343</v>
      </c>
      <c r="J206"/>
      <c r="K206"/>
      <c r="L206"/>
      <c r="M206"/>
      <c r="N206"/>
    </row>
    <row r="207" spans="1:13" ht="12.75">
      <c r="A207" s="69" t="s">
        <v>344</v>
      </c>
      <c r="G207" s="79"/>
      <c r="J207"/>
      <c r="K207"/>
      <c r="M207"/>
    </row>
    <row r="208" spans="1:13" ht="12.75">
      <c r="A208" s="69" t="s">
        <v>345</v>
      </c>
      <c r="G208" s="79"/>
      <c r="J208"/>
      <c r="K208"/>
      <c r="M208"/>
    </row>
    <row r="209" spans="1:13" ht="12.75">
      <c r="A209" s="69" t="s">
        <v>346</v>
      </c>
      <c r="J209"/>
      <c r="K209"/>
      <c r="M209"/>
    </row>
    <row r="210" spans="1:13" ht="12.75">
      <c r="A210" s="69" t="s">
        <v>347</v>
      </c>
      <c r="J210"/>
      <c r="K210"/>
      <c r="M210"/>
    </row>
    <row r="211" spans="10:14" ht="12.75">
      <c r="J211"/>
      <c r="K211"/>
      <c r="L211"/>
      <c r="M211"/>
      <c r="N211"/>
    </row>
    <row r="212" spans="1:13" ht="12.75">
      <c r="A212" s="69" t="s">
        <v>348</v>
      </c>
      <c r="J212"/>
      <c r="K212"/>
      <c r="L212"/>
      <c r="M212"/>
    </row>
    <row r="213" spans="10:14" ht="12.75">
      <c r="J213"/>
      <c r="K213"/>
      <c r="L213"/>
      <c r="M213"/>
      <c r="N213"/>
    </row>
    <row r="214" spans="1:13" ht="12.75">
      <c r="A214" s="69" t="s">
        <v>349</v>
      </c>
      <c r="K214"/>
      <c r="M214"/>
    </row>
    <row r="215" spans="1:14" ht="12.75">
      <c r="A215" s="69"/>
      <c r="J215"/>
      <c r="K215"/>
      <c r="L215"/>
      <c r="M215"/>
      <c r="N215"/>
    </row>
    <row r="216" spans="1:14" ht="12.75">
      <c r="A216" s="69" t="s">
        <v>350</v>
      </c>
      <c r="J216"/>
      <c r="K216"/>
      <c r="L216"/>
      <c r="M216"/>
      <c r="N216"/>
    </row>
    <row r="217" spans="1:14" ht="12.75">
      <c r="A217" s="69" t="s">
        <v>351</v>
      </c>
      <c r="K217"/>
      <c r="M217"/>
      <c r="N217"/>
    </row>
    <row r="218" spans="1:13" ht="12.75">
      <c r="A218" s="69" t="s">
        <v>352</v>
      </c>
      <c r="J218"/>
      <c r="K218"/>
      <c r="M218"/>
    </row>
    <row r="219" spans="1:13" ht="12.75">
      <c r="A219" s="69" t="s">
        <v>353</v>
      </c>
      <c r="K219"/>
      <c r="M219"/>
    </row>
    <row r="220" spans="10:13" ht="12.75">
      <c r="J220"/>
      <c r="K220"/>
      <c r="L220"/>
      <c r="M220"/>
    </row>
    <row r="221" spans="1:14" ht="12.75">
      <c r="A221" s="69" t="s">
        <v>354</v>
      </c>
      <c r="K221"/>
      <c r="M221"/>
      <c r="N221"/>
    </row>
    <row r="222" spans="10:13" ht="12.75">
      <c r="J222"/>
      <c r="K222"/>
      <c r="L222"/>
      <c r="M222"/>
    </row>
    <row r="223" spans="1:14" ht="12.75">
      <c r="A223" s="69" t="s">
        <v>355</v>
      </c>
      <c r="J223"/>
      <c r="K223"/>
      <c r="L223"/>
      <c r="M223"/>
      <c r="N223"/>
    </row>
    <row r="224" spans="1:14" ht="12.75">
      <c r="A224" s="53" t="s">
        <v>356</v>
      </c>
      <c r="M224"/>
      <c r="N224"/>
    </row>
    <row r="225" spans="1:13" ht="12.75">
      <c r="A225" s="53" t="s">
        <v>357</v>
      </c>
      <c r="M225"/>
    </row>
    <row r="226" spans="1:13" ht="12.75">
      <c r="A226" s="53" t="s">
        <v>358</v>
      </c>
      <c r="M226"/>
    </row>
    <row r="227" spans="1:13" ht="12.75">
      <c r="A227" s="53" t="s">
        <v>359</v>
      </c>
      <c r="M227"/>
    </row>
    <row r="228" spans="10:13" ht="12.75">
      <c r="J228"/>
      <c r="K228"/>
      <c r="L228"/>
      <c r="M228"/>
    </row>
    <row r="229" spans="1:14" ht="12.75">
      <c r="A229" s="69" t="s">
        <v>360</v>
      </c>
      <c r="M229"/>
      <c r="N229"/>
    </row>
    <row r="230" spans="1:13" ht="12.75">
      <c r="A230" s="69"/>
      <c r="M230"/>
    </row>
    <row r="231" spans="10:14" ht="12.75">
      <c r="J231"/>
      <c r="K231"/>
      <c r="L231"/>
      <c r="M231"/>
      <c r="N231"/>
    </row>
    <row r="232" spans="10:14" ht="12.75">
      <c r="J232"/>
      <c r="K232"/>
      <c r="L232"/>
      <c r="M232"/>
      <c r="N232"/>
    </row>
    <row r="233" spans="10:13" ht="12.75">
      <c r="J233"/>
      <c r="K233"/>
      <c r="L233"/>
      <c r="M233"/>
    </row>
    <row r="234" spans="1:14" ht="12.75">
      <c r="A234" s="80"/>
      <c r="B234" s="80"/>
      <c r="E234" s="65" t="s">
        <v>316</v>
      </c>
      <c r="F234" s="66">
        <f>F188+1</f>
        <v>1</v>
      </c>
      <c r="J234"/>
      <c r="K234"/>
      <c r="L234"/>
      <c r="M234"/>
      <c r="N234"/>
    </row>
    <row r="235" spans="1:2" ht="12.75">
      <c r="A235" s="64"/>
      <c r="B235" s="64"/>
    </row>
    <row r="236" spans="2:6" ht="12.75">
      <c r="B236" s="67" t="s">
        <v>172</v>
      </c>
      <c r="C236" s="67" t="s">
        <v>173</v>
      </c>
      <c r="D236" s="67" t="s">
        <v>174</v>
      </c>
      <c r="E236" s="67" t="s">
        <v>175</v>
      </c>
      <c r="F236" s="67" t="s">
        <v>176</v>
      </c>
    </row>
    <row r="237" spans="2:6" ht="12.75">
      <c r="B237" s="68" t="s">
        <v>317</v>
      </c>
      <c r="C237" s="67" t="s">
        <v>318</v>
      </c>
      <c r="D237" s="67" t="s">
        <v>318</v>
      </c>
      <c r="E237" s="67" t="s">
        <v>319</v>
      </c>
      <c r="F237" s="67" t="s">
        <v>320</v>
      </c>
    </row>
    <row r="238" spans="2:6" ht="12.75">
      <c r="B238" s="68" t="s">
        <v>321</v>
      </c>
      <c r="C238" s="67" t="s">
        <v>295</v>
      </c>
      <c r="D238" s="67" t="s">
        <v>322</v>
      </c>
      <c r="E238" s="67" t="s">
        <v>323</v>
      </c>
      <c r="F238" s="67" t="s">
        <v>324</v>
      </c>
    </row>
    <row r="239" spans="1:7" ht="12.75">
      <c r="A239" s="69" t="s">
        <v>325</v>
      </c>
      <c r="G239" s="64"/>
    </row>
    <row r="240" spans="9:13" ht="12.75">
      <c r="I240" s="70"/>
      <c r="M240" s="68" t="s">
        <v>163</v>
      </c>
    </row>
    <row r="241" spans="1:13" ht="12.75">
      <c r="A241" s="69" t="s">
        <v>326</v>
      </c>
      <c r="I241" s="71" t="s">
        <v>316</v>
      </c>
      <c r="J241" s="72">
        <f>F234</f>
        <v>1</v>
      </c>
      <c r="K241" s="68" t="s">
        <v>327</v>
      </c>
      <c r="L241" s="68" t="s">
        <v>328</v>
      </c>
      <c r="M241" s="68" t="s">
        <v>329</v>
      </c>
    </row>
    <row r="242" spans="1:13" ht="12.75">
      <c r="A242" s="69" t="s">
        <v>330</v>
      </c>
      <c r="H242" s="73">
        <v>1</v>
      </c>
      <c r="I242" s="53" t="s">
        <v>331</v>
      </c>
      <c r="J242" s="74"/>
      <c r="K242" s="75"/>
      <c r="M242" s="75"/>
    </row>
    <row r="243" spans="1:13" ht="12.75">
      <c r="A243" s="69" t="s">
        <v>332</v>
      </c>
      <c r="H243" s="53">
        <v>2</v>
      </c>
      <c r="J243" s="53" t="s">
        <v>333</v>
      </c>
      <c r="K243" s="54" t="e">
        <f>K242/M242</f>
        <v>#DIV/0!</v>
      </c>
      <c r="L243" s="54" t="e">
        <f>L242/M242</f>
        <v>#DIV/0!</v>
      </c>
      <c r="M243" s="10">
        <v>1</v>
      </c>
    </row>
    <row r="244" spans="1:13" ht="12.75">
      <c r="A244" s="69" t="s">
        <v>334</v>
      </c>
      <c r="G244" s="76"/>
      <c r="J244"/>
      <c r="K244"/>
      <c r="M244"/>
    </row>
    <row r="245" spans="1:13" ht="12.75">
      <c r="A245" s="69" t="s">
        <v>335</v>
      </c>
      <c r="G245" s="77"/>
      <c r="H245" s="53">
        <v>3</v>
      </c>
      <c r="I245" s="53" t="s">
        <v>336</v>
      </c>
      <c r="J245"/>
      <c r="K245" s="29" t="e">
        <f>M245-L245</f>
        <v>#DIV/0!</v>
      </c>
      <c r="L245" s="53" t="e">
        <f>ROUND(M245*L243,0)</f>
        <v>#DIV/0!</v>
      </c>
      <c r="M245" s="29"/>
    </row>
    <row r="246" spans="1:13" ht="12.75">
      <c r="A246" s="69" t="s">
        <v>337</v>
      </c>
      <c r="G246" s="76"/>
      <c r="J246"/>
      <c r="K246"/>
      <c r="M246"/>
    </row>
    <row r="247" spans="1:13" ht="12.75">
      <c r="A247" s="53" t="s">
        <v>338</v>
      </c>
      <c r="G247" s="76"/>
      <c r="H247" s="53">
        <v>4</v>
      </c>
      <c r="I247" s="53" t="s">
        <v>339</v>
      </c>
      <c r="J247"/>
      <c r="K247" s="29" t="e">
        <f>M247-L247</f>
        <v>#DIV/0!</v>
      </c>
      <c r="L247" s="53" t="e">
        <f>ROUND(M247*L243,0)</f>
        <v>#DIV/0!</v>
      </c>
      <c r="M247" s="29"/>
    </row>
    <row r="248" spans="1:13" ht="12.75">
      <c r="A248" s="69" t="s">
        <v>340</v>
      </c>
      <c r="G248" s="76"/>
      <c r="J248"/>
      <c r="K248" s="29"/>
      <c r="M248" s="29"/>
    </row>
    <row r="249" spans="1:13" ht="12.75">
      <c r="A249" s="69" t="s">
        <v>341</v>
      </c>
      <c r="G249" s="78"/>
      <c r="J249"/>
      <c r="K249"/>
      <c r="M249"/>
    </row>
    <row r="250" spans="1:13" ht="12.75">
      <c r="A250" s="69" t="s">
        <v>342</v>
      </c>
      <c r="G250" s="78"/>
      <c r="K250"/>
      <c r="M250"/>
    </row>
    <row r="251" spans="10:13" ht="12.75">
      <c r="J251"/>
      <c r="K251"/>
      <c r="L251"/>
      <c r="M251"/>
    </row>
    <row r="252" spans="1:14" ht="12.75">
      <c r="A252" s="69" t="s">
        <v>343</v>
      </c>
      <c r="J252"/>
      <c r="K252"/>
      <c r="L252"/>
      <c r="M252"/>
      <c r="N252"/>
    </row>
    <row r="253" spans="1:14" ht="12.75">
      <c r="A253" s="69" t="s">
        <v>344</v>
      </c>
      <c r="G253" s="79"/>
      <c r="J253"/>
      <c r="K253"/>
      <c r="M253"/>
      <c r="N253"/>
    </row>
    <row r="254" spans="1:13" ht="12.75">
      <c r="A254" s="69" t="s">
        <v>345</v>
      </c>
      <c r="G254" s="79"/>
      <c r="J254"/>
      <c r="K254"/>
      <c r="M254"/>
    </row>
    <row r="255" spans="1:13" ht="12.75">
      <c r="A255" s="69" t="s">
        <v>346</v>
      </c>
      <c r="J255"/>
      <c r="K255"/>
      <c r="M255"/>
    </row>
    <row r="256" spans="1:13" ht="12.75">
      <c r="A256" s="69" t="s">
        <v>347</v>
      </c>
      <c r="J256"/>
      <c r="K256"/>
      <c r="M256"/>
    </row>
    <row r="257" spans="10:13" ht="12.75">
      <c r="J257"/>
      <c r="K257"/>
      <c r="L257"/>
      <c r="M257"/>
    </row>
    <row r="258" spans="1:14" ht="12.75">
      <c r="A258" s="69" t="s">
        <v>348</v>
      </c>
      <c r="J258"/>
      <c r="K258"/>
      <c r="L258"/>
      <c r="M258"/>
      <c r="N258"/>
    </row>
    <row r="259" spans="10:13" ht="12.75">
      <c r="J259"/>
      <c r="K259"/>
      <c r="L259"/>
      <c r="M259"/>
    </row>
    <row r="260" spans="1:14" ht="12.75">
      <c r="A260" s="69" t="s">
        <v>349</v>
      </c>
      <c r="K260"/>
      <c r="M260"/>
      <c r="N260"/>
    </row>
    <row r="261" spans="1:13" ht="12.75">
      <c r="A261" s="69"/>
      <c r="J261"/>
      <c r="K261"/>
      <c r="L261"/>
      <c r="M261"/>
    </row>
    <row r="262" spans="1:14" ht="12.75">
      <c r="A262" s="69" t="s">
        <v>350</v>
      </c>
      <c r="J262"/>
      <c r="K262"/>
      <c r="L262"/>
      <c r="M262"/>
      <c r="N262"/>
    </row>
    <row r="263" spans="1:14" ht="12.75">
      <c r="A263" s="69" t="s">
        <v>351</v>
      </c>
      <c r="K263"/>
      <c r="M263"/>
      <c r="N263"/>
    </row>
    <row r="264" spans="1:14" ht="12.75">
      <c r="A264" s="69" t="s">
        <v>352</v>
      </c>
      <c r="J264"/>
      <c r="K264"/>
      <c r="M264"/>
      <c r="N264"/>
    </row>
    <row r="265" spans="1:13" ht="12.75">
      <c r="A265" s="69" t="s">
        <v>353</v>
      </c>
      <c r="K265"/>
      <c r="M265"/>
    </row>
    <row r="266" spans="10:13" ht="12.75">
      <c r="J266"/>
      <c r="K266"/>
      <c r="L266"/>
      <c r="M266"/>
    </row>
    <row r="267" spans="1:13" ht="12.75">
      <c r="A267" s="69" t="s">
        <v>354</v>
      </c>
      <c r="K267"/>
      <c r="M267"/>
    </row>
    <row r="268" spans="10:14" ht="12.75">
      <c r="J268"/>
      <c r="K268"/>
      <c r="L268"/>
      <c r="M268"/>
      <c r="N268"/>
    </row>
    <row r="269" spans="1:13" ht="12.75">
      <c r="A269" s="69" t="s">
        <v>355</v>
      </c>
      <c r="J269"/>
      <c r="K269"/>
      <c r="L269"/>
      <c r="M269"/>
    </row>
    <row r="270" spans="1:14" ht="12.75">
      <c r="A270" s="53" t="s">
        <v>356</v>
      </c>
      <c r="M270"/>
      <c r="N270"/>
    </row>
    <row r="271" spans="1:14" ht="12.75">
      <c r="A271" s="53" t="s">
        <v>357</v>
      </c>
      <c r="M271"/>
      <c r="N271"/>
    </row>
    <row r="272" spans="1:13" ht="12.75">
      <c r="A272" s="53" t="s">
        <v>358</v>
      </c>
      <c r="M272"/>
    </row>
    <row r="273" spans="1:13" ht="12.75">
      <c r="A273" s="53" t="s">
        <v>359</v>
      </c>
      <c r="M273"/>
    </row>
    <row r="274" spans="10:13" ht="12.75">
      <c r="J274"/>
      <c r="K274"/>
      <c r="L274"/>
      <c r="M274"/>
    </row>
    <row r="275" spans="1:13" ht="12.75">
      <c r="A275" s="69" t="s">
        <v>360</v>
      </c>
      <c r="M275"/>
    </row>
    <row r="276" spans="10:14" ht="12.75">
      <c r="J276"/>
      <c r="K276"/>
      <c r="L276"/>
      <c r="M276"/>
      <c r="N276"/>
    </row>
    <row r="277" spans="1:13" ht="12.75">
      <c r="A277" s="69"/>
      <c r="M277"/>
    </row>
    <row r="278" spans="10:14" ht="12.75">
      <c r="J278"/>
      <c r="K278"/>
      <c r="L278"/>
      <c r="M278"/>
      <c r="N278"/>
    </row>
    <row r="279" spans="10:14" ht="12.75">
      <c r="J279"/>
      <c r="K279"/>
      <c r="L279"/>
      <c r="M279"/>
      <c r="N279"/>
    </row>
    <row r="280" spans="10:13" ht="12.75">
      <c r="J280"/>
      <c r="K280"/>
      <c r="L280"/>
      <c r="M280"/>
    </row>
    <row r="281" spans="1:14" ht="12.75">
      <c r="A281" s="80"/>
      <c r="B281" s="80"/>
      <c r="J281"/>
      <c r="K281"/>
      <c r="L281"/>
      <c r="M281"/>
      <c r="N28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Z25"/>
  <sheetViews>
    <sheetView zoomScale="80" zoomScaleNormal="80" workbookViewId="0" topLeftCell="A1">
      <selection activeCell="P11" sqref="P11"/>
    </sheetView>
  </sheetViews>
  <sheetFormatPr defaultColWidth="9.140625" defaultRowHeight="12.75"/>
  <cols>
    <col min="1" max="1" width="4.00390625" style="0" customWidth="1"/>
    <col min="2" max="2" width="36.421875" style="0" customWidth="1"/>
    <col min="3" max="3" width="6.57421875" style="0" customWidth="1"/>
    <col min="4" max="4" width="13.421875" style="0" bestFit="1" customWidth="1"/>
    <col min="5" max="5" width="10.57421875" style="0" customWidth="1"/>
    <col min="6" max="6" width="11.00390625" style="0" customWidth="1"/>
    <col min="7" max="7" width="13.421875" style="0" bestFit="1" customWidth="1"/>
    <col min="8" max="8" width="9.140625" style="0" customWidth="1"/>
    <col min="9" max="9" width="11.57421875" style="0" customWidth="1"/>
    <col min="10" max="10" width="9.140625" style="0" customWidth="1"/>
    <col min="11" max="11" width="9.421875" style="0" customWidth="1"/>
    <col min="12" max="13" width="9.140625" style="0" customWidth="1"/>
    <col min="243" max="243" width="4.00390625" style="0" customWidth="1"/>
    <col min="244" max="244" width="36.421875" style="0" customWidth="1"/>
    <col min="245" max="245" width="6.57421875" style="0" customWidth="1"/>
    <col min="246" max="246" width="11.7109375" style="0" customWidth="1"/>
    <col min="247" max="247" width="10.57421875" style="0" customWidth="1"/>
    <col min="248" max="248" width="11.00390625" style="0" customWidth="1"/>
    <col min="249" max="249" width="10.28125" style="0" customWidth="1"/>
    <col min="250" max="251" width="9.140625" style="0" customWidth="1"/>
    <col min="253" max="253" width="9.421875" style="0" customWidth="1"/>
    <col min="255" max="255" width="10.8515625" style="0" customWidth="1"/>
    <col min="258" max="258" width="10.00390625" style="0" customWidth="1"/>
    <col min="261" max="261" width="10.57421875" style="0" customWidth="1"/>
    <col min="264" max="264" width="10.7109375" style="0" customWidth="1"/>
    <col min="266" max="266" width="11.28125" style="0" customWidth="1"/>
    <col min="267" max="267" width="10.8515625" style="0" customWidth="1"/>
    <col min="499" max="499" width="4.00390625" style="0" customWidth="1"/>
    <col min="500" max="500" width="36.421875" style="0" customWidth="1"/>
    <col min="501" max="501" width="6.57421875" style="0" customWidth="1"/>
    <col min="502" max="502" width="11.7109375" style="0" customWidth="1"/>
    <col min="503" max="503" width="10.57421875" style="0" customWidth="1"/>
    <col min="504" max="504" width="11.00390625" style="0" customWidth="1"/>
    <col min="505" max="505" width="10.28125" style="0" customWidth="1"/>
    <col min="506" max="507" width="9.140625" style="0" customWidth="1"/>
    <col min="509" max="509" width="9.421875" style="0" customWidth="1"/>
    <col min="511" max="511" width="10.8515625" style="0" customWidth="1"/>
    <col min="514" max="514" width="10.00390625" style="0" customWidth="1"/>
    <col min="517" max="517" width="10.57421875" style="0" customWidth="1"/>
    <col min="520" max="520" width="10.7109375" style="0" customWidth="1"/>
    <col min="522" max="522" width="11.28125" style="0" customWidth="1"/>
    <col min="523" max="523" width="10.8515625" style="0" customWidth="1"/>
    <col min="755" max="755" width="4.00390625" style="0" customWidth="1"/>
    <col min="756" max="756" width="36.421875" style="0" customWidth="1"/>
    <col min="757" max="757" width="6.57421875" style="0" customWidth="1"/>
    <col min="758" max="758" width="11.7109375" style="0" customWidth="1"/>
    <col min="759" max="759" width="10.57421875" style="0" customWidth="1"/>
    <col min="760" max="760" width="11.00390625" style="0" customWidth="1"/>
    <col min="761" max="761" width="10.28125" style="0" customWidth="1"/>
    <col min="762" max="763" width="9.140625" style="0" customWidth="1"/>
    <col min="765" max="765" width="9.421875" style="0" customWidth="1"/>
    <col min="767" max="767" width="10.8515625" style="0" customWidth="1"/>
    <col min="770" max="770" width="10.00390625" style="0" customWidth="1"/>
    <col min="773" max="773" width="10.57421875" style="0" customWidth="1"/>
    <col min="776" max="776" width="10.7109375" style="0" customWidth="1"/>
    <col min="778" max="778" width="11.28125" style="0" customWidth="1"/>
    <col min="779" max="779" width="10.8515625" style="0" customWidth="1"/>
    <col min="1011" max="1011" width="4.00390625" style="0" customWidth="1"/>
    <col min="1012" max="1012" width="36.421875" style="0" customWidth="1"/>
    <col min="1013" max="1013" width="6.57421875" style="0" customWidth="1"/>
    <col min="1014" max="1014" width="11.7109375" style="0" customWidth="1"/>
    <col min="1015" max="1015" width="10.57421875" style="0" customWidth="1"/>
    <col min="1016" max="1016" width="11.00390625" style="0" customWidth="1"/>
    <col min="1017" max="1017" width="10.28125" style="0" customWidth="1"/>
    <col min="1018" max="1019" width="9.140625" style="0" customWidth="1"/>
    <col min="1021" max="1021" width="9.421875" style="0" customWidth="1"/>
    <col min="1023" max="1023" width="10.8515625" style="0" customWidth="1"/>
    <col min="1026" max="1026" width="10.00390625" style="0" customWidth="1"/>
    <col min="1029" max="1029" width="10.57421875" style="0" customWidth="1"/>
    <col min="1032" max="1032" width="10.7109375" style="0" customWidth="1"/>
    <col min="1034" max="1034" width="11.28125" style="0" customWidth="1"/>
    <col min="1035" max="1035" width="10.8515625" style="0" customWidth="1"/>
    <col min="1267" max="1267" width="4.00390625" style="0" customWidth="1"/>
    <col min="1268" max="1268" width="36.421875" style="0" customWidth="1"/>
    <col min="1269" max="1269" width="6.57421875" style="0" customWidth="1"/>
    <col min="1270" max="1270" width="11.7109375" style="0" customWidth="1"/>
    <col min="1271" max="1271" width="10.57421875" style="0" customWidth="1"/>
    <col min="1272" max="1272" width="11.00390625" style="0" customWidth="1"/>
    <col min="1273" max="1273" width="10.28125" style="0" customWidth="1"/>
    <col min="1274" max="1275" width="9.140625" style="0" customWidth="1"/>
    <col min="1277" max="1277" width="9.421875" style="0" customWidth="1"/>
    <col min="1279" max="1279" width="10.8515625" style="0" customWidth="1"/>
    <col min="1282" max="1282" width="10.00390625" style="0" customWidth="1"/>
    <col min="1285" max="1285" width="10.57421875" style="0" customWidth="1"/>
    <col min="1288" max="1288" width="10.7109375" style="0" customWidth="1"/>
    <col min="1290" max="1290" width="11.28125" style="0" customWidth="1"/>
    <col min="1291" max="1291" width="10.8515625" style="0" customWidth="1"/>
    <col min="1523" max="1523" width="4.00390625" style="0" customWidth="1"/>
    <col min="1524" max="1524" width="36.421875" style="0" customWidth="1"/>
    <col min="1525" max="1525" width="6.57421875" style="0" customWidth="1"/>
    <col min="1526" max="1526" width="11.7109375" style="0" customWidth="1"/>
    <col min="1527" max="1527" width="10.57421875" style="0" customWidth="1"/>
    <col min="1528" max="1528" width="11.00390625" style="0" customWidth="1"/>
    <col min="1529" max="1529" width="10.28125" style="0" customWidth="1"/>
    <col min="1530" max="1531" width="9.140625" style="0" customWidth="1"/>
    <col min="1533" max="1533" width="9.421875" style="0" customWidth="1"/>
    <col min="1535" max="1535" width="10.8515625" style="0" customWidth="1"/>
    <col min="1538" max="1538" width="10.00390625" style="0" customWidth="1"/>
    <col min="1541" max="1541" width="10.57421875" style="0" customWidth="1"/>
    <col min="1544" max="1544" width="10.7109375" style="0" customWidth="1"/>
    <col min="1546" max="1546" width="11.28125" style="0" customWidth="1"/>
    <col min="1547" max="1547" width="10.8515625" style="0" customWidth="1"/>
    <col min="1779" max="1779" width="4.00390625" style="0" customWidth="1"/>
    <col min="1780" max="1780" width="36.421875" style="0" customWidth="1"/>
    <col min="1781" max="1781" width="6.57421875" style="0" customWidth="1"/>
    <col min="1782" max="1782" width="11.7109375" style="0" customWidth="1"/>
    <col min="1783" max="1783" width="10.57421875" style="0" customWidth="1"/>
    <col min="1784" max="1784" width="11.00390625" style="0" customWidth="1"/>
    <col min="1785" max="1785" width="10.28125" style="0" customWidth="1"/>
    <col min="1786" max="1787" width="9.140625" style="0" customWidth="1"/>
    <col min="1789" max="1789" width="9.421875" style="0" customWidth="1"/>
    <col min="1791" max="1791" width="10.8515625" style="0" customWidth="1"/>
    <col min="1794" max="1794" width="10.00390625" style="0" customWidth="1"/>
    <col min="1797" max="1797" width="10.57421875" style="0" customWidth="1"/>
    <col min="1800" max="1800" width="10.7109375" style="0" customWidth="1"/>
    <col min="1802" max="1802" width="11.28125" style="0" customWidth="1"/>
    <col min="1803" max="1803" width="10.8515625" style="0" customWidth="1"/>
    <col min="2035" max="2035" width="4.00390625" style="0" customWidth="1"/>
    <col min="2036" max="2036" width="36.421875" style="0" customWidth="1"/>
    <col min="2037" max="2037" width="6.57421875" style="0" customWidth="1"/>
    <col min="2038" max="2038" width="11.7109375" style="0" customWidth="1"/>
    <col min="2039" max="2039" width="10.57421875" style="0" customWidth="1"/>
    <col min="2040" max="2040" width="11.00390625" style="0" customWidth="1"/>
    <col min="2041" max="2041" width="10.28125" style="0" customWidth="1"/>
    <col min="2042" max="2043" width="9.140625" style="0" customWidth="1"/>
    <col min="2045" max="2045" width="9.421875" style="0" customWidth="1"/>
    <col min="2047" max="2047" width="10.8515625" style="0" customWidth="1"/>
    <col min="2050" max="2050" width="10.00390625" style="0" customWidth="1"/>
    <col min="2053" max="2053" width="10.57421875" style="0" customWidth="1"/>
    <col min="2056" max="2056" width="10.7109375" style="0" customWidth="1"/>
    <col min="2058" max="2058" width="11.28125" style="0" customWidth="1"/>
    <col min="2059" max="2059" width="10.8515625" style="0" customWidth="1"/>
    <col min="2291" max="2291" width="4.00390625" style="0" customWidth="1"/>
    <col min="2292" max="2292" width="36.421875" style="0" customWidth="1"/>
    <col min="2293" max="2293" width="6.57421875" style="0" customWidth="1"/>
    <col min="2294" max="2294" width="11.7109375" style="0" customWidth="1"/>
    <col min="2295" max="2295" width="10.57421875" style="0" customWidth="1"/>
    <col min="2296" max="2296" width="11.00390625" style="0" customWidth="1"/>
    <col min="2297" max="2297" width="10.28125" style="0" customWidth="1"/>
    <col min="2298" max="2299" width="9.140625" style="0" customWidth="1"/>
    <col min="2301" max="2301" width="9.421875" style="0" customWidth="1"/>
    <col min="2303" max="2303" width="10.8515625" style="0" customWidth="1"/>
    <col min="2306" max="2306" width="10.00390625" style="0" customWidth="1"/>
    <col min="2309" max="2309" width="10.57421875" style="0" customWidth="1"/>
    <col min="2312" max="2312" width="10.7109375" style="0" customWidth="1"/>
    <col min="2314" max="2314" width="11.28125" style="0" customWidth="1"/>
    <col min="2315" max="2315" width="10.8515625" style="0" customWidth="1"/>
    <col min="2547" max="2547" width="4.00390625" style="0" customWidth="1"/>
    <col min="2548" max="2548" width="36.421875" style="0" customWidth="1"/>
    <col min="2549" max="2549" width="6.57421875" style="0" customWidth="1"/>
    <col min="2550" max="2550" width="11.7109375" style="0" customWidth="1"/>
    <col min="2551" max="2551" width="10.57421875" style="0" customWidth="1"/>
    <col min="2552" max="2552" width="11.00390625" style="0" customWidth="1"/>
    <col min="2553" max="2553" width="10.28125" style="0" customWidth="1"/>
    <col min="2554" max="2555" width="9.140625" style="0" customWidth="1"/>
    <col min="2557" max="2557" width="9.421875" style="0" customWidth="1"/>
    <col min="2559" max="2559" width="10.8515625" style="0" customWidth="1"/>
    <col min="2562" max="2562" width="10.00390625" style="0" customWidth="1"/>
    <col min="2565" max="2565" width="10.57421875" style="0" customWidth="1"/>
    <col min="2568" max="2568" width="10.7109375" style="0" customWidth="1"/>
    <col min="2570" max="2570" width="11.28125" style="0" customWidth="1"/>
    <col min="2571" max="2571" width="10.8515625" style="0" customWidth="1"/>
    <col min="2803" max="2803" width="4.00390625" style="0" customWidth="1"/>
    <col min="2804" max="2804" width="36.421875" style="0" customWidth="1"/>
    <col min="2805" max="2805" width="6.57421875" style="0" customWidth="1"/>
    <col min="2806" max="2806" width="11.7109375" style="0" customWidth="1"/>
    <col min="2807" max="2807" width="10.57421875" style="0" customWidth="1"/>
    <col min="2808" max="2808" width="11.00390625" style="0" customWidth="1"/>
    <col min="2809" max="2809" width="10.28125" style="0" customWidth="1"/>
    <col min="2810" max="2811" width="9.140625" style="0" customWidth="1"/>
    <col min="2813" max="2813" width="9.421875" style="0" customWidth="1"/>
    <col min="2815" max="2815" width="10.8515625" style="0" customWidth="1"/>
    <col min="2818" max="2818" width="10.00390625" style="0" customWidth="1"/>
    <col min="2821" max="2821" width="10.57421875" style="0" customWidth="1"/>
    <col min="2824" max="2824" width="10.7109375" style="0" customWidth="1"/>
    <col min="2826" max="2826" width="11.28125" style="0" customWidth="1"/>
    <col min="2827" max="2827" width="10.8515625" style="0" customWidth="1"/>
    <col min="3059" max="3059" width="4.00390625" style="0" customWidth="1"/>
    <col min="3060" max="3060" width="36.421875" style="0" customWidth="1"/>
    <col min="3061" max="3061" width="6.57421875" style="0" customWidth="1"/>
    <col min="3062" max="3062" width="11.7109375" style="0" customWidth="1"/>
    <col min="3063" max="3063" width="10.57421875" style="0" customWidth="1"/>
    <col min="3064" max="3064" width="11.00390625" style="0" customWidth="1"/>
    <col min="3065" max="3065" width="10.28125" style="0" customWidth="1"/>
    <col min="3066" max="3067" width="9.140625" style="0" customWidth="1"/>
    <col min="3069" max="3069" width="9.421875" style="0" customWidth="1"/>
    <col min="3071" max="3071" width="10.8515625" style="0" customWidth="1"/>
    <col min="3074" max="3074" width="10.00390625" style="0" customWidth="1"/>
    <col min="3077" max="3077" width="10.57421875" style="0" customWidth="1"/>
    <col min="3080" max="3080" width="10.7109375" style="0" customWidth="1"/>
    <col min="3082" max="3082" width="11.28125" style="0" customWidth="1"/>
    <col min="3083" max="3083" width="10.8515625" style="0" customWidth="1"/>
    <col min="3315" max="3315" width="4.00390625" style="0" customWidth="1"/>
    <col min="3316" max="3316" width="36.421875" style="0" customWidth="1"/>
    <col min="3317" max="3317" width="6.57421875" style="0" customWidth="1"/>
    <col min="3318" max="3318" width="11.7109375" style="0" customWidth="1"/>
    <col min="3319" max="3319" width="10.57421875" style="0" customWidth="1"/>
    <col min="3320" max="3320" width="11.00390625" style="0" customWidth="1"/>
    <col min="3321" max="3321" width="10.28125" style="0" customWidth="1"/>
    <col min="3322" max="3323" width="9.140625" style="0" customWidth="1"/>
    <col min="3325" max="3325" width="9.421875" style="0" customWidth="1"/>
    <col min="3327" max="3327" width="10.8515625" style="0" customWidth="1"/>
    <col min="3330" max="3330" width="10.00390625" style="0" customWidth="1"/>
    <col min="3333" max="3333" width="10.57421875" style="0" customWidth="1"/>
    <col min="3336" max="3336" width="10.7109375" style="0" customWidth="1"/>
    <col min="3338" max="3338" width="11.28125" style="0" customWidth="1"/>
    <col min="3339" max="3339" width="10.8515625" style="0" customWidth="1"/>
    <col min="3571" max="3571" width="4.00390625" style="0" customWidth="1"/>
    <col min="3572" max="3572" width="36.421875" style="0" customWidth="1"/>
    <col min="3573" max="3573" width="6.57421875" style="0" customWidth="1"/>
    <col min="3574" max="3574" width="11.7109375" style="0" customWidth="1"/>
    <col min="3575" max="3575" width="10.57421875" style="0" customWidth="1"/>
    <col min="3576" max="3576" width="11.00390625" style="0" customWidth="1"/>
    <col min="3577" max="3577" width="10.28125" style="0" customWidth="1"/>
    <col min="3578" max="3579" width="9.140625" style="0" customWidth="1"/>
    <col min="3581" max="3581" width="9.421875" style="0" customWidth="1"/>
    <col min="3583" max="3583" width="10.8515625" style="0" customWidth="1"/>
    <col min="3586" max="3586" width="10.00390625" style="0" customWidth="1"/>
    <col min="3589" max="3589" width="10.57421875" style="0" customWidth="1"/>
    <col min="3592" max="3592" width="10.7109375" style="0" customWidth="1"/>
    <col min="3594" max="3594" width="11.28125" style="0" customWidth="1"/>
    <col min="3595" max="3595" width="10.8515625" style="0" customWidth="1"/>
    <col min="3827" max="3827" width="4.00390625" style="0" customWidth="1"/>
    <col min="3828" max="3828" width="36.421875" style="0" customWidth="1"/>
    <col min="3829" max="3829" width="6.57421875" style="0" customWidth="1"/>
    <col min="3830" max="3830" width="11.7109375" style="0" customWidth="1"/>
    <col min="3831" max="3831" width="10.57421875" style="0" customWidth="1"/>
    <col min="3832" max="3832" width="11.00390625" style="0" customWidth="1"/>
    <col min="3833" max="3833" width="10.28125" style="0" customWidth="1"/>
    <col min="3834" max="3835" width="9.140625" style="0" customWidth="1"/>
    <col min="3837" max="3837" width="9.421875" style="0" customWidth="1"/>
    <col min="3839" max="3839" width="10.8515625" style="0" customWidth="1"/>
    <col min="3842" max="3842" width="10.00390625" style="0" customWidth="1"/>
    <col min="3845" max="3845" width="10.57421875" style="0" customWidth="1"/>
    <col min="3848" max="3848" width="10.7109375" style="0" customWidth="1"/>
    <col min="3850" max="3850" width="11.28125" style="0" customWidth="1"/>
    <col min="3851" max="3851" width="10.8515625" style="0" customWidth="1"/>
    <col min="4083" max="4083" width="4.00390625" style="0" customWidth="1"/>
    <col min="4084" max="4084" width="36.421875" style="0" customWidth="1"/>
    <col min="4085" max="4085" width="6.57421875" style="0" customWidth="1"/>
    <col min="4086" max="4086" width="11.7109375" style="0" customWidth="1"/>
    <col min="4087" max="4087" width="10.57421875" style="0" customWidth="1"/>
    <col min="4088" max="4088" width="11.00390625" style="0" customWidth="1"/>
    <col min="4089" max="4089" width="10.28125" style="0" customWidth="1"/>
    <col min="4090" max="4091" width="9.140625" style="0" customWidth="1"/>
    <col min="4093" max="4093" width="9.421875" style="0" customWidth="1"/>
    <col min="4095" max="4095" width="10.8515625" style="0" customWidth="1"/>
    <col min="4098" max="4098" width="10.00390625" style="0" customWidth="1"/>
    <col min="4101" max="4101" width="10.57421875" style="0" customWidth="1"/>
    <col min="4104" max="4104" width="10.7109375" style="0" customWidth="1"/>
    <col min="4106" max="4106" width="11.28125" style="0" customWidth="1"/>
    <col min="4107" max="4107" width="10.8515625" style="0" customWidth="1"/>
    <col min="4339" max="4339" width="4.00390625" style="0" customWidth="1"/>
    <col min="4340" max="4340" width="36.421875" style="0" customWidth="1"/>
    <col min="4341" max="4341" width="6.57421875" style="0" customWidth="1"/>
    <col min="4342" max="4342" width="11.7109375" style="0" customWidth="1"/>
    <col min="4343" max="4343" width="10.57421875" style="0" customWidth="1"/>
    <col min="4344" max="4344" width="11.00390625" style="0" customWidth="1"/>
    <col min="4345" max="4345" width="10.28125" style="0" customWidth="1"/>
    <col min="4346" max="4347" width="9.140625" style="0" customWidth="1"/>
    <col min="4349" max="4349" width="9.421875" style="0" customWidth="1"/>
    <col min="4351" max="4351" width="10.8515625" style="0" customWidth="1"/>
    <col min="4354" max="4354" width="10.00390625" style="0" customWidth="1"/>
    <col min="4357" max="4357" width="10.57421875" style="0" customWidth="1"/>
    <col min="4360" max="4360" width="10.7109375" style="0" customWidth="1"/>
    <col min="4362" max="4362" width="11.28125" style="0" customWidth="1"/>
    <col min="4363" max="4363" width="10.8515625" style="0" customWidth="1"/>
    <col min="4595" max="4595" width="4.00390625" style="0" customWidth="1"/>
    <col min="4596" max="4596" width="36.421875" style="0" customWidth="1"/>
    <col min="4597" max="4597" width="6.57421875" style="0" customWidth="1"/>
    <col min="4598" max="4598" width="11.7109375" style="0" customWidth="1"/>
    <col min="4599" max="4599" width="10.57421875" style="0" customWidth="1"/>
    <col min="4600" max="4600" width="11.00390625" style="0" customWidth="1"/>
    <col min="4601" max="4601" width="10.28125" style="0" customWidth="1"/>
    <col min="4602" max="4603" width="9.140625" style="0" customWidth="1"/>
    <col min="4605" max="4605" width="9.421875" style="0" customWidth="1"/>
    <col min="4607" max="4607" width="10.8515625" style="0" customWidth="1"/>
    <col min="4610" max="4610" width="10.00390625" style="0" customWidth="1"/>
    <col min="4613" max="4613" width="10.57421875" style="0" customWidth="1"/>
    <col min="4616" max="4616" width="10.7109375" style="0" customWidth="1"/>
    <col min="4618" max="4618" width="11.28125" style="0" customWidth="1"/>
    <col min="4619" max="4619" width="10.8515625" style="0" customWidth="1"/>
    <col min="4851" max="4851" width="4.00390625" style="0" customWidth="1"/>
    <col min="4852" max="4852" width="36.421875" style="0" customWidth="1"/>
    <col min="4853" max="4853" width="6.57421875" style="0" customWidth="1"/>
    <col min="4854" max="4854" width="11.7109375" style="0" customWidth="1"/>
    <col min="4855" max="4855" width="10.57421875" style="0" customWidth="1"/>
    <col min="4856" max="4856" width="11.00390625" style="0" customWidth="1"/>
    <col min="4857" max="4857" width="10.28125" style="0" customWidth="1"/>
    <col min="4858" max="4859" width="9.140625" style="0" customWidth="1"/>
    <col min="4861" max="4861" width="9.421875" style="0" customWidth="1"/>
    <col min="4863" max="4863" width="10.8515625" style="0" customWidth="1"/>
    <col min="4866" max="4866" width="10.00390625" style="0" customWidth="1"/>
    <col min="4869" max="4869" width="10.57421875" style="0" customWidth="1"/>
    <col min="4872" max="4872" width="10.7109375" style="0" customWidth="1"/>
    <col min="4874" max="4874" width="11.28125" style="0" customWidth="1"/>
    <col min="4875" max="4875" width="10.8515625" style="0" customWidth="1"/>
    <col min="5107" max="5107" width="4.00390625" style="0" customWidth="1"/>
    <col min="5108" max="5108" width="36.421875" style="0" customWidth="1"/>
    <col min="5109" max="5109" width="6.57421875" style="0" customWidth="1"/>
    <col min="5110" max="5110" width="11.7109375" style="0" customWidth="1"/>
    <col min="5111" max="5111" width="10.57421875" style="0" customWidth="1"/>
    <col min="5112" max="5112" width="11.00390625" style="0" customWidth="1"/>
    <col min="5113" max="5113" width="10.28125" style="0" customWidth="1"/>
    <col min="5114" max="5115" width="9.140625" style="0" customWidth="1"/>
    <col min="5117" max="5117" width="9.421875" style="0" customWidth="1"/>
    <col min="5119" max="5119" width="10.8515625" style="0" customWidth="1"/>
    <col min="5122" max="5122" width="10.00390625" style="0" customWidth="1"/>
    <col min="5125" max="5125" width="10.57421875" style="0" customWidth="1"/>
    <col min="5128" max="5128" width="10.7109375" style="0" customWidth="1"/>
    <col min="5130" max="5130" width="11.28125" style="0" customWidth="1"/>
    <col min="5131" max="5131" width="10.8515625" style="0" customWidth="1"/>
    <col min="5363" max="5363" width="4.00390625" style="0" customWidth="1"/>
    <col min="5364" max="5364" width="36.421875" style="0" customWidth="1"/>
    <col min="5365" max="5365" width="6.57421875" style="0" customWidth="1"/>
    <col min="5366" max="5366" width="11.7109375" style="0" customWidth="1"/>
    <col min="5367" max="5367" width="10.57421875" style="0" customWidth="1"/>
    <col min="5368" max="5368" width="11.00390625" style="0" customWidth="1"/>
    <col min="5369" max="5369" width="10.28125" style="0" customWidth="1"/>
    <col min="5370" max="5371" width="9.140625" style="0" customWidth="1"/>
    <col min="5373" max="5373" width="9.421875" style="0" customWidth="1"/>
    <col min="5375" max="5375" width="10.8515625" style="0" customWidth="1"/>
    <col min="5378" max="5378" width="10.00390625" style="0" customWidth="1"/>
    <col min="5381" max="5381" width="10.57421875" style="0" customWidth="1"/>
    <col min="5384" max="5384" width="10.7109375" style="0" customWidth="1"/>
    <col min="5386" max="5386" width="11.28125" style="0" customWidth="1"/>
    <col min="5387" max="5387" width="10.8515625" style="0" customWidth="1"/>
    <col min="5619" max="5619" width="4.00390625" style="0" customWidth="1"/>
    <col min="5620" max="5620" width="36.421875" style="0" customWidth="1"/>
    <col min="5621" max="5621" width="6.57421875" style="0" customWidth="1"/>
    <col min="5622" max="5622" width="11.7109375" style="0" customWidth="1"/>
    <col min="5623" max="5623" width="10.57421875" style="0" customWidth="1"/>
    <col min="5624" max="5624" width="11.00390625" style="0" customWidth="1"/>
    <col min="5625" max="5625" width="10.28125" style="0" customWidth="1"/>
    <col min="5626" max="5627" width="9.140625" style="0" customWidth="1"/>
    <col min="5629" max="5629" width="9.421875" style="0" customWidth="1"/>
    <col min="5631" max="5631" width="10.8515625" style="0" customWidth="1"/>
    <col min="5634" max="5634" width="10.00390625" style="0" customWidth="1"/>
    <col min="5637" max="5637" width="10.57421875" style="0" customWidth="1"/>
    <col min="5640" max="5640" width="10.7109375" style="0" customWidth="1"/>
    <col min="5642" max="5642" width="11.28125" style="0" customWidth="1"/>
    <col min="5643" max="5643" width="10.8515625" style="0" customWidth="1"/>
    <col min="5875" max="5875" width="4.00390625" style="0" customWidth="1"/>
    <col min="5876" max="5876" width="36.421875" style="0" customWidth="1"/>
    <col min="5877" max="5877" width="6.57421875" style="0" customWidth="1"/>
    <col min="5878" max="5878" width="11.7109375" style="0" customWidth="1"/>
    <col min="5879" max="5879" width="10.57421875" style="0" customWidth="1"/>
    <col min="5880" max="5880" width="11.00390625" style="0" customWidth="1"/>
    <col min="5881" max="5881" width="10.28125" style="0" customWidth="1"/>
    <col min="5882" max="5883" width="9.140625" style="0" customWidth="1"/>
    <col min="5885" max="5885" width="9.421875" style="0" customWidth="1"/>
    <col min="5887" max="5887" width="10.8515625" style="0" customWidth="1"/>
    <col min="5890" max="5890" width="10.00390625" style="0" customWidth="1"/>
    <col min="5893" max="5893" width="10.57421875" style="0" customWidth="1"/>
    <col min="5896" max="5896" width="10.7109375" style="0" customWidth="1"/>
    <col min="5898" max="5898" width="11.28125" style="0" customWidth="1"/>
    <col min="5899" max="5899" width="10.8515625" style="0" customWidth="1"/>
    <col min="6131" max="6131" width="4.00390625" style="0" customWidth="1"/>
    <col min="6132" max="6132" width="36.421875" style="0" customWidth="1"/>
    <col min="6133" max="6133" width="6.57421875" style="0" customWidth="1"/>
    <col min="6134" max="6134" width="11.7109375" style="0" customWidth="1"/>
    <col min="6135" max="6135" width="10.57421875" style="0" customWidth="1"/>
    <col min="6136" max="6136" width="11.00390625" style="0" customWidth="1"/>
    <col min="6137" max="6137" width="10.28125" style="0" customWidth="1"/>
    <col min="6138" max="6139" width="9.140625" style="0" customWidth="1"/>
    <col min="6141" max="6141" width="9.421875" style="0" customWidth="1"/>
    <col min="6143" max="6143" width="10.8515625" style="0" customWidth="1"/>
    <col min="6146" max="6146" width="10.00390625" style="0" customWidth="1"/>
    <col min="6149" max="6149" width="10.57421875" style="0" customWidth="1"/>
    <col min="6152" max="6152" width="10.7109375" style="0" customWidth="1"/>
    <col min="6154" max="6154" width="11.28125" style="0" customWidth="1"/>
    <col min="6155" max="6155" width="10.8515625" style="0" customWidth="1"/>
    <col min="6387" max="6387" width="4.00390625" style="0" customWidth="1"/>
    <col min="6388" max="6388" width="36.421875" style="0" customWidth="1"/>
    <col min="6389" max="6389" width="6.57421875" style="0" customWidth="1"/>
    <col min="6390" max="6390" width="11.7109375" style="0" customWidth="1"/>
    <col min="6391" max="6391" width="10.57421875" style="0" customWidth="1"/>
    <col min="6392" max="6392" width="11.00390625" style="0" customWidth="1"/>
    <col min="6393" max="6393" width="10.28125" style="0" customWidth="1"/>
    <col min="6394" max="6395" width="9.140625" style="0" customWidth="1"/>
    <col min="6397" max="6397" width="9.421875" style="0" customWidth="1"/>
    <col min="6399" max="6399" width="10.8515625" style="0" customWidth="1"/>
    <col min="6402" max="6402" width="10.00390625" style="0" customWidth="1"/>
    <col min="6405" max="6405" width="10.57421875" style="0" customWidth="1"/>
    <col min="6408" max="6408" width="10.7109375" style="0" customWidth="1"/>
    <col min="6410" max="6410" width="11.28125" style="0" customWidth="1"/>
    <col min="6411" max="6411" width="10.8515625" style="0" customWidth="1"/>
    <col min="6643" max="6643" width="4.00390625" style="0" customWidth="1"/>
    <col min="6644" max="6644" width="36.421875" style="0" customWidth="1"/>
    <col min="6645" max="6645" width="6.57421875" style="0" customWidth="1"/>
    <col min="6646" max="6646" width="11.7109375" style="0" customWidth="1"/>
    <col min="6647" max="6647" width="10.57421875" style="0" customWidth="1"/>
    <col min="6648" max="6648" width="11.00390625" style="0" customWidth="1"/>
    <col min="6649" max="6649" width="10.28125" style="0" customWidth="1"/>
    <col min="6650" max="6651" width="9.140625" style="0" customWidth="1"/>
    <col min="6653" max="6653" width="9.421875" style="0" customWidth="1"/>
    <col min="6655" max="6655" width="10.8515625" style="0" customWidth="1"/>
    <col min="6658" max="6658" width="10.00390625" style="0" customWidth="1"/>
    <col min="6661" max="6661" width="10.57421875" style="0" customWidth="1"/>
    <col min="6664" max="6664" width="10.7109375" style="0" customWidth="1"/>
    <col min="6666" max="6666" width="11.28125" style="0" customWidth="1"/>
    <col min="6667" max="6667" width="10.8515625" style="0" customWidth="1"/>
    <col min="6899" max="6899" width="4.00390625" style="0" customWidth="1"/>
    <col min="6900" max="6900" width="36.421875" style="0" customWidth="1"/>
    <col min="6901" max="6901" width="6.57421875" style="0" customWidth="1"/>
    <col min="6902" max="6902" width="11.7109375" style="0" customWidth="1"/>
    <col min="6903" max="6903" width="10.57421875" style="0" customWidth="1"/>
    <col min="6904" max="6904" width="11.00390625" style="0" customWidth="1"/>
    <col min="6905" max="6905" width="10.28125" style="0" customWidth="1"/>
    <col min="6906" max="6907" width="9.140625" style="0" customWidth="1"/>
    <col min="6909" max="6909" width="9.421875" style="0" customWidth="1"/>
    <col min="6911" max="6911" width="10.8515625" style="0" customWidth="1"/>
    <col min="6914" max="6914" width="10.00390625" style="0" customWidth="1"/>
    <col min="6917" max="6917" width="10.57421875" style="0" customWidth="1"/>
    <col min="6920" max="6920" width="10.7109375" style="0" customWidth="1"/>
    <col min="6922" max="6922" width="11.28125" style="0" customWidth="1"/>
    <col min="6923" max="6923" width="10.8515625" style="0" customWidth="1"/>
    <col min="7155" max="7155" width="4.00390625" style="0" customWidth="1"/>
    <col min="7156" max="7156" width="36.421875" style="0" customWidth="1"/>
    <col min="7157" max="7157" width="6.57421875" style="0" customWidth="1"/>
    <col min="7158" max="7158" width="11.7109375" style="0" customWidth="1"/>
    <col min="7159" max="7159" width="10.57421875" style="0" customWidth="1"/>
    <col min="7160" max="7160" width="11.00390625" style="0" customWidth="1"/>
    <col min="7161" max="7161" width="10.28125" style="0" customWidth="1"/>
    <col min="7162" max="7163" width="9.140625" style="0" customWidth="1"/>
    <col min="7165" max="7165" width="9.421875" style="0" customWidth="1"/>
    <col min="7167" max="7167" width="10.8515625" style="0" customWidth="1"/>
    <col min="7170" max="7170" width="10.00390625" style="0" customWidth="1"/>
    <col min="7173" max="7173" width="10.57421875" style="0" customWidth="1"/>
    <col min="7176" max="7176" width="10.7109375" style="0" customWidth="1"/>
    <col min="7178" max="7178" width="11.28125" style="0" customWidth="1"/>
    <col min="7179" max="7179" width="10.8515625" style="0" customWidth="1"/>
    <col min="7411" max="7411" width="4.00390625" style="0" customWidth="1"/>
    <col min="7412" max="7412" width="36.421875" style="0" customWidth="1"/>
    <col min="7413" max="7413" width="6.57421875" style="0" customWidth="1"/>
    <col min="7414" max="7414" width="11.7109375" style="0" customWidth="1"/>
    <col min="7415" max="7415" width="10.57421875" style="0" customWidth="1"/>
    <col min="7416" max="7416" width="11.00390625" style="0" customWidth="1"/>
    <col min="7417" max="7417" width="10.28125" style="0" customWidth="1"/>
    <col min="7418" max="7419" width="9.140625" style="0" customWidth="1"/>
    <col min="7421" max="7421" width="9.421875" style="0" customWidth="1"/>
    <col min="7423" max="7423" width="10.8515625" style="0" customWidth="1"/>
    <col min="7426" max="7426" width="10.00390625" style="0" customWidth="1"/>
    <col min="7429" max="7429" width="10.57421875" style="0" customWidth="1"/>
    <col min="7432" max="7432" width="10.7109375" style="0" customWidth="1"/>
    <col min="7434" max="7434" width="11.28125" style="0" customWidth="1"/>
    <col min="7435" max="7435" width="10.8515625" style="0" customWidth="1"/>
    <col min="7667" max="7667" width="4.00390625" style="0" customWidth="1"/>
    <col min="7668" max="7668" width="36.421875" style="0" customWidth="1"/>
    <col min="7669" max="7669" width="6.57421875" style="0" customWidth="1"/>
    <col min="7670" max="7670" width="11.7109375" style="0" customWidth="1"/>
    <col min="7671" max="7671" width="10.57421875" style="0" customWidth="1"/>
    <col min="7672" max="7672" width="11.00390625" style="0" customWidth="1"/>
    <col min="7673" max="7673" width="10.28125" style="0" customWidth="1"/>
    <col min="7674" max="7675" width="9.140625" style="0" customWidth="1"/>
    <col min="7677" max="7677" width="9.421875" style="0" customWidth="1"/>
    <col min="7679" max="7679" width="10.8515625" style="0" customWidth="1"/>
    <col min="7682" max="7682" width="10.00390625" style="0" customWidth="1"/>
    <col min="7685" max="7685" width="10.57421875" style="0" customWidth="1"/>
    <col min="7688" max="7688" width="10.7109375" style="0" customWidth="1"/>
    <col min="7690" max="7690" width="11.28125" style="0" customWidth="1"/>
    <col min="7691" max="7691" width="10.8515625" style="0" customWidth="1"/>
    <col min="7923" max="7923" width="4.00390625" style="0" customWidth="1"/>
    <col min="7924" max="7924" width="36.421875" style="0" customWidth="1"/>
    <col min="7925" max="7925" width="6.57421875" style="0" customWidth="1"/>
    <col min="7926" max="7926" width="11.7109375" style="0" customWidth="1"/>
    <col min="7927" max="7927" width="10.57421875" style="0" customWidth="1"/>
    <col min="7928" max="7928" width="11.00390625" style="0" customWidth="1"/>
    <col min="7929" max="7929" width="10.28125" style="0" customWidth="1"/>
    <col min="7930" max="7931" width="9.140625" style="0" customWidth="1"/>
    <col min="7933" max="7933" width="9.421875" style="0" customWidth="1"/>
    <col min="7935" max="7935" width="10.8515625" style="0" customWidth="1"/>
    <col min="7938" max="7938" width="10.00390625" style="0" customWidth="1"/>
    <col min="7941" max="7941" width="10.57421875" style="0" customWidth="1"/>
    <col min="7944" max="7944" width="10.7109375" style="0" customWidth="1"/>
    <col min="7946" max="7946" width="11.28125" style="0" customWidth="1"/>
    <col min="7947" max="7947" width="10.8515625" style="0" customWidth="1"/>
    <col min="8179" max="8179" width="4.00390625" style="0" customWidth="1"/>
    <col min="8180" max="8180" width="36.421875" style="0" customWidth="1"/>
    <col min="8181" max="8181" width="6.57421875" style="0" customWidth="1"/>
    <col min="8182" max="8182" width="11.7109375" style="0" customWidth="1"/>
    <col min="8183" max="8183" width="10.57421875" style="0" customWidth="1"/>
    <col min="8184" max="8184" width="11.00390625" style="0" customWidth="1"/>
    <col min="8185" max="8185" width="10.28125" style="0" customWidth="1"/>
    <col min="8186" max="8187" width="9.140625" style="0" customWidth="1"/>
    <col min="8189" max="8189" width="9.421875" style="0" customWidth="1"/>
    <col min="8191" max="8191" width="10.8515625" style="0" customWidth="1"/>
    <col min="8194" max="8194" width="10.00390625" style="0" customWidth="1"/>
    <col min="8197" max="8197" width="10.57421875" style="0" customWidth="1"/>
    <col min="8200" max="8200" width="10.7109375" style="0" customWidth="1"/>
    <col min="8202" max="8202" width="11.28125" style="0" customWidth="1"/>
    <col min="8203" max="8203" width="10.8515625" style="0" customWidth="1"/>
    <col min="8435" max="8435" width="4.00390625" style="0" customWidth="1"/>
    <col min="8436" max="8436" width="36.421875" style="0" customWidth="1"/>
    <col min="8437" max="8437" width="6.57421875" style="0" customWidth="1"/>
    <col min="8438" max="8438" width="11.7109375" style="0" customWidth="1"/>
    <col min="8439" max="8439" width="10.57421875" style="0" customWidth="1"/>
    <col min="8440" max="8440" width="11.00390625" style="0" customWidth="1"/>
    <col min="8441" max="8441" width="10.28125" style="0" customWidth="1"/>
    <col min="8442" max="8443" width="9.140625" style="0" customWidth="1"/>
    <col min="8445" max="8445" width="9.421875" style="0" customWidth="1"/>
    <col min="8447" max="8447" width="10.8515625" style="0" customWidth="1"/>
    <col min="8450" max="8450" width="10.00390625" style="0" customWidth="1"/>
    <col min="8453" max="8453" width="10.57421875" style="0" customWidth="1"/>
    <col min="8456" max="8456" width="10.7109375" style="0" customWidth="1"/>
    <col min="8458" max="8458" width="11.28125" style="0" customWidth="1"/>
    <col min="8459" max="8459" width="10.8515625" style="0" customWidth="1"/>
    <col min="8691" max="8691" width="4.00390625" style="0" customWidth="1"/>
    <col min="8692" max="8692" width="36.421875" style="0" customWidth="1"/>
    <col min="8693" max="8693" width="6.57421875" style="0" customWidth="1"/>
    <col min="8694" max="8694" width="11.7109375" style="0" customWidth="1"/>
    <col min="8695" max="8695" width="10.57421875" style="0" customWidth="1"/>
    <col min="8696" max="8696" width="11.00390625" style="0" customWidth="1"/>
    <col min="8697" max="8697" width="10.28125" style="0" customWidth="1"/>
    <col min="8698" max="8699" width="9.140625" style="0" customWidth="1"/>
    <col min="8701" max="8701" width="9.421875" style="0" customWidth="1"/>
    <col min="8703" max="8703" width="10.8515625" style="0" customWidth="1"/>
    <col min="8706" max="8706" width="10.00390625" style="0" customWidth="1"/>
    <col min="8709" max="8709" width="10.57421875" style="0" customWidth="1"/>
    <col min="8712" max="8712" width="10.7109375" style="0" customWidth="1"/>
    <col min="8714" max="8714" width="11.28125" style="0" customWidth="1"/>
    <col min="8715" max="8715" width="10.8515625" style="0" customWidth="1"/>
    <col min="8947" max="8947" width="4.00390625" style="0" customWidth="1"/>
    <col min="8948" max="8948" width="36.421875" style="0" customWidth="1"/>
    <col min="8949" max="8949" width="6.57421875" style="0" customWidth="1"/>
    <col min="8950" max="8950" width="11.7109375" style="0" customWidth="1"/>
    <col min="8951" max="8951" width="10.57421875" style="0" customWidth="1"/>
    <col min="8952" max="8952" width="11.00390625" style="0" customWidth="1"/>
    <col min="8953" max="8953" width="10.28125" style="0" customWidth="1"/>
    <col min="8954" max="8955" width="9.140625" style="0" customWidth="1"/>
    <col min="8957" max="8957" width="9.421875" style="0" customWidth="1"/>
    <col min="8959" max="8959" width="10.8515625" style="0" customWidth="1"/>
    <col min="8962" max="8962" width="10.00390625" style="0" customWidth="1"/>
    <col min="8965" max="8965" width="10.57421875" style="0" customWidth="1"/>
    <col min="8968" max="8968" width="10.7109375" style="0" customWidth="1"/>
    <col min="8970" max="8970" width="11.28125" style="0" customWidth="1"/>
    <col min="8971" max="8971" width="10.8515625" style="0" customWidth="1"/>
    <col min="9203" max="9203" width="4.00390625" style="0" customWidth="1"/>
    <col min="9204" max="9204" width="36.421875" style="0" customWidth="1"/>
    <col min="9205" max="9205" width="6.57421875" style="0" customWidth="1"/>
    <col min="9206" max="9206" width="11.7109375" style="0" customWidth="1"/>
    <col min="9207" max="9207" width="10.57421875" style="0" customWidth="1"/>
    <col min="9208" max="9208" width="11.00390625" style="0" customWidth="1"/>
    <col min="9209" max="9209" width="10.28125" style="0" customWidth="1"/>
    <col min="9210" max="9211" width="9.140625" style="0" customWidth="1"/>
    <col min="9213" max="9213" width="9.421875" style="0" customWidth="1"/>
    <col min="9215" max="9215" width="10.8515625" style="0" customWidth="1"/>
    <col min="9218" max="9218" width="10.00390625" style="0" customWidth="1"/>
    <col min="9221" max="9221" width="10.57421875" style="0" customWidth="1"/>
    <col min="9224" max="9224" width="10.7109375" style="0" customWidth="1"/>
    <col min="9226" max="9226" width="11.28125" style="0" customWidth="1"/>
    <col min="9227" max="9227" width="10.8515625" style="0" customWidth="1"/>
    <col min="9459" max="9459" width="4.00390625" style="0" customWidth="1"/>
    <col min="9460" max="9460" width="36.421875" style="0" customWidth="1"/>
    <col min="9461" max="9461" width="6.57421875" style="0" customWidth="1"/>
    <col min="9462" max="9462" width="11.7109375" style="0" customWidth="1"/>
    <col min="9463" max="9463" width="10.57421875" style="0" customWidth="1"/>
    <col min="9464" max="9464" width="11.00390625" style="0" customWidth="1"/>
    <col min="9465" max="9465" width="10.28125" style="0" customWidth="1"/>
    <col min="9466" max="9467" width="9.140625" style="0" customWidth="1"/>
    <col min="9469" max="9469" width="9.421875" style="0" customWidth="1"/>
    <col min="9471" max="9471" width="10.8515625" style="0" customWidth="1"/>
    <col min="9474" max="9474" width="10.00390625" style="0" customWidth="1"/>
    <col min="9477" max="9477" width="10.57421875" style="0" customWidth="1"/>
    <col min="9480" max="9480" width="10.7109375" style="0" customWidth="1"/>
    <col min="9482" max="9482" width="11.28125" style="0" customWidth="1"/>
    <col min="9483" max="9483" width="10.8515625" style="0" customWidth="1"/>
    <col min="9715" max="9715" width="4.00390625" style="0" customWidth="1"/>
    <col min="9716" max="9716" width="36.421875" style="0" customWidth="1"/>
    <col min="9717" max="9717" width="6.57421875" style="0" customWidth="1"/>
    <col min="9718" max="9718" width="11.7109375" style="0" customWidth="1"/>
    <col min="9719" max="9719" width="10.57421875" style="0" customWidth="1"/>
    <col min="9720" max="9720" width="11.00390625" style="0" customWidth="1"/>
    <col min="9721" max="9721" width="10.28125" style="0" customWidth="1"/>
    <col min="9722" max="9723" width="9.140625" style="0" customWidth="1"/>
    <col min="9725" max="9725" width="9.421875" style="0" customWidth="1"/>
    <col min="9727" max="9727" width="10.8515625" style="0" customWidth="1"/>
    <col min="9730" max="9730" width="10.00390625" style="0" customWidth="1"/>
    <col min="9733" max="9733" width="10.57421875" style="0" customWidth="1"/>
    <col min="9736" max="9736" width="10.7109375" style="0" customWidth="1"/>
    <col min="9738" max="9738" width="11.28125" style="0" customWidth="1"/>
    <col min="9739" max="9739" width="10.8515625" style="0" customWidth="1"/>
    <col min="9971" max="9971" width="4.00390625" style="0" customWidth="1"/>
    <col min="9972" max="9972" width="36.421875" style="0" customWidth="1"/>
    <col min="9973" max="9973" width="6.57421875" style="0" customWidth="1"/>
    <col min="9974" max="9974" width="11.7109375" style="0" customWidth="1"/>
    <col min="9975" max="9975" width="10.57421875" style="0" customWidth="1"/>
    <col min="9976" max="9976" width="11.00390625" style="0" customWidth="1"/>
    <col min="9977" max="9977" width="10.28125" style="0" customWidth="1"/>
    <col min="9978" max="9979" width="9.140625" style="0" customWidth="1"/>
    <col min="9981" max="9981" width="9.421875" style="0" customWidth="1"/>
    <col min="9983" max="9983" width="10.8515625" style="0" customWidth="1"/>
    <col min="9986" max="9986" width="10.00390625" style="0" customWidth="1"/>
    <col min="9989" max="9989" width="10.57421875" style="0" customWidth="1"/>
    <col min="9992" max="9992" width="10.7109375" style="0" customWidth="1"/>
    <col min="9994" max="9994" width="11.28125" style="0" customWidth="1"/>
    <col min="9995" max="9995" width="10.8515625" style="0" customWidth="1"/>
    <col min="10227" max="10227" width="4.00390625" style="0" customWidth="1"/>
    <col min="10228" max="10228" width="36.421875" style="0" customWidth="1"/>
    <col min="10229" max="10229" width="6.57421875" style="0" customWidth="1"/>
    <col min="10230" max="10230" width="11.7109375" style="0" customWidth="1"/>
    <col min="10231" max="10231" width="10.57421875" style="0" customWidth="1"/>
    <col min="10232" max="10232" width="11.00390625" style="0" customWidth="1"/>
    <col min="10233" max="10233" width="10.28125" style="0" customWidth="1"/>
    <col min="10234" max="10235" width="9.140625" style="0" customWidth="1"/>
    <col min="10237" max="10237" width="9.421875" style="0" customWidth="1"/>
    <col min="10239" max="10239" width="10.8515625" style="0" customWidth="1"/>
    <col min="10242" max="10242" width="10.00390625" style="0" customWidth="1"/>
    <col min="10245" max="10245" width="10.57421875" style="0" customWidth="1"/>
    <col min="10248" max="10248" width="10.7109375" style="0" customWidth="1"/>
    <col min="10250" max="10250" width="11.28125" style="0" customWidth="1"/>
    <col min="10251" max="10251" width="10.8515625" style="0" customWidth="1"/>
    <col min="10483" max="10483" width="4.00390625" style="0" customWidth="1"/>
    <col min="10484" max="10484" width="36.421875" style="0" customWidth="1"/>
    <col min="10485" max="10485" width="6.57421875" style="0" customWidth="1"/>
    <col min="10486" max="10486" width="11.7109375" style="0" customWidth="1"/>
    <col min="10487" max="10487" width="10.57421875" style="0" customWidth="1"/>
    <col min="10488" max="10488" width="11.00390625" style="0" customWidth="1"/>
    <col min="10489" max="10489" width="10.28125" style="0" customWidth="1"/>
    <col min="10490" max="10491" width="9.140625" style="0" customWidth="1"/>
    <col min="10493" max="10493" width="9.421875" style="0" customWidth="1"/>
    <col min="10495" max="10495" width="10.8515625" style="0" customWidth="1"/>
    <col min="10498" max="10498" width="10.00390625" style="0" customWidth="1"/>
    <col min="10501" max="10501" width="10.57421875" style="0" customWidth="1"/>
    <col min="10504" max="10504" width="10.7109375" style="0" customWidth="1"/>
    <col min="10506" max="10506" width="11.28125" style="0" customWidth="1"/>
    <col min="10507" max="10507" width="10.8515625" style="0" customWidth="1"/>
    <col min="10739" max="10739" width="4.00390625" style="0" customWidth="1"/>
    <col min="10740" max="10740" width="36.421875" style="0" customWidth="1"/>
    <col min="10741" max="10741" width="6.57421875" style="0" customWidth="1"/>
    <col min="10742" max="10742" width="11.7109375" style="0" customWidth="1"/>
    <col min="10743" max="10743" width="10.57421875" style="0" customWidth="1"/>
    <col min="10744" max="10744" width="11.00390625" style="0" customWidth="1"/>
    <col min="10745" max="10745" width="10.28125" style="0" customWidth="1"/>
    <col min="10746" max="10747" width="9.140625" style="0" customWidth="1"/>
    <col min="10749" max="10749" width="9.421875" style="0" customWidth="1"/>
    <col min="10751" max="10751" width="10.8515625" style="0" customWidth="1"/>
    <col min="10754" max="10754" width="10.00390625" style="0" customWidth="1"/>
    <col min="10757" max="10757" width="10.57421875" style="0" customWidth="1"/>
    <col min="10760" max="10760" width="10.7109375" style="0" customWidth="1"/>
    <col min="10762" max="10762" width="11.28125" style="0" customWidth="1"/>
    <col min="10763" max="10763" width="10.8515625" style="0" customWidth="1"/>
    <col min="10995" max="10995" width="4.00390625" style="0" customWidth="1"/>
    <col min="10996" max="10996" width="36.421875" style="0" customWidth="1"/>
    <col min="10997" max="10997" width="6.57421875" style="0" customWidth="1"/>
    <col min="10998" max="10998" width="11.7109375" style="0" customWidth="1"/>
    <col min="10999" max="10999" width="10.57421875" style="0" customWidth="1"/>
    <col min="11000" max="11000" width="11.00390625" style="0" customWidth="1"/>
    <col min="11001" max="11001" width="10.28125" style="0" customWidth="1"/>
    <col min="11002" max="11003" width="9.140625" style="0" customWidth="1"/>
    <col min="11005" max="11005" width="9.421875" style="0" customWidth="1"/>
    <col min="11007" max="11007" width="10.8515625" style="0" customWidth="1"/>
    <col min="11010" max="11010" width="10.00390625" style="0" customWidth="1"/>
    <col min="11013" max="11013" width="10.57421875" style="0" customWidth="1"/>
    <col min="11016" max="11016" width="10.7109375" style="0" customWidth="1"/>
    <col min="11018" max="11018" width="11.28125" style="0" customWidth="1"/>
    <col min="11019" max="11019" width="10.8515625" style="0" customWidth="1"/>
    <col min="11251" max="11251" width="4.00390625" style="0" customWidth="1"/>
    <col min="11252" max="11252" width="36.421875" style="0" customWidth="1"/>
    <col min="11253" max="11253" width="6.57421875" style="0" customWidth="1"/>
    <col min="11254" max="11254" width="11.7109375" style="0" customWidth="1"/>
    <col min="11255" max="11255" width="10.57421875" style="0" customWidth="1"/>
    <col min="11256" max="11256" width="11.00390625" style="0" customWidth="1"/>
    <col min="11257" max="11257" width="10.28125" style="0" customWidth="1"/>
    <col min="11258" max="11259" width="9.140625" style="0" customWidth="1"/>
    <col min="11261" max="11261" width="9.421875" style="0" customWidth="1"/>
    <col min="11263" max="11263" width="10.8515625" style="0" customWidth="1"/>
    <col min="11266" max="11266" width="10.00390625" style="0" customWidth="1"/>
    <col min="11269" max="11269" width="10.57421875" style="0" customWidth="1"/>
    <col min="11272" max="11272" width="10.7109375" style="0" customWidth="1"/>
    <col min="11274" max="11274" width="11.28125" style="0" customWidth="1"/>
    <col min="11275" max="11275" width="10.8515625" style="0" customWidth="1"/>
    <col min="11507" max="11507" width="4.00390625" style="0" customWidth="1"/>
    <col min="11508" max="11508" width="36.421875" style="0" customWidth="1"/>
    <col min="11509" max="11509" width="6.57421875" style="0" customWidth="1"/>
    <col min="11510" max="11510" width="11.7109375" style="0" customWidth="1"/>
    <col min="11511" max="11511" width="10.57421875" style="0" customWidth="1"/>
    <col min="11512" max="11512" width="11.00390625" style="0" customWidth="1"/>
    <col min="11513" max="11513" width="10.28125" style="0" customWidth="1"/>
    <col min="11514" max="11515" width="9.140625" style="0" customWidth="1"/>
    <col min="11517" max="11517" width="9.421875" style="0" customWidth="1"/>
    <col min="11519" max="11519" width="10.8515625" style="0" customWidth="1"/>
    <col min="11522" max="11522" width="10.00390625" style="0" customWidth="1"/>
    <col min="11525" max="11525" width="10.57421875" style="0" customWidth="1"/>
    <col min="11528" max="11528" width="10.7109375" style="0" customWidth="1"/>
    <col min="11530" max="11530" width="11.28125" style="0" customWidth="1"/>
    <col min="11531" max="11531" width="10.8515625" style="0" customWidth="1"/>
    <col min="11763" max="11763" width="4.00390625" style="0" customWidth="1"/>
    <col min="11764" max="11764" width="36.421875" style="0" customWidth="1"/>
    <col min="11765" max="11765" width="6.57421875" style="0" customWidth="1"/>
    <col min="11766" max="11766" width="11.7109375" style="0" customWidth="1"/>
    <col min="11767" max="11767" width="10.57421875" style="0" customWidth="1"/>
    <col min="11768" max="11768" width="11.00390625" style="0" customWidth="1"/>
    <col min="11769" max="11769" width="10.28125" style="0" customWidth="1"/>
    <col min="11770" max="11771" width="9.140625" style="0" customWidth="1"/>
    <col min="11773" max="11773" width="9.421875" style="0" customWidth="1"/>
    <col min="11775" max="11775" width="10.8515625" style="0" customWidth="1"/>
    <col min="11778" max="11778" width="10.00390625" style="0" customWidth="1"/>
    <col min="11781" max="11781" width="10.57421875" style="0" customWidth="1"/>
    <col min="11784" max="11784" width="10.7109375" style="0" customWidth="1"/>
    <col min="11786" max="11786" width="11.28125" style="0" customWidth="1"/>
    <col min="11787" max="11787" width="10.8515625" style="0" customWidth="1"/>
    <col min="12019" max="12019" width="4.00390625" style="0" customWidth="1"/>
    <col min="12020" max="12020" width="36.421875" style="0" customWidth="1"/>
    <col min="12021" max="12021" width="6.57421875" style="0" customWidth="1"/>
    <col min="12022" max="12022" width="11.7109375" style="0" customWidth="1"/>
    <col min="12023" max="12023" width="10.57421875" style="0" customWidth="1"/>
    <col min="12024" max="12024" width="11.00390625" style="0" customWidth="1"/>
    <col min="12025" max="12025" width="10.28125" style="0" customWidth="1"/>
    <col min="12026" max="12027" width="9.140625" style="0" customWidth="1"/>
    <col min="12029" max="12029" width="9.421875" style="0" customWidth="1"/>
    <col min="12031" max="12031" width="10.8515625" style="0" customWidth="1"/>
    <col min="12034" max="12034" width="10.00390625" style="0" customWidth="1"/>
    <col min="12037" max="12037" width="10.57421875" style="0" customWidth="1"/>
    <col min="12040" max="12040" width="10.7109375" style="0" customWidth="1"/>
    <col min="12042" max="12042" width="11.28125" style="0" customWidth="1"/>
    <col min="12043" max="12043" width="10.8515625" style="0" customWidth="1"/>
    <col min="12275" max="12275" width="4.00390625" style="0" customWidth="1"/>
    <col min="12276" max="12276" width="36.421875" style="0" customWidth="1"/>
    <col min="12277" max="12277" width="6.57421875" style="0" customWidth="1"/>
    <col min="12278" max="12278" width="11.7109375" style="0" customWidth="1"/>
    <col min="12279" max="12279" width="10.57421875" style="0" customWidth="1"/>
    <col min="12280" max="12280" width="11.00390625" style="0" customWidth="1"/>
    <col min="12281" max="12281" width="10.28125" style="0" customWidth="1"/>
    <col min="12282" max="12283" width="9.140625" style="0" customWidth="1"/>
    <col min="12285" max="12285" width="9.421875" style="0" customWidth="1"/>
    <col min="12287" max="12287" width="10.8515625" style="0" customWidth="1"/>
    <col min="12290" max="12290" width="10.00390625" style="0" customWidth="1"/>
    <col min="12293" max="12293" width="10.57421875" style="0" customWidth="1"/>
    <col min="12296" max="12296" width="10.7109375" style="0" customWidth="1"/>
    <col min="12298" max="12298" width="11.28125" style="0" customWidth="1"/>
    <col min="12299" max="12299" width="10.8515625" style="0" customWidth="1"/>
    <col min="12531" max="12531" width="4.00390625" style="0" customWidth="1"/>
    <col min="12532" max="12532" width="36.421875" style="0" customWidth="1"/>
    <col min="12533" max="12533" width="6.57421875" style="0" customWidth="1"/>
    <col min="12534" max="12534" width="11.7109375" style="0" customWidth="1"/>
    <col min="12535" max="12535" width="10.57421875" style="0" customWidth="1"/>
    <col min="12536" max="12536" width="11.00390625" style="0" customWidth="1"/>
    <col min="12537" max="12537" width="10.28125" style="0" customWidth="1"/>
    <col min="12538" max="12539" width="9.140625" style="0" customWidth="1"/>
    <col min="12541" max="12541" width="9.421875" style="0" customWidth="1"/>
    <col min="12543" max="12543" width="10.8515625" style="0" customWidth="1"/>
    <col min="12546" max="12546" width="10.00390625" style="0" customWidth="1"/>
    <col min="12549" max="12549" width="10.57421875" style="0" customWidth="1"/>
    <col min="12552" max="12552" width="10.7109375" style="0" customWidth="1"/>
    <col min="12554" max="12554" width="11.28125" style="0" customWidth="1"/>
    <col min="12555" max="12555" width="10.8515625" style="0" customWidth="1"/>
    <col min="12787" max="12787" width="4.00390625" style="0" customWidth="1"/>
    <col min="12788" max="12788" width="36.421875" style="0" customWidth="1"/>
    <col min="12789" max="12789" width="6.57421875" style="0" customWidth="1"/>
    <col min="12790" max="12790" width="11.7109375" style="0" customWidth="1"/>
    <col min="12791" max="12791" width="10.57421875" style="0" customWidth="1"/>
    <col min="12792" max="12792" width="11.00390625" style="0" customWidth="1"/>
    <col min="12793" max="12793" width="10.28125" style="0" customWidth="1"/>
    <col min="12794" max="12795" width="9.140625" style="0" customWidth="1"/>
    <col min="12797" max="12797" width="9.421875" style="0" customWidth="1"/>
    <col min="12799" max="12799" width="10.8515625" style="0" customWidth="1"/>
    <col min="12802" max="12802" width="10.00390625" style="0" customWidth="1"/>
    <col min="12805" max="12805" width="10.57421875" style="0" customWidth="1"/>
    <col min="12808" max="12808" width="10.7109375" style="0" customWidth="1"/>
    <col min="12810" max="12810" width="11.28125" style="0" customWidth="1"/>
    <col min="12811" max="12811" width="10.8515625" style="0" customWidth="1"/>
    <col min="13043" max="13043" width="4.00390625" style="0" customWidth="1"/>
    <col min="13044" max="13044" width="36.421875" style="0" customWidth="1"/>
    <col min="13045" max="13045" width="6.57421875" style="0" customWidth="1"/>
    <col min="13046" max="13046" width="11.7109375" style="0" customWidth="1"/>
    <col min="13047" max="13047" width="10.57421875" style="0" customWidth="1"/>
    <col min="13048" max="13048" width="11.00390625" style="0" customWidth="1"/>
    <col min="13049" max="13049" width="10.28125" style="0" customWidth="1"/>
    <col min="13050" max="13051" width="9.140625" style="0" customWidth="1"/>
    <col min="13053" max="13053" width="9.421875" style="0" customWidth="1"/>
    <col min="13055" max="13055" width="10.8515625" style="0" customWidth="1"/>
    <col min="13058" max="13058" width="10.00390625" style="0" customWidth="1"/>
    <col min="13061" max="13061" width="10.57421875" style="0" customWidth="1"/>
    <col min="13064" max="13064" width="10.7109375" style="0" customWidth="1"/>
    <col min="13066" max="13066" width="11.28125" style="0" customWidth="1"/>
    <col min="13067" max="13067" width="10.8515625" style="0" customWidth="1"/>
    <col min="13299" max="13299" width="4.00390625" style="0" customWidth="1"/>
    <col min="13300" max="13300" width="36.421875" style="0" customWidth="1"/>
    <col min="13301" max="13301" width="6.57421875" style="0" customWidth="1"/>
    <col min="13302" max="13302" width="11.7109375" style="0" customWidth="1"/>
    <col min="13303" max="13303" width="10.57421875" style="0" customWidth="1"/>
    <col min="13304" max="13304" width="11.00390625" style="0" customWidth="1"/>
    <col min="13305" max="13305" width="10.28125" style="0" customWidth="1"/>
    <col min="13306" max="13307" width="9.140625" style="0" customWidth="1"/>
    <col min="13309" max="13309" width="9.421875" style="0" customWidth="1"/>
    <col min="13311" max="13311" width="10.8515625" style="0" customWidth="1"/>
    <col min="13314" max="13314" width="10.00390625" style="0" customWidth="1"/>
    <col min="13317" max="13317" width="10.57421875" style="0" customWidth="1"/>
    <col min="13320" max="13320" width="10.7109375" style="0" customWidth="1"/>
    <col min="13322" max="13322" width="11.28125" style="0" customWidth="1"/>
    <col min="13323" max="13323" width="10.8515625" style="0" customWidth="1"/>
    <col min="13555" max="13555" width="4.00390625" style="0" customWidth="1"/>
    <col min="13556" max="13556" width="36.421875" style="0" customWidth="1"/>
    <col min="13557" max="13557" width="6.57421875" style="0" customWidth="1"/>
    <col min="13558" max="13558" width="11.7109375" style="0" customWidth="1"/>
    <col min="13559" max="13559" width="10.57421875" style="0" customWidth="1"/>
    <col min="13560" max="13560" width="11.00390625" style="0" customWidth="1"/>
    <col min="13561" max="13561" width="10.28125" style="0" customWidth="1"/>
    <col min="13562" max="13563" width="9.140625" style="0" customWidth="1"/>
    <col min="13565" max="13565" width="9.421875" style="0" customWidth="1"/>
    <col min="13567" max="13567" width="10.8515625" style="0" customWidth="1"/>
    <col min="13570" max="13570" width="10.00390625" style="0" customWidth="1"/>
    <col min="13573" max="13573" width="10.57421875" style="0" customWidth="1"/>
    <col min="13576" max="13576" width="10.7109375" style="0" customWidth="1"/>
    <col min="13578" max="13578" width="11.28125" style="0" customWidth="1"/>
    <col min="13579" max="13579" width="10.8515625" style="0" customWidth="1"/>
    <col min="13811" max="13811" width="4.00390625" style="0" customWidth="1"/>
    <col min="13812" max="13812" width="36.421875" style="0" customWidth="1"/>
    <col min="13813" max="13813" width="6.57421875" style="0" customWidth="1"/>
    <col min="13814" max="13814" width="11.7109375" style="0" customWidth="1"/>
    <col min="13815" max="13815" width="10.57421875" style="0" customWidth="1"/>
    <col min="13816" max="13816" width="11.00390625" style="0" customWidth="1"/>
    <col min="13817" max="13817" width="10.28125" style="0" customWidth="1"/>
    <col min="13818" max="13819" width="9.140625" style="0" customWidth="1"/>
    <col min="13821" max="13821" width="9.421875" style="0" customWidth="1"/>
    <col min="13823" max="13823" width="10.8515625" style="0" customWidth="1"/>
    <col min="13826" max="13826" width="10.00390625" style="0" customWidth="1"/>
    <col min="13829" max="13829" width="10.57421875" style="0" customWidth="1"/>
    <col min="13832" max="13832" width="10.7109375" style="0" customWidth="1"/>
    <col min="13834" max="13834" width="11.28125" style="0" customWidth="1"/>
    <col min="13835" max="13835" width="10.8515625" style="0" customWidth="1"/>
    <col min="14067" max="14067" width="4.00390625" style="0" customWidth="1"/>
    <col min="14068" max="14068" width="36.421875" style="0" customWidth="1"/>
    <col min="14069" max="14069" width="6.57421875" style="0" customWidth="1"/>
    <col min="14070" max="14070" width="11.7109375" style="0" customWidth="1"/>
    <col min="14071" max="14071" width="10.57421875" style="0" customWidth="1"/>
    <col min="14072" max="14072" width="11.00390625" style="0" customWidth="1"/>
    <col min="14073" max="14073" width="10.28125" style="0" customWidth="1"/>
    <col min="14074" max="14075" width="9.140625" style="0" customWidth="1"/>
    <col min="14077" max="14077" width="9.421875" style="0" customWidth="1"/>
    <col min="14079" max="14079" width="10.8515625" style="0" customWidth="1"/>
    <col min="14082" max="14082" width="10.00390625" style="0" customWidth="1"/>
    <col min="14085" max="14085" width="10.57421875" style="0" customWidth="1"/>
    <col min="14088" max="14088" width="10.7109375" style="0" customWidth="1"/>
    <col min="14090" max="14090" width="11.28125" style="0" customWidth="1"/>
    <col min="14091" max="14091" width="10.8515625" style="0" customWidth="1"/>
    <col min="14323" max="14323" width="4.00390625" style="0" customWidth="1"/>
    <col min="14324" max="14324" width="36.421875" style="0" customWidth="1"/>
    <col min="14325" max="14325" width="6.57421875" style="0" customWidth="1"/>
    <col min="14326" max="14326" width="11.7109375" style="0" customWidth="1"/>
    <col min="14327" max="14327" width="10.57421875" style="0" customWidth="1"/>
    <col min="14328" max="14328" width="11.00390625" style="0" customWidth="1"/>
    <col min="14329" max="14329" width="10.28125" style="0" customWidth="1"/>
    <col min="14330" max="14331" width="9.140625" style="0" customWidth="1"/>
    <col min="14333" max="14333" width="9.421875" style="0" customWidth="1"/>
    <col min="14335" max="14335" width="10.8515625" style="0" customWidth="1"/>
    <col min="14338" max="14338" width="10.00390625" style="0" customWidth="1"/>
    <col min="14341" max="14341" width="10.57421875" style="0" customWidth="1"/>
    <col min="14344" max="14344" width="10.7109375" style="0" customWidth="1"/>
    <col min="14346" max="14346" width="11.28125" style="0" customWidth="1"/>
    <col min="14347" max="14347" width="10.8515625" style="0" customWidth="1"/>
    <col min="14579" max="14579" width="4.00390625" style="0" customWidth="1"/>
    <col min="14580" max="14580" width="36.421875" style="0" customWidth="1"/>
    <col min="14581" max="14581" width="6.57421875" style="0" customWidth="1"/>
    <col min="14582" max="14582" width="11.7109375" style="0" customWidth="1"/>
    <col min="14583" max="14583" width="10.57421875" style="0" customWidth="1"/>
    <col min="14584" max="14584" width="11.00390625" style="0" customWidth="1"/>
    <col min="14585" max="14585" width="10.28125" style="0" customWidth="1"/>
    <col min="14586" max="14587" width="9.140625" style="0" customWidth="1"/>
    <col min="14589" max="14589" width="9.421875" style="0" customWidth="1"/>
    <col min="14591" max="14591" width="10.8515625" style="0" customWidth="1"/>
    <col min="14594" max="14594" width="10.00390625" style="0" customWidth="1"/>
    <col min="14597" max="14597" width="10.57421875" style="0" customWidth="1"/>
    <col min="14600" max="14600" width="10.7109375" style="0" customWidth="1"/>
    <col min="14602" max="14602" width="11.28125" style="0" customWidth="1"/>
    <col min="14603" max="14603" width="10.8515625" style="0" customWidth="1"/>
    <col min="14835" max="14835" width="4.00390625" style="0" customWidth="1"/>
    <col min="14836" max="14836" width="36.421875" style="0" customWidth="1"/>
    <col min="14837" max="14837" width="6.57421875" style="0" customWidth="1"/>
    <col min="14838" max="14838" width="11.7109375" style="0" customWidth="1"/>
    <col min="14839" max="14839" width="10.57421875" style="0" customWidth="1"/>
    <col min="14840" max="14840" width="11.00390625" style="0" customWidth="1"/>
    <col min="14841" max="14841" width="10.28125" style="0" customWidth="1"/>
    <col min="14842" max="14843" width="9.140625" style="0" customWidth="1"/>
    <col min="14845" max="14845" width="9.421875" style="0" customWidth="1"/>
    <col min="14847" max="14847" width="10.8515625" style="0" customWidth="1"/>
    <col min="14850" max="14850" width="10.00390625" style="0" customWidth="1"/>
    <col min="14853" max="14853" width="10.57421875" style="0" customWidth="1"/>
    <col min="14856" max="14856" width="10.7109375" style="0" customWidth="1"/>
    <col min="14858" max="14858" width="11.28125" style="0" customWidth="1"/>
    <col min="14859" max="14859" width="10.8515625" style="0" customWidth="1"/>
    <col min="15091" max="15091" width="4.00390625" style="0" customWidth="1"/>
    <col min="15092" max="15092" width="36.421875" style="0" customWidth="1"/>
    <col min="15093" max="15093" width="6.57421875" style="0" customWidth="1"/>
    <col min="15094" max="15094" width="11.7109375" style="0" customWidth="1"/>
    <col min="15095" max="15095" width="10.57421875" style="0" customWidth="1"/>
    <col min="15096" max="15096" width="11.00390625" style="0" customWidth="1"/>
    <col min="15097" max="15097" width="10.28125" style="0" customWidth="1"/>
    <col min="15098" max="15099" width="9.140625" style="0" customWidth="1"/>
    <col min="15101" max="15101" width="9.421875" style="0" customWidth="1"/>
    <col min="15103" max="15103" width="10.8515625" style="0" customWidth="1"/>
    <col min="15106" max="15106" width="10.00390625" style="0" customWidth="1"/>
    <col min="15109" max="15109" width="10.57421875" style="0" customWidth="1"/>
    <col min="15112" max="15112" width="10.7109375" style="0" customWidth="1"/>
    <col min="15114" max="15114" width="11.28125" style="0" customWidth="1"/>
    <col min="15115" max="15115" width="10.8515625" style="0" customWidth="1"/>
    <col min="15347" max="15347" width="4.00390625" style="0" customWidth="1"/>
    <col min="15348" max="15348" width="36.421875" style="0" customWidth="1"/>
    <col min="15349" max="15349" width="6.57421875" style="0" customWidth="1"/>
    <col min="15350" max="15350" width="11.7109375" style="0" customWidth="1"/>
    <col min="15351" max="15351" width="10.57421875" style="0" customWidth="1"/>
    <col min="15352" max="15352" width="11.00390625" style="0" customWidth="1"/>
    <col min="15353" max="15353" width="10.28125" style="0" customWidth="1"/>
    <col min="15354" max="15355" width="9.140625" style="0" customWidth="1"/>
    <col min="15357" max="15357" width="9.421875" style="0" customWidth="1"/>
    <col min="15359" max="15359" width="10.8515625" style="0" customWidth="1"/>
    <col min="15362" max="15362" width="10.00390625" style="0" customWidth="1"/>
    <col min="15365" max="15365" width="10.57421875" style="0" customWidth="1"/>
    <col min="15368" max="15368" width="10.7109375" style="0" customWidth="1"/>
    <col min="15370" max="15370" width="11.28125" style="0" customWidth="1"/>
    <col min="15371" max="15371" width="10.8515625" style="0" customWidth="1"/>
    <col min="15603" max="15603" width="4.00390625" style="0" customWidth="1"/>
    <col min="15604" max="15604" width="36.421875" style="0" customWidth="1"/>
    <col min="15605" max="15605" width="6.57421875" style="0" customWidth="1"/>
    <col min="15606" max="15606" width="11.7109375" style="0" customWidth="1"/>
    <col min="15607" max="15607" width="10.57421875" style="0" customWidth="1"/>
    <col min="15608" max="15608" width="11.00390625" style="0" customWidth="1"/>
    <col min="15609" max="15609" width="10.28125" style="0" customWidth="1"/>
    <col min="15610" max="15611" width="9.140625" style="0" customWidth="1"/>
    <col min="15613" max="15613" width="9.421875" style="0" customWidth="1"/>
    <col min="15615" max="15615" width="10.8515625" style="0" customWidth="1"/>
    <col min="15618" max="15618" width="10.00390625" style="0" customWidth="1"/>
    <col min="15621" max="15621" width="10.57421875" style="0" customWidth="1"/>
    <col min="15624" max="15624" width="10.7109375" style="0" customWidth="1"/>
    <col min="15626" max="15626" width="11.28125" style="0" customWidth="1"/>
    <col min="15627" max="15627" width="10.8515625" style="0" customWidth="1"/>
    <col min="15859" max="15859" width="4.00390625" style="0" customWidth="1"/>
    <col min="15860" max="15860" width="36.421875" style="0" customWidth="1"/>
    <col min="15861" max="15861" width="6.57421875" style="0" customWidth="1"/>
    <col min="15862" max="15862" width="11.7109375" style="0" customWidth="1"/>
    <col min="15863" max="15863" width="10.57421875" style="0" customWidth="1"/>
    <col min="15864" max="15864" width="11.00390625" style="0" customWidth="1"/>
    <col min="15865" max="15865" width="10.28125" style="0" customWidth="1"/>
    <col min="15866" max="15867" width="9.140625" style="0" customWidth="1"/>
    <col min="15869" max="15869" width="9.421875" style="0" customWidth="1"/>
    <col min="15871" max="15871" width="10.8515625" style="0" customWidth="1"/>
    <col min="15874" max="15874" width="10.00390625" style="0" customWidth="1"/>
    <col min="15877" max="15877" width="10.57421875" style="0" customWidth="1"/>
    <col min="15880" max="15880" width="10.7109375" style="0" customWidth="1"/>
    <col min="15882" max="15882" width="11.28125" style="0" customWidth="1"/>
    <col min="15883" max="15883" width="10.8515625" style="0" customWidth="1"/>
    <col min="16115" max="16115" width="4.00390625" style="0" customWidth="1"/>
    <col min="16116" max="16116" width="36.421875" style="0" customWidth="1"/>
    <col min="16117" max="16117" width="6.57421875" style="0" customWidth="1"/>
    <col min="16118" max="16118" width="11.7109375" style="0" customWidth="1"/>
    <col min="16119" max="16119" width="10.57421875" style="0" customWidth="1"/>
    <col min="16120" max="16120" width="11.00390625" style="0" customWidth="1"/>
    <col min="16121" max="16121" width="10.28125" style="0" customWidth="1"/>
    <col min="16122" max="16123" width="9.140625" style="0" customWidth="1"/>
    <col min="16125" max="16125" width="9.421875" style="0" customWidth="1"/>
    <col min="16127" max="16127" width="10.8515625" style="0" customWidth="1"/>
    <col min="16130" max="16130" width="10.00390625" style="0" customWidth="1"/>
    <col min="16133" max="16133" width="10.57421875" style="0" customWidth="1"/>
    <col min="16136" max="16136" width="10.7109375" style="0" customWidth="1"/>
    <col min="16138" max="16138" width="11.28125" style="0" customWidth="1"/>
    <col min="16139" max="16139" width="10.8515625" style="0" customWidth="1"/>
  </cols>
  <sheetData>
    <row r="1" spans="1:26" ht="12.75">
      <c r="A1" s="28" t="s">
        <v>285</v>
      </c>
      <c r="C1" s="13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177</v>
      </c>
      <c r="I1" s="13" t="s">
        <v>286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2.75">
      <c r="B2" s="13" t="s">
        <v>171</v>
      </c>
      <c r="D2" s="13" t="s">
        <v>291</v>
      </c>
      <c r="E2" s="13" t="s">
        <v>292</v>
      </c>
      <c r="F2" s="13">
        <v>2018</v>
      </c>
      <c r="G2" s="13" t="s">
        <v>291</v>
      </c>
      <c r="H2" s="13" t="s">
        <v>292</v>
      </c>
      <c r="I2" s="13">
        <v>2019</v>
      </c>
      <c r="J2" s="13"/>
      <c r="K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3:26" ht="12.75">
      <c r="C3" s="13" t="s">
        <v>293</v>
      </c>
      <c r="D3" s="13" t="s">
        <v>294</v>
      </c>
      <c r="E3" s="13" t="s">
        <v>295</v>
      </c>
      <c r="F3" s="13" t="s">
        <v>296</v>
      </c>
      <c r="G3" s="13" t="s">
        <v>294</v>
      </c>
      <c r="H3" s="13" t="s">
        <v>295</v>
      </c>
      <c r="I3" s="13" t="s">
        <v>296</v>
      </c>
      <c r="J3" s="13"/>
      <c r="K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3:26" ht="12.75">
      <c r="C4" s="13" t="s">
        <v>297</v>
      </c>
      <c r="D4" s="51">
        <v>43373</v>
      </c>
      <c r="E4" s="13" t="s">
        <v>298</v>
      </c>
      <c r="F4" s="13" t="s">
        <v>299</v>
      </c>
      <c r="G4" s="51">
        <v>43738</v>
      </c>
      <c r="H4" s="13" t="s">
        <v>298</v>
      </c>
      <c r="I4" s="13" t="s">
        <v>299</v>
      </c>
      <c r="J4" s="51"/>
      <c r="K4" s="13"/>
      <c r="N4" s="5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16" ht="12.75">
      <c r="A5">
        <v>1</v>
      </c>
      <c r="B5" t="s">
        <v>300</v>
      </c>
      <c r="C5" s="52">
        <v>50</v>
      </c>
      <c r="D5" s="131">
        <v>10440022.946169998</v>
      </c>
      <c r="E5" s="350">
        <v>0.041</v>
      </c>
      <c r="F5" s="184">
        <f>PMT(E5,$C5,D5,0,0)*-1</f>
        <v>494336.8110844136</v>
      </c>
      <c r="G5" s="184">
        <v>10744709.97260259</v>
      </c>
      <c r="H5" s="350">
        <v>0.03983</v>
      </c>
      <c r="I5" s="131">
        <f>PMT(H5,$C5,G5,0,0)*-1</f>
        <v>498712.9459541612</v>
      </c>
      <c r="J5" s="53"/>
      <c r="K5" s="54"/>
      <c r="N5" s="53"/>
      <c r="O5" s="54"/>
      <c r="P5" s="55"/>
    </row>
    <row r="6" spans="3:16" ht="12.75">
      <c r="C6" s="52"/>
      <c r="D6" s="131"/>
      <c r="E6" s="350"/>
      <c r="F6" s="184"/>
      <c r="G6" s="184"/>
      <c r="H6" s="350"/>
      <c r="I6" s="131"/>
      <c r="J6" s="53"/>
      <c r="K6" s="54"/>
      <c r="L6" s="54"/>
      <c r="M6" s="55"/>
      <c r="N6" s="53"/>
      <c r="O6" s="54"/>
      <c r="P6" s="55"/>
    </row>
    <row r="7" spans="3:16" ht="12.75">
      <c r="C7" s="52"/>
      <c r="D7" s="131"/>
      <c r="E7" s="350"/>
      <c r="F7" s="184"/>
      <c r="G7" s="184"/>
      <c r="H7" s="350"/>
      <c r="I7" s="131"/>
      <c r="J7" s="53"/>
      <c r="K7" s="54"/>
      <c r="L7" s="54"/>
      <c r="M7" s="55"/>
      <c r="N7" s="53"/>
      <c r="O7" s="54"/>
      <c r="P7" s="55"/>
    </row>
    <row r="8" spans="1:16" ht="12.75">
      <c r="A8">
        <v>2</v>
      </c>
      <c r="B8" t="s">
        <v>301</v>
      </c>
      <c r="C8">
        <v>15</v>
      </c>
      <c r="D8" s="132">
        <v>526639.492</v>
      </c>
      <c r="E8" s="350">
        <v>0.03255</v>
      </c>
      <c r="F8" s="185">
        <f>PMT(E8,$C8,D8,0,0)*-1</f>
        <v>44932.44320689621</v>
      </c>
      <c r="G8" s="185">
        <v>554929.492</v>
      </c>
      <c r="H8" s="350">
        <v>0.03241</v>
      </c>
      <c r="I8" s="132">
        <f>PMT(H8,$C8,G8,0,0)*-1</f>
        <v>47298.60265589344</v>
      </c>
      <c r="J8" s="8"/>
      <c r="K8" s="54"/>
      <c r="L8" s="54"/>
      <c r="M8" s="55"/>
      <c r="N8" s="8"/>
      <c r="O8" s="54"/>
      <c r="P8" s="55"/>
    </row>
    <row r="9" spans="1:16" ht="12.75">
      <c r="A9">
        <v>3</v>
      </c>
      <c r="B9" t="s">
        <v>302</v>
      </c>
      <c r="C9" s="52">
        <f>C18</f>
        <v>8.602029778721281</v>
      </c>
      <c r="D9" s="132">
        <v>173437.46990000003</v>
      </c>
      <c r="E9" s="350">
        <v>0.01618</v>
      </c>
      <c r="F9" s="185">
        <f>PMT(E9,$C9,D9,0,0)*-1</f>
        <v>21760.45233112302</v>
      </c>
      <c r="G9" s="185">
        <v>180638.04710000003</v>
      </c>
      <c r="H9" s="350">
        <v>0.01794</v>
      </c>
      <c r="I9" s="132">
        <f>PMT(H9,F18,G9,0,0)*-1</f>
        <v>23637.972090242987</v>
      </c>
      <c r="J9" s="8"/>
      <c r="K9" s="54"/>
      <c r="L9" s="54"/>
      <c r="M9" s="55"/>
      <c r="N9" s="8"/>
      <c r="O9" s="54"/>
      <c r="P9" s="55"/>
    </row>
    <row r="10" spans="1:16" ht="12.75">
      <c r="A10">
        <v>4</v>
      </c>
      <c r="B10" t="s">
        <v>303</v>
      </c>
      <c r="C10" s="52">
        <f>C23</f>
        <v>41.873741113744074</v>
      </c>
      <c r="D10" s="131">
        <v>1696389</v>
      </c>
      <c r="E10" s="350">
        <v>0.02014</v>
      </c>
      <c r="F10" s="184">
        <f>PMT(E10,$C10,D10,0,0)*-1</f>
        <v>60351.27805485167</v>
      </c>
      <c r="G10" s="184">
        <v>1696389</v>
      </c>
      <c r="H10" s="350">
        <v>0.02046</v>
      </c>
      <c r="I10" s="131">
        <f>PMT(H10,F23,G10,0,0)*-1</f>
        <v>60370.210057352895</v>
      </c>
      <c r="J10" s="16"/>
      <c r="K10" s="54"/>
      <c r="L10" s="54"/>
      <c r="M10" s="55"/>
      <c r="P10" s="55"/>
    </row>
    <row r="11" spans="4:13" ht="12.75">
      <c r="D11" s="131"/>
      <c r="F11" s="131">
        <f>SUM(F8:F10)</f>
        <v>127044.17359287091</v>
      </c>
      <c r="G11" s="131"/>
      <c r="H11" s="9"/>
      <c r="I11" s="131">
        <f>SUM(I8:I10)</f>
        <v>131306.7848034893</v>
      </c>
      <c r="M11" s="55"/>
    </row>
    <row r="12" spans="4:9" ht="12.75">
      <c r="D12" s="131"/>
      <c r="F12" s="131"/>
      <c r="G12" s="131"/>
      <c r="I12" s="131"/>
    </row>
    <row r="13" spans="4:11" ht="12.75">
      <c r="D13" s="131"/>
      <c r="F13" s="131"/>
      <c r="G13" s="131"/>
      <c r="I13" s="131"/>
      <c r="J13" s="13"/>
      <c r="K13" s="13"/>
    </row>
    <row r="14" spans="2:9" ht="12.75">
      <c r="B14" s="28" t="s">
        <v>304</v>
      </c>
      <c r="C14" s="57"/>
      <c r="D14" s="131"/>
      <c r="F14" s="131"/>
      <c r="G14" s="131"/>
      <c r="I14" s="131"/>
    </row>
    <row r="15" spans="2:14" ht="12.75">
      <c r="B15" s="58" t="s">
        <v>305</v>
      </c>
      <c r="C15" s="59"/>
      <c r="D15" s="132"/>
      <c r="F15" s="132"/>
      <c r="G15" s="132"/>
      <c r="I15" s="132"/>
      <c r="J15" s="8"/>
      <c r="N15" s="8"/>
    </row>
    <row r="16" spans="2:14" ht="12.75">
      <c r="B16" s="58" t="s">
        <v>306</v>
      </c>
      <c r="C16" s="59"/>
      <c r="D16" s="132"/>
      <c r="F16" s="132"/>
      <c r="G16" s="132"/>
      <c r="I16" s="132"/>
      <c r="J16" s="8"/>
      <c r="N16" s="8"/>
    </row>
    <row r="17" spans="2:14" ht="12.75">
      <c r="B17" s="58" t="s">
        <v>307</v>
      </c>
      <c r="C17" s="59"/>
      <c r="D17" s="132"/>
      <c r="F17" s="132"/>
      <c r="G17" s="132"/>
      <c r="I17" s="132"/>
      <c r="J17" s="8"/>
      <c r="N17" s="8"/>
    </row>
    <row r="18" spans="2:14" ht="12.75">
      <c r="B18" s="58" t="s">
        <v>308</v>
      </c>
      <c r="C18" s="186">
        <f>D18/E18</f>
        <v>8.602029778721281</v>
      </c>
      <c r="D18" s="132">
        <f>+D9</f>
        <v>173437.46990000003</v>
      </c>
      <c r="E18" s="29">
        <v>20162.38892</v>
      </c>
      <c r="F18" s="186">
        <f>G18/H18</f>
        <v>8.292604668098432</v>
      </c>
      <c r="G18" s="132">
        <f>+G9</f>
        <v>180638.04710000003</v>
      </c>
      <c r="H18" s="29">
        <v>21783.028895</v>
      </c>
      <c r="I18" s="139"/>
      <c r="J18" s="8"/>
      <c r="K18" s="29"/>
      <c r="L18" s="29"/>
      <c r="M18" s="52"/>
      <c r="N18" s="16"/>
    </row>
    <row r="19" spans="2:9" ht="12.75">
      <c r="B19" s="60" t="s">
        <v>309</v>
      </c>
      <c r="C19" s="186"/>
      <c r="D19" s="131"/>
      <c r="F19" s="186"/>
      <c r="G19" s="131"/>
      <c r="I19" s="131"/>
    </row>
    <row r="20" spans="2:14" ht="12.75">
      <c r="B20" s="58" t="s">
        <v>310</v>
      </c>
      <c r="C20" s="187"/>
      <c r="D20" s="132"/>
      <c r="F20" s="186"/>
      <c r="G20" s="132"/>
      <c r="I20" s="132"/>
      <c r="J20" s="8"/>
      <c r="N20" s="8"/>
    </row>
    <row r="21" spans="2:14" ht="12.75">
      <c r="B21" s="58" t="s">
        <v>311</v>
      </c>
      <c r="C21" s="187"/>
      <c r="D21" s="132"/>
      <c r="F21" s="186"/>
      <c r="G21" s="132"/>
      <c r="I21" s="132"/>
      <c r="J21" s="8"/>
      <c r="N21" s="8"/>
    </row>
    <row r="22" spans="2:14" ht="12.75">
      <c r="B22" s="58" t="s">
        <v>312</v>
      </c>
      <c r="C22" s="187"/>
      <c r="D22" s="132"/>
      <c r="F22" s="186"/>
      <c r="G22" s="132"/>
      <c r="I22" s="132"/>
      <c r="J22" s="8"/>
      <c r="N22" s="8"/>
    </row>
    <row r="23" spans="2:14" ht="12.75">
      <c r="B23" s="58" t="s">
        <v>313</v>
      </c>
      <c r="C23" s="186">
        <f>D23/E23</f>
        <v>41.873741113744074</v>
      </c>
      <c r="D23" s="131">
        <v>1696389</v>
      </c>
      <c r="E23" s="29">
        <v>40512</v>
      </c>
      <c r="F23" s="186">
        <f>G23/H23</f>
        <v>42.23865843334495</v>
      </c>
      <c r="G23" s="131">
        <f>G10</f>
        <v>1696389</v>
      </c>
      <c r="H23" s="29">
        <v>40162</v>
      </c>
      <c r="I23" s="131"/>
      <c r="J23" s="16"/>
      <c r="K23" s="29"/>
      <c r="L23" s="29"/>
      <c r="M23" s="52"/>
      <c r="N23" s="16"/>
    </row>
    <row r="25" spans="4:15" ht="12.75">
      <c r="D25" s="16"/>
      <c r="E25" s="27"/>
      <c r="G25" s="16"/>
      <c r="H25" s="27"/>
      <c r="J25" s="16"/>
      <c r="K25" s="27"/>
      <c r="L25" s="27"/>
      <c r="N25" s="16"/>
      <c r="O25" s="2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AJ155"/>
  <sheetViews>
    <sheetView zoomScale="85" zoomScaleNormal="85" workbookViewId="0" topLeftCell="A13">
      <selection activeCell="A11" sqref="A11:M135"/>
    </sheetView>
  </sheetViews>
  <sheetFormatPr defaultColWidth="11.00390625" defaultRowHeight="12.75"/>
  <cols>
    <col min="1" max="1" width="7.57421875" style="194" customWidth="1"/>
    <col min="2" max="2" width="15.57421875" style="195" customWidth="1"/>
    <col min="3" max="3" width="16.421875" style="195" customWidth="1"/>
    <col min="4" max="4" width="16.00390625" style="195" customWidth="1"/>
    <col min="5" max="5" width="18.7109375" style="195" customWidth="1"/>
    <col min="6" max="6" width="19.00390625" style="195" customWidth="1"/>
    <col min="7" max="7" width="17.421875" style="195" customWidth="1"/>
    <col min="8" max="8" width="16.28125" style="195" customWidth="1"/>
    <col min="9" max="9" width="14.140625" style="195" customWidth="1"/>
    <col min="10" max="10" width="15.8515625" style="195" customWidth="1"/>
    <col min="11" max="11" width="19.421875" style="211" customWidth="1"/>
    <col min="12" max="12" width="15.57421875" style="211" customWidth="1"/>
    <col min="13" max="13" width="14.140625" style="211" customWidth="1"/>
    <col min="14" max="14" width="11.00390625" style="211" customWidth="1"/>
    <col min="15" max="16" width="25.00390625" style="211" customWidth="1"/>
    <col min="17" max="17" width="1.8515625" style="195" customWidth="1"/>
    <col min="18" max="18" width="17.8515625" style="195" customWidth="1"/>
    <col min="19" max="19" width="1.8515625" style="195" customWidth="1"/>
    <col min="20" max="20" width="19.00390625" style="195" customWidth="1"/>
    <col min="21" max="21" width="1.8515625" style="195" customWidth="1"/>
    <col min="22" max="22" width="16.7109375" style="195" customWidth="1"/>
    <col min="23" max="23" width="1.8515625" style="195" customWidth="1"/>
    <col min="24" max="24" width="16.7109375" style="195" customWidth="1"/>
    <col min="25" max="25" width="1.8515625" style="195" customWidth="1"/>
    <col min="26" max="26" width="16.7109375" style="195" customWidth="1"/>
    <col min="27" max="27" width="1.8515625" style="195" customWidth="1"/>
    <col min="28" max="28" width="16.7109375" style="195" customWidth="1"/>
    <col min="29" max="29" width="1.8515625" style="195" customWidth="1"/>
    <col min="30" max="30" width="17.8515625" style="195" customWidth="1"/>
    <col min="31" max="31" width="5.28125" style="195" customWidth="1"/>
    <col min="32" max="32" width="16.7109375" style="195" customWidth="1"/>
    <col min="33" max="33" width="5.28125" style="195" customWidth="1"/>
    <col min="34" max="34" width="14.421875" style="195" customWidth="1"/>
    <col min="35" max="35" width="1.8515625" style="195" customWidth="1"/>
    <col min="36" max="36" width="16.7109375" style="195" customWidth="1"/>
    <col min="37" max="246" width="11.00390625" style="195" customWidth="1"/>
    <col min="247" max="247" width="7.57421875" style="195" customWidth="1"/>
    <col min="248" max="248" width="15.57421875" style="195" customWidth="1"/>
    <col min="249" max="249" width="20.140625" style="195" customWidth="1"/>
    <col min="250" max="250" width="2.28125" style="195" customWidth="1"/>
    <col min="251" max="251" width="17.421875" style="195" customWidth="1"/>
    <col min="252" max="252" width="1.8515625" style="195" customWidth="1"/>
    <col min="253" max="253" width="18.7109375" style="195" customWidth="1"/>
    <col min="254" max="254" width="1.8515625" style="195" customWidth="1"/>
    <col min="255" max="255" width="23.00390625" style="195" customWidth="1"/>
    <col min="256" max="256" width="1.8515625" style="195" customWidth="1"/>
    <col min="257" max="257" width="17.421875" style="195" customWidth="1"/>
    <col min="258" max="258" width="3.00390625" style="195" customWidth="1"/>
    <col min="259" max="259" width="16.28125" style="195" customWidth="1"/>
    <col min="260" max="260" width="3.00390625" style="195" customWidth="1"/>
    <col min="261" max="261" width="14.140625" style="195" customWidth="1"/>
    <col min="262" max="262" width="2.00390625" style="195" customWidth="1"/>
    <col min="263" max="263" width="15.8515625" style="195" customWidth="1"/>
    <col min="264" max="264" width="3.140625" style="195" customWidth="1"/>
    <col min="265" max="265" width="17.8515625" style="195" customWidth="1"/>
    <col min="266" max="266" width="2.57421875" style="195" customWidth="1"/>
    <col min="267" max="267" width="15.57421875" style="195" customWidth="1"/>
    <col min="268" max="268" width="1.8515625" style="195" customWidth="1"/>
    <col min="269" max="269" width="14.140625" style="195" customWidth="1"/>
    <col min="270" max="270" width="11.00390625" style="195" customWidth="1"/>
    <col min="271" max="272" width="25.00390625" style="195" customWidth="1"/>
    <col min="273" max="273" width="1.8515625" style="195" customWidth="1"/>
    <col min="274" max="274" width="17.8515625" style="195" customWidth="1"/>
    <col min="275" max="275" width="1.8515625" style="195" customWidth="1"/>
    <col min="276" max="276" width="19.00390625" style="195" customWidth="1"/>
    <col min="277" max="277" width="1.8515625" style="195" customWidth="1"/>
    <col min="278" max="278" width="16.7109375" style="195" customWidth="1"/>
    <col min="279" max="279" width="1.8515625" style="195" customWidth="1"/>
    <col min="280" max="280" width="16.7109375" style="195" customWidth="1"/>
    <col min="281" max="281" width="1.8515625" style="195" customWidth="1"/>
    <col min="282" max="282" width="16.7109375" style="195" customWidth="1"/>
    <col min="283" max="283" width="1.8515625" style="195" customWidth="1"/>
    <col min="284" max="284" width="16.7109375" style="195" customWidth="1"/>
    <col min="285" max="285" width="1.8515625" style="195" customWidth="1"/>
    <col min="286" max="286" width="17.8515625" style="195" customWidth="1"/>
    <col min="287" max="287" width="5.28125" style="195" customWidth="1"/>
    <col min="288" max="288" width="16.7109375" style="195" customWidth="1"/>
    <col min="289" max="289" width="5.28125" style="195" customWidth="1"/>
    <col min="290" max="290" width="14.421875" style="195" customWidth="1"/>
    <col min="291" max="291" width="1.8515625" style="195" customWidth="1"/>
    <col min="292" max="292" width="16.7109375" style="195" customWidth="1"/>
    <col min="293" max="502" width="11.00390625" style="195" customWidth="1"/>
    <col min="503" max="503" width="7.57421875" style="195" customWidth="1"/>
    <col min="504" max="504" width="15.57421875" style="195" customWidth="1"/>
    <col min="505" max="505" width="20.140625" style="195" customWidth="1"/>
    <col min="506" max="506" width="2.28125" style="195" customWidth="1"/>
    <col min="507" max="507" width="17.421875" style="195" customWidth="1"/>
    <col min="508" max="508" width="1.8515625" style="195" customWidth="1"/>
    <col min="509" max="509" width="18.7109375" style="195" customWidth="1"/>
    <col min="510" max="510" width="1.8515625" style="195" customWidth="1"/>
    <col min="511" max="511" width="23.00390625" style="195" customWidth="1"/>
    <col min="512" max="512" width="1.8515625" style="195" customWidth="1"/>
    <col min="513" max="513" width="17.421875" style="195" customWidth="1"/>
    <col min="514" max="514" width="3.00390625" style="195" customWidth="1"/>
    <col min="515" max="515" width="16.28125" style="195" customWidth="1"/>
    <col min="516" max="516" width="3.00390625" style="195" customWidth="1"/>
    <col min="517" max="517" width="14.140625" style="195" customWidth="1"/>
    <col min="518" max="518" width="2.00390625" style="195" customWidth="1"/>
    <col min="519" max="519" width="15.8515625" style="195" customWidth="1"/>
    <col min="520" max="520" width="3.140625" style="195" customWidth="1"/>
    <col min="521" max="521" width="17.8515625" style="195" customWidth="1"/>
    <col min="522" max="522" width="2.57421875" style="195" customWidth="1"/>
    <col min="523" max="523" width="15.57421875" style="195" customWidth="1"/>
    <col min="524" max="524" width="1.8515625" style="195" customWidth="1"/>
    <col min="525" max="525" width="14.140625" style="195" customWidth="1"/>
    <col min="526" max="526" width="11.00390625" style="195" customWidth="1"/>
    <col min="527" max="528" width="25.00390625" style="195" customWidth="1"/>
    <col min="529" max="529" width="1.8515625" style="195" customWidth="1"/>
    <col min="530" max="530" width="17.8515625" style="195" customWidth="1"/>
    <col min="531" max="531" width="1.8515625" style="195" customWidth="1"/>
    <col min="532" max="532" width="19.00390625" style="195" customWidth="1"/>
    <col min="533" max="533" width="1.8515625" style="195" customWidth="1"/>
    <col min="534" max="534" width="16.7109375" style="195" customWidth="1"/>
    <col min="535" max="535" width="1.8515625" style="195" customWidth="1"/>
    <col min="536" max="536" width="16.7109375" style="195" customWidth="1"/>
    <col min="537" max="537" width="1.8515625" style="195" customWidth="1"/>
    <col min="538" max="538" width="16.7109375" style="195" customWidth="1"/>
    <col min="539" max="539" width="1.8515625" style="195" customWidth="1"/>
    <col min="540" max="540" width="16.7109375" style="195" customWidth="1"/>
    <col min="541" max="541" width="1.8515625" style="195" customWidth="1"/>
    <col min="542" max="542" width="17.8515625" style="195" customWidth="1"/>
    <col min="543" max="543" width="5.28125" style="195" customWidth="1"/>
    <col min="544" max="544" width="16.7109375" style="195" customWidth="1"/>
    <col min="545" max="545" width="5.28125" style="195" customWidth="1"/>
    <col min="546" max="546" width="14.421875" style="195" customWidth="1"/>
    <col min="547" max="547" width="1.8515625" style="195" customWidth="1"/>
    <col min="548" max="548" width="16.7109375" style="195" customWidth="1"/>
    <col min="549" max="758" width="11.00390625" style="195" customWidth="1"/>
    <col min="759" max="759" width="7.57421875" style="195" customWidth="1"/>
    <col min="760" max="760" width="15.57421875" style="195" customWidth="1"/>
    <col min="761" max="761" width="20.140625" style="195" customWidth="1"/>
    <col min="762" max="762" width="2.28125" style="195" customWidth="1"/>
    <col min="763" max="763" width="17.421875" style="195" customWidth="1"/>
    <col min="764" max="764" width="1.8515625" style="195" customWidth="1"/>
    <col min="765" max="765" width="18.7109375" style="195" customWidth="1"/>
    <col min="766" max="766" width="1.8515625" style="195" customWidth="1"/>
    <col min="767" max="767" width="23.00390625" style="195" customWidth="1"/>
    <col min="768" max="768" width="1.8515625" style="195" customWidth="1"/>
    <col min="769" max="769" width="17.421875" style="195" customWidth="1"/>
    <col min="770" max="770" width="3.00390625" style="195" customWidth="1"/>
    <col min="771" max="771" width="16.28125" style="195" customWidth="1"/>
    <col min="772" max="772" width="3.00390625" style="195" customWidth="1"/>
    <col min="773" max="773" width="14.140625" style="195" customWidth="1"/>
    <col min="774" max="774" width="2.00390625" style="195" customWidth="1"/>
    <col min="775" max="775" width="15.8515625" style="195" customWidth="1"/>
    <col min="776" max="776" width="3.140625" style="195" customWidth="1"/>
    <col min="777" max="777" width="17.8515625" style="195" customWidth="1"/>
    <col min="778" max="778" width="2.57421875" style="195" customWidth="1"/>
    <col min="779" max="779" width="15.57421875" style="195" customWidth="1"/>
    <col min="780" max="780" width="1.8515625" style="195" customWidth="1"/>
    <col min="781" max="781" width="14.140625" style="195" customWidth="1"/>
    <col min="782" max="782" width="11.00390625" style="195" customWidth="1"/>
    <col min="783" max="784" width="25.00390625" style="195" customWidth="1"/>
    <col min="785" max="785" width="1.8515625" style="195" customWidth="1"/>
    <col min="786" max="786" width="17.8515625" style="195" customWidth="1"/>
    <col min="787" max="787" width="1.8515625" style="195" customWidth="1"/>
    <col min="788" max="788" width="19.00390625" style="195" customWidth="1"/>
    <col min="789" max="789" width="1.8515625" style="195" customWidth="1"/>
    <col min="790" max="790" width="16.7109375" style="195" customWidth="1"/>
    <col min="791" max="791" width="1.8515625" style="195" customWidth="1"/>
    <col min="792" max="792" width="16.7109375" style="195" customWidth="1"/>
    <col min="793" max="793" width="1.8515625" style="195" customWidth="1"/>
    <col min="794" max="794" width="16.7109375" style="195" customWidth="1"/>
    <col min="795" max="795" width="1.8515625" style="195" customWidth="1"/>
    <col min="796" max="796" width="16.7109375" style="195" customWidth="1"/>
    <col min="797" max="797" width="1.8515625" style="195" customWidth="1"/>
    <col min="798" max="798" width="17.8515625" style="195" customWidth="1"/>
    <col min="799" max="799" width="5.28125" style="195" customWidth="1"/>
    <col min="800" max="800" width="16.7109375" style="195" customWidth="1"/>
    <col min="801" max="801" width="5.28125" style="195" customWidth="1"/>
    <col min="802" max="802" width="14.421875" style="195" customWidth="1"/>
    <col min="803" max="803" width="1.8515625" style="195" customWidth="1"/>
    <col min="804" max="804" width="16.7109375" style="195" customWidth="1"/>
    <col min="805" max="1014" width="11.00390625" style="195" customWidth="1"/>
    <col min="1015" max="1015" width="7.57421875" style="195" customWidth="1"/>
    <col min="1016" max="1016" width="15.57421875" style="195" customWidth="1"/>
    <col min="1017" max="1017" width="20.140625" style="195" customWidth="1"/>
    <col min="1018" max="1018" width="2.28125" style="195" customWidth="1"/>
    <col min="1019" max="1019" width="17.421875" style="195" customWidth="1"/>
    <col min="1020" max="1020" width="1.8515625" style="195" customWidth="1"/>
    <col min="1021" max="1021" width="18.7109375" style="195" customWidth="1"/>
    <col min="1022" max="1022" width="1.8515625" style="195" customWidth="1"/>
    <col min="1023" max="1023" width="23.00390625" style="195" customWidth="1"/>
    <col min="1024" max="1024" width="1.8515625" style="195" customWidth="1"/>
    <col min="1025" max="1025" width="17.421875" style="195" customWidth="1"/>
    <col min="1026" max="1026" width="3.00390625" style="195" customWidth="1"/>
    <col min="1027" max="1027" width="16.28125" style="195" customWidth="1"/>
    <col min="1028" max="1028" width="3.00390625" style="195" customWidth="1"/>
    <col min="1029" max="1029" width="14.140625" style="195" customWidth="1"/>
    <col min="1030" max="1030" width="2.00390625" style="195" customWidth="1"/>
    <col min="1031" max="1031" width="15.8515625" style="195" customWidth="1"/>
    <col min="1032" max="1032" width="3.140625" style="195" customWidth="1"/>
    <col min="1033" max="1033" width="17.8515625" style="195" customWidth="1"/>
    <col min="1034" max="1034" width="2.57421875" style="195" customWidth="1"/>
    <col min="1035" max="1035" width="15.57421875" style="195" customWidth="1"/>
    <col min="1036" max="1036" width="1.8515625" style="195" customWidth="1"/>
    <col min="1037" max="1037" width="14.140625" style="195" customWidth="1"/>
    <col min="1038" max="1038" width="11.00390625" style="195" customWidth="1"/>
    <col min="1039" max="1040" width="25.00390625" style="195" customWidth="1"/>
    <col min="1041" max="1041" width="1.8515625" style="195" customWidth="1"/>
    <col min="1042" max="1042" width="17.8515625" style="195" customWidth="1"/>
    <col min="1043" max="1043" width="1.8515625" style="195" customWidth="1"/>
    <col min="1044" max="1044" width="19.00390625" style="195" customWidth="1"/>
    <col min="1045" max="1045" width="1.8515625" style="195" customWidth="1"/>
    <col min="1046" max="1046" width="16.7109375" style="195" customWidth="1"/>
    <col min="1047" max="1047" width="1.8515625" style="195" customWidth="1"/>
    <col min="1048" max="1048" width="16.7109375" style="195" customWidth="1"/>
    <col min="1049" max="1049" width="1.8515625" style="195" customWidth="1"/>
    <col min="1050" max="1050" width="16.7109375" style="195" customWidth="1"/>
    <col min="1051" max="1051" width="1.8515625" style="195" customWidth="1"/>
    <col min="1052" max="1052" width="16.7109375" style="195" customWidth="1"/>
    <col min="1053" max="1053" width="1.8515625" style="195" customWidth="1"/>
    <col min="1054" max="1054" width="17.8515625" style="195" customWidth="1"/>
    <col min="1055" max="1055" width="5.28125" style="195" customWidth="1"/>
    <col min="1056" max="1056" width="16.7109375" style="195" customWidth="1"/>
    <col min="1057" max="1057" width="5.28125" style="195" customWidth="1"/>
    <col min="1058" max="1058" width="14.421875" style="195" customWidth="1"/>
    <col min="1059" max="1059" width="1.8515625" style="195" customWidth="1"/>
    <col min="1060" max="1060" width="16.7109375" style="195" customWidth="1"/>
    <col min="1061" max="1270" width="11.00390625" style="195" customWidth="1"/>
    <col min="1271" max="1271" width="7.57421875" style="195" customWidth="1"/>
    <col min="1272" max="1272" width="15.57421875" style="195" customWidth="1"/>
    <col min="1273" max="1273" width="20.140625" style="195" customWidth="1"/>
    <col min="1274" max="1274" width="2.28125" style="195" customWidth="1"/>
    <col min="1275" max="1275" width="17.421875" style="195" customWidth="1"/>
    <col min="1276" max="1276" width="1.8515625" style="195" customWidth="1"/>
    <col min="1277" max="1277" width="18.7109375" style="195" customWidth="1"/>
    <col min="1278" max="1278" width="1.8515625" style="195" customWidth="1"/>
    <col min="1279" max="1279" width="23.00390625" style="195" customWidth="1"/>
    <col min="1280" max="1280" width="1.8515625" style="195" customWidth="1"/>
    <col min="1281" max="1281" width="17.421875" style="195" customWidth="1"/>
    <col min="1282" max="1282" width="3.00390625" style="195" customWidth="1"/>
    <col min="1283" max="1283" width="16.28125" style="195" customWidth="1"/>
    <col min="1284" max="1284" width="3.00390625" style="195" customWidth="1"/>
    <col min="1285" max="1285" width="14.140625" style="195" customWidth="1"/>
    <col min="1286" max="1286" width="2.00390625" style="195" customWidth="1"/>
    <col min="1287" max="1287" width="15.8515625" style="195" customWidth="1"/>
    <col min="1288" max="1288" width="3.140625" style="195" customWidth="1"/>
    <col min="1289" max="1289" width="17.8515625" style="195" customWidth="1"/>
    <col min="1290" max="1290" width="2.57421875" style="195" customWidth="1"/>
    <col min="1291" max="1291" width="15.57421875" style="195" customWidth="1"/>
    <col min="1292" max="1292" width="1.8515625" style="195" customWidth="1"/>
    <col min="1293" max="1293" width="14.140625" style="195" customWidth="1"/>
    <col min="1294" max="1294" width="11.00390625" style="195" customWidth="1"/>
    <col min="1295" max="1296" width="25.00390625" style="195" customWidth="1"/>
    <col min="1297" max="1297" width="1.8515625" style="195" customWidth="1"/>
    <col min="1298" max="1298" width="17.8515625" style="195" customWidth="1"/>
    <col min="1299" max="1299" width="1.8515625" style="195" customWidth="1"/>
    <col min="1300" max="1300" width="19.00390625" style="195" customWidth="1"/>
    <col min="1301" max="1301" width="1.8515625" style="195" customWidth="1"/>
    <col min="1302" max="1302" width="16.7109375" style="195" customWidth="1"/>
    <col min="1303" max="1303" width="1.8515625" style="195" customWidth="1"/>
    <col min="1304" max="1304" width="16.7109375" style="195" customWidth="1"/>
    <col min="1305" max="1305" width="1.8515625" style="195" customWidth="1"/>
    <col min="1306" max="1306" width="16.7109375" style="195" customWidth="1"/>
    <col min="1307" max="1307" width="1.8515625" style="195" customWidth="1"/>
    <col min="1308" max="1308" width="16.7109375" style="195" customWidth="1"/>
    <col min="1309" max="1309" width="1.8515625" style="195" customWidth="1"/>
    <col min="1310" max="1310" width="17.8515625" style="195" customWidth="1"/>
    <col min="1311" max="1311" width="5.28125" style="195" customWidth="1"/>
    <col min="1312" max="1312" width="16.7109375" style="195" customWidth="1"/>
    <col min="1313" max="1313" width="5.28125" style="195" customWidth="1"/>
    <col min="1314" max="1314" width="14.421875" style="195" customWidth="1"/>
    <col min="1315" max="1315" width="1.8515625" style="195" customWidth="1"/>
    <col min="1316" max="1316" width="16.7109375" style="195" customWidth="1"/>
    <col min="1317" max="1526" width="11.00390625" style="195" customWidth="1"/>
    <col min="1527" max="1527" width="7.57421875" style="195" customWidth="1"/>
    <col min="1528" max="1528" width="15.57421875" style="195" customWidth="1"/>
    <col min="1529" max="1529" width="20.140625" style="195" customWidth="1"/>
    <col min="1530" max="1530" width="2.28125" style="195" customWidth="1"/>
    <col min="1531" max="1531" width="17.421875" style="195" customWidth="1"/>
    <col min="1532" max="1532" width="1.8515625" style="195" customWidth="1"/>
    <col min="1533" max="1533" width="18.7109375" style="195" customWidth="1"/>
    <col min="1534" max="1534" width="1.8515625" style="195" customWidth="1"/>
    <col min="1535" max="1535" width="23.00390625" style="195" customWidth="1"/>
    <col min="1536" max="1536" width="1.8515625" style="195" customWidth="1"/>
    <col min="1537" max="1537" width="17.421875" style="195" customWidth="1"/>
    <col min="1538" max="1538" width="3.00390625" style="195" customWidth="1"/>
    <col min="1539" max="1539" width="16.28125" style="195" customWidth="1"/>
    <col min="1540" max="1540" width="3.00390625" style="195" customWidth="1"/>
    <col min="1541" max="1541" width="14.140625" style="195" customWidth="1"/>
    <col min="1542" max="1542" width="2.00390625" style="195" customWidth="1"/>
    <col min="1543" max="1543" width="15.8515625" style="195" customWidth="1"/>
    <col min="1544" max="1544" width="3.140625" style="195" customWidth="1"/>
    <col min="1545" max="1545" width="17.8515625" style="195" customWidth="1"/>
    <col min="1546" max="1546" width="2.57421875" style="195" customWidth="1"/>
    <col min="1547" max="1547" width="15.57421875" style="195" customWidth="1"/>
    <col min="1548" max="1548" width="1.8515625" style="195" customWidth="1"/>
    <col min="1549" max="1549" width="14.140625" style="195" customWidth="1"/>
    <col min="1550" max="1550" width="11.00390625" style="195" customWidth="1"/>
    <col min="1551" max="1552" width="25.00390625" style="195" customWidth="1"/>
    <col min="1553" max="1553" width="1.8515625" style="195" customWidth="1"/>
    <col min="1554" max="1554" width="17.8515625" style="195" customWidth="1"/>
    <col min="1555" max="1555" width="1.8515625" style="195" customWidth="1"/>
    <col min="1556" max="1556" width="19.00390625" style="195" customWidth="1"/>
    <col min="1557" max="1557" width="1.8515625" style="195" customWidth="1"/>
    <col min="1558" max="1558" width="16.7109375" style="195" customWidth="1"/>
    <col min="1559" max="1559" width="1.8515625" style="195" customWidth="1"/>
    <col min="1560" max="1560" width="16.7109375" style="195" customWidth="1"/>
    <col min="1561" max="1561" width="1.8515625" style="195" customWidth="1"/>
    <col min="1562" max="1562" width="16.7109375" style="195" customWidth="1"/>
    <col min="1563" max="1563" width="1.8515625" style="195" customWidth="1"/>
    <col min="1564" max="1564" width="16.7109375" style="195" customWidth="1"/>
    <col min="1565" max="1565" width="1.8515625" style="195" customWidth="1"/>
    <col min="1566" max="1566" width="17.8515625" style="195" customWidth="1"/>
    <col min="1567" max="1567" width="5.28125" style="195" customWidth="1"/>
    <col min="1568" max="1568" width="16.7109375" style="195" customWidth="1"/>
    <col min="1569" max="1569" width="5.28125" style="195" customWidth="1"/>
    <col min="1570" max="1570" width="14.421875" style="195" customWidth="1"/>
    <col min="1571" max="1571" width="1.8515625" style="195" customWidth="1"/>
    <col min="1572" max="1572" width="16.7109375" style="195" customWidth="1"/>
    <col min="1573" max="1782" width="11.00390625" style="195" customWidth="1"/>
    <col min="1783" max="1783" width="7.57421875" style="195" customWidth="1"/>
    <col min="1784" max="1784" width="15.57421875" style="195" customWidth="1"/>
    <col min="1785" max="1785" width="20.140625" style="195" customWidth="1"/>
    <col min="1786" max="1786" width="2.28125" style="195" customWidth="1"/>
    <col min="1787" max="1787" width="17.421875" style="195" customWidth="1"/>
    <col min="1788" max="1788" width="1.8515625" style="195" customWidth="1"/>
    <col min="1789" max="1789" width="18.7109375" style="195" customWidth="1"/>
    <col min="1790" max="1790" width="1.8515625" style="195" customWidth="1"/>
    <col min="1791" max="1791" width="23.00390625" style="195" customWidth="1"/>
    <col min="1792" max="1792" width="1.8515625" style="195" customWidth="1"/>
    <col min="1793" max="1793" width="17.421875" style="195" customWidth="1"/>
    <col min="1794" max="1794" width="3.00390625" style="195" customWidth="1"/>
    <col min="1795" max="1795" width="16.28125" style="195" customWidth="1"/>
    <col min="1796" max="1796" width="3.00390625" style="195" customWidth="1"/>
    <col min="1797" max="1797" width="14.140625" style="195" customWidth="1"/>
    <col min="1798" max="1798" width="2.00390625" style="195" customWidth="1"/>
    <col min="1799" max="1799" width="15.8515625" style="195" customWidth="1"/>
    <col min="1800" max="1800" width="3.140625" style="195" customWidth="1"/>
    <col min="1801" max="1801" width="17.8515625" style="195" customWidth="1"/>
    <col min="1802" max="1802" width="2.57421875" style="195" customWidth="1"/>
    <col min="1803" max="1803" width="15.57421875" style="195" customWidth="1"/>
    <col min="1804" max="1804" width="1.8515625" style="195" customWidth="1"/>
    <col min="1805" max="1805" width="14.140625" style="195" customWidth="1"/>
    <col min="1806" max="1806" width="11.00390625" style="195" customWidth="1"/>
    <col min="1807" max="1808" width="25.00390625" style="195" customWidth="1"/>
    <col min="1809" max="1809" width="1.8515625" style="195" customWidth="1"/>
    <col min="1810" max="1810" width="17.8515625" style="195" customWidth="1"/>
    <col min="1811" max="1811" width="1.8515625" style="195" customWidth="1"/>
    <col min="1812" max="1812" width="19.00390625" style="195" customWidth="1"/>
    <col min="1813" max="1813" width="1.8515625" style="195" customWidth="1"/>
    <col min="1814" max="1814" width="16.7109375" style="195" customWidth="1"/>
    <col min="1815" max="1815" width="1.8515625" style="195" customWidth="1"/>
    <col min="1816" max="1816" width="16.7109375" style="195" customWidth="1"/>
    <col min="1817" max="1817" width="1.8515625" style="195" customWidth="1"/>
    <col min="1818" max="1818" width="16.7109375" style="195" customWidth="1"/>
    <col min="1819" max="1819" width="1.8515625" style="195" customWidth="1"/>
    <col min="1820" max="1820" width="16.7109375" style="195" customWidth="1"/>
    <col min="1821" max="1821" width="1.8515625" style="195" customWidth="1"/>
    <col min="1822" max="1822" width="17.8515625" style="195" customWidth="1"/>
    <col min="1823" max="1823" width="5.28125" style="195" customWidth="1"/>
    <col min="1824" max="1824" width="16.7109375" style="195" customWidth="1"/>
    <col min="1825" max="1825" width="5.28125" style="195" customWidth="1"/>
    <col min="1826" max="1826" width="14.421875" style="195" customWidth="1"/>
    <col min="1827" max="1827" width="1.8515625" style="195" customWidth="1"/>
    <col min="1828" max="1828" width="16.7109375" style="195" customWidth="1"/>
    <col min="1829" max="2038" width="11.00390625" style="195" customWidth="1"/>
    <col min="2039" max="2039" width="7.57421875" style="195" customWidth="1"/>
    <col min="2040" max="2040" width="15.57421875" style="195" customWidth="1"/>
    <col min="2041" max="2041" width="20.140625" style="195" customWidth="1"/>
    <col min="2042" max="2042" width="2.28125" style="195" customWidth="1"/>
    <col min="2043" max="2043" width="17.421875" style="195" customWidth="1"/>
    <col min="2044" max="2044" width="1.8515625" style="195" customWidth="1"/>
    <col min="2045" max="2045" width="18.7109375" style="195" customWidth="1"/>
    <col min="2046" max="2046" width="1.8515625" style="195" customWidth="1"/>
    <col min="2047" max="2047" width="23.00390625" style="195" customWidth="1"/>
    <col min="2048" max="2048" width="1.8515625" style="195" customWidth="1"/>
    <col min="2049" max="2049" width="17.421875" style="195" customWidth="1"/>
    <col min="2050" max="2050" width="3.00390625" style="195" customWidth="1"/>
    <col min="2051" max="2051" width="16.28125" style="195" customWidth="1"/>
    <col min="2052" max="2052" width="3.00390625" style="195" customWidth="1"/>
    <col min="2053" max="2053" width="14.140625" style="195" customWidth="1"/>
    <col min="2054" max="2054" width="2.00390625" style="195" customWidth="1"/>
    <col min="2055" max="2055" width="15.8515625" style="195" customWidth="1"/>
    <col min="2056" max="2056" width="3.140625" style="195" customWidth="1"/>
    <col min="2057" max="2057" width="17.8515625" style="195" customWidth="1"/>
    <col min="2058" max="2058" width="2.57421875" style="195" customWidth="1"/>
    <col min="2059" max="2059" width="15.57421875" style="195" customWidth="1"/>
    <col min="2060" max="2060" width="1.8515625" style="195" customWidth="1"/>
    <col min="2061" max="2061" width="14.140625" style="195" customWidth="1"/>
    <col min="2062" max="2062" width="11.00390625" style="195" customWidth="1"/>
    <col min="2063" max="2064" width="25.00390625" style="195" customWidth="1"/>
    <col min="2065" max="2065" width="1.8515625" style="195" customWidth="1"/>
    <col min="2066" max="2066" width="17.8515625" style="195" customWidth="1"/>
    <col min="2067" max="2067" width="1.8515625" style="195" customWidth="1"/>
    <col min="2068" max="2068" width="19.00390625" style="195" customWidth="1"/>
    <col min="2069" max="2069" width="1.8515625" style="195" customWidth="1"/>
    <col min="2070" max="2070" width="16.7109375" style="195" customWidth="1"/>
    <col min="2071" max="2071" width="1.8515625" style="195" customWidth="1"/>
    <col min="2072" max="2072" width="16.7109375" style="195" customWidth="1"/>
    <col min="2073" max="2073" width="1.8515625" style="195" customWidth="1"/>
    <col min="2074" max="2074" width="16.7109375" style="195" customWidth="1"/>
    <col min="2075" max="2075" width="1.8515625" style="195" customWidth="1"/>
    <col min="2076" max="2076" width="16.7109375" style="195" customWidth="1"/>
    <col min="2077" max="2077" width="1.8515625" style="195" customWidth="1"/>
    <col min="2078" max="2078" width="17.8515625" style="195" customWidth="1"/>
    <col min="2079" max="2079" width="5.28125" style="195" customWidth="1"/>
    <col min="2080" max="2080" width="16.7109375" style="195" customWidth="1"/>
    <col min="2081" max="2081" width="5.28125" style="195" customWidth="1"/>
    <col min="2082" max="2082" width="14.421875" style="195" customWidth="1"/>
    <col min="2083" max="2083" width="1.8515625" style="195" customWidth="1"/>
    <col min="2084" max="2084" width="16.7109375" style="195" customWidth="1"/>
    <col min="2085" max="2294" width="11.00390625" style="195" customWidth="1"/>
    <col min="2295" max="2295" width="7.57421875" style="195" customWidth="1"/>
    <col min="2296" max="2296" width="15.57421875" style="195" customWidth="1"/>
    <col min="2297" max="2297" width="20.140625" style="195" customWidth="1"/>
    <col min="2298" max="2298" width="2.28125" style="195" customWidth="1"/>
    <col min="2299" max="2299" width="17.421875" style="195" customWidth="1"/>
    <col min="2300" max="2300" width="1.8515625" style="195" customWidth="1"/>
    <col min="2301" max="2301" width="18.7109375" style="195" customWidth="1"/>
    <col min="2302" max="2302" width="1.8515625" style="195" customWidth="1"/>
    <col min="2303" max="2303" width="23.00390625" style="195" customWidth="1"/>
    <col min="2304" max="2304" width="1.8515625" style="195" customWidth="1"/>
    <col min="2305" max="2305" width="17.421875" style="195" customWidth="1"/>
    <col min="2306" max="2306" width="3.00390625" style="195" customWidth="1"/>
    <col min="2307" max="2307" width="16.28125" style="195" customWidth="1"/>
    <col min="2308" max="2308" width="3.00390625" style="195" customWidth="1"/>
    <col min="2309" max="2309" width="14.140625" style="195" customWidth="1"/>
    <col min="2310" max="2310" width="2.00390625" style="195" customWidth="1"/>
    <col min="2311" max="2311" width="15.8515625" style="195" customWidth="1"/>
    <col min="2312" max="2312" width="3.140625" style="195" customWidth="1"/>
    <col min="2313" max="2313" width="17.8515625" style="195" customWidth="1"/>
    <col min="2314" max="2314" width="2.57421875" style="195" customWidth="1"/>
    <col min="2315" max="2315" width="15.57421875" style="195" customWidth="1"/>
    <col min="2316" max="2316" width="1.8515625" style="195" customWidth="1"/>
    <col min="2317" max="2317" width="14.140625" style="195" customWidth="1"/>
    <col min="2318" max="2318" width="11.00390625" style="195" customWidth="1"/>
    <col min="2319" max="2320" width="25.00390625" style="195" customWidth="1"/>
    <col min="2321" max="2321" width="1.8515625" style="195" customWidth="1"/>
    <col min="2322" max="2322" width="17.8515625" style="195" customWidth="1"/>
    <col min="2323" max="2323" width="1.8515625" style="195" customWidth="1"/>
    <col min="2324" max="2324" width="19.00390625" style="195" customWidth="1"/>
    <col min="2325" max="2325" width="1.8515625" style="195" customWidth="1"/>
    <col min="2326" max="2326" width="16.7109375" style="195" customWidth="1"/>
    <col min="2327" max="2327" width="1.8515625" style="195" customWidth="1"/>
    <col min="2328" max="2328" width="16.7109375" style="195" customWidth="1"/>
    <col min="2329" max="2329" width="1.8515625" style="195" customWidth="1"/>
    <col min="2330" max="2330" width="16.7109375" style="195" customWidth="1"/>
    <col min="2331" max="2331" width="1.8515625" style="195" customWidth="1"/>
    <col min="2332" max="2332" width="16.7109375" style="195" customWidth="1"/>
    <col min="2333" max="2333" width="1.8515625" style="195" customWidth="1"/>
    <col min="2334" max="2334" width="17.8515625" style="195" customWidth="1"/>
    <col min="2335" max="2335" width="5.28125" style="195" customWidth="1"/>
    <col min="2336" max="2336" width="16.7109375" style="195" customWidth="1"/>
    <col min="2337" max="2337" width="5.28125" style="195" customWidth="1"/>
    <col min="2338" max="2338" width="14.421875" style="195" customWidth="1"/>
    <col min="2339" max="2339" width="1.8515625" style="195" customWidth="1"/>
    <col min="2340" max="2340" width="16.7109375" style="195" customWidth="1"/>
    <col min="2341" max="2550" width="11.00390625" style="195" customWidth="1"/>
    <col min="2551" max="2551" width="7.57421875" style="195" customWidth="1"/>
    <col min="2552" max="2552" width="15.57421875" style="195" customWidth="1"/>
    <col min="2553" max="2553" width="20.140625" style="195" customWidth="1"/>
    <col min="2554" max="2554" width="2.28125" style="195" customWidth="1"/>
    <col min="2555" max="2555" width="17.421875" style="195" customWidth="1"/>
    <col min="2556" max="2556" width="1.8515625" style="195" customWidth="1"/>
    <col min="2557" max="2557" width="18.7109375" style="195" customWidth="1"/>
    <col min="2558" max="2558" width="1.8515625" style="195" customWidth="1"/>
    <col min="2559" max="2559" width="23.00390625" style="195" customWidth="1"/>
    <col min="2560" max="2560" width="1.8515625" style="195" customWidth="1"/>
    <col min="2561" max="2561" width="17.421875" style="195" customWidth="1"/>
    <col min="2562" max="2562" width="3.00390625" style="195" customWidth="1"/>
    <col min="2563" max="2563" width="16.28125" style="195" customWidth="1"/>
    <col min="2564" max="2564" width="3.00390625" style="195" customWidth="1"/>
    <col min="2565" max="2565" width="14.140625" style="195" customWidth="1"/>
    <col min="2566" max="2566" width="2.00390625" style="195" customWidth="1"/>
    <col min="2567" max="2567" width="15.8515625" style="195" customWidth="1"/>
    <col min="2568" max="2568" width="3.140625" style="195" customWidth="1"/>
    <col min="2569" max="2569" width="17.8515625" style="195" customWidth="1"/>
    <col min="2570" max="2570" width="2.57421875" style="195" customWidth="1"/>
    <col min="2571" max="2571" width="15.57421875" style="195" customWidth="1"/>
    <col min="2572" max="2572" width="1.8515625" style="195" customWidth="1"/>
    <col min="2573" max="2573" width="14.140625" style="195" customWidth="1"/>
    <col min="2574" max="2574" width="11.00390625" style="195" customWidth="1"/>
    <col min="2575" max="2576" width="25.00390625" style="195" customWidth="1"/>
    <col min="2577" max="2577" width="1.8515625" style="195" customWidth="1"/>
    <col min="2578" max="2578" width="17.8515625" style="195" customWidth="1"/>
    <col min="2579" max="2579" width="1.8515625" style="195" customWidth="1"/>
    <col min="2580" max="2580" width="19.00390625" style="195" customWidth="1"/>
    <col min="2581" max="2581" width="1.8515625" style="195" customWidth="1"/>
    <col min="2582" max="2582" width="16.7109375" style="195" customWidth="1"/>
    <col min="2583" max="2583" width="1.8515625" style="195" customWidth="1"/>
    <col min="2584" max="2584" width="16.7109375" style="195" customWidth="1"/>
    <col min="2585" max="2585" width="1.8515625" style="195" customWidth="1"/>
    <col min="2586" max="2586" width="16.7109375" style="195" customWidth="1"/>
    <col min="2587" max="2587" width="1.8515625" style="195" customWidth="1"/>
    <col min="2588" max="2588" width="16.7109375" style="195" customWidth="1"/>
    <col min="2589" max="2589" width="1.8515625" style="195" customWidth="1"/>
    <col min="2590" max="2590" width="17.8515625" style="195" customWidth="1"/>
    <col min="2591" max="2591" width="5.28125" style="195" customWidth="1"/>
    <col min="2592" max="2592" width="16.7109375" style="195" customWidth="1"/>
    <col min="2593" max="2593" width="5.28125" style="195" customWidth="1"/>
    <col min="2594" max="2594" width="14.421875" style="195" customWidth="1"/>
    <col min="2595" max="2595" width="1.8515625" style="195" customWidth="1"/>
    <col min="2596" max="2596" width="16.7109375" style="195" customWidth="1"/>
    <col min="2597" max="2806" width="11.00390625" style="195" customWidth="1"/>
    <col min="2807" max="2807" width="7.57421875" style="195" customWidth="1"/>
    <col min="2808" max="2808" width="15.57421875" style="195" customWidth="1"/>
    <col min="2809" max="2809" width="20.140625" style="195" customWidth="1"/>
    <col min="2810" max="2810" width="2.28125" style="195" customWidth="1"/>
    <col min="2811" max="2811" width="17.421875" style="195" customWidth="1"/>
    <col min="2812" max="2812" width="1.8515625" style="195" customWidth="1"/>
    <col min="2813" max="2813" width="18.7109375" style="195" customWidth="1"/>
    <col min="2814" max="2814" width="1.8515625" style="195" customWidth="1"/>
    <col min="2815" max="2815" width="23.00390625" style="195" customWidth="1"/>
    <col min="2816" max="2816" width="1.8515625" style="195" customWidth="1"/>
    <col min="2817" max="2817" width="17.421875" style="195" customWidth="1"/>
    <col min="2818" max="2818" width="3.00390625" style="195" customWidth="1"/>
    <col min="2819" max="2819" width="16.28125" style="195" customWidth="1"/>
    <col min="2820" max="2820" width="3.00390625" style="195" customWidth="1"/>
    <col min="2821" max="2821" width="14.140625" style="195" customWidth="1"/>
    <col min="2822" max="2822" width="2.00390625" style="195" customWidth="1"/>
    <col min="2823" max="2823" width="15.8515625" style="195" customWidth="1"/>
    <col min="2824" max="2824" width="3.140625" style="195" customWidth="1"/>
    <col min="2825" max="2825" width="17.8515625" style="195" customWidth="1"/>
    <col min="2826" max="2826" width="2.57421875" style="195" customWidth="1"/>
    <col min="2827" max="2827" width="15.57421875" style="195" customWidth="1"/>
    <col min="2828" max="2828" width="1.8515625" style="195" customWidth="1"/>
    <col min="2829" max="2829" width="14.140625" style="195" customWidth="1"/>
    <col min="2830" max="2830" width="11.00390625" style="195" customWidth="1"/>
    <col min="2831" max="2832" width="25.00390625" style="195" customWidth="1"/>
    <col min="2833" max="2833" width="1.8515625" style="195" customWidth="1"/>
    <col min="2834" max="2834" width="17.8515625" style="195" customWidth="1"/>
    <col min="2835" max="2835" width="1.8515625" style="195" customWidth="1"/>
    <col min="2836" max="2836" width="19.00390625" style="195" customWidth="1"/>
    <col min="2837" max="2837" width="1.8515625" style="195" customWidth="1"/>
    <col min="2838" max="2838" width="16.7109375" style="195" customWidth="1"/>
    <col min="2839" max="2839" width="1.8515625" style="195" customWidth="1"/>
    <col min="2840" max="2840" width="16.7109375" style="195" customWidth="1"/>
    <col min="2841" max="2841" width="1.8515625" style="195" customWidth="1"/>
    <col min="2842" max="2842" width="16.7109375" style="195" customWidth="1"/>
    <col min="2843" max="2843" width="1.8515625" style="195" customWidth="1"/>
    <col min="2844" max="2844" width="16.7109375" style="195" customWidth="1"/>
    <col min="2845" max="2845" width="1.8515625" style="195" customWidth="1"/>
    <col min="2846" max="2846" width="17.8515625" style="195" customWidth="1"/>
    <col min="2847" max="2847" width="5.28125" style="195" customWidth="1"/>
    <col min="2848" max="2848" width="16.7109375" style="195" customWidth="1"/>
    <col min="2849" max="2849" width="5.28125" style="195" customWidth="1"/>
    <col min="2850" max="2850" width="14.421875" style="195" customWidth="1"/>
    <col min="2851" max="2851" width="1.8515625" style="195" customWidth="1"/>
    <col min="2852" max="2852" width="16.7109375" style="195" customWidth="1"/>
    <col min="2853" max="3062" width="11.00390625" style="195" customWidth="1"/>
    <col min="3063" max="3063" width="7.57421875" style="195" customWidth="1"/>
    <col min="3064" max="3064" width="15.57421875" style="195" customWidth="1"/>
    <col min="3065" max="3065" width="20.140625" style="195" customWidth="1"/>
    <col min="3066" max="3066" width="2.28125" style="195" customWidth="1"/>
    <col min="3067" max="3067" width="17.421875" style="195" customWidth="1"/>
    <col min="3068" max="3068" width="1.8515625" style="195" customWidth="1"/>
    <col min="3069" max="3069" width="18.7109375" style="195" customWidth="1"/>
    <col min="3070" max="3070" width="1.8515625" style="195" customWidth="1"/>
    <col min="3071" max="3071" width="23.00390625" style="195" customWidth="1"/>
    <col min="3072" max="3072" width="1.8515625" style="195" customWidth="1"/>
    <col min="3073" max="3073" width="17.421875" style="195" customWidth="1"/>
    <col min="3074" max="3074" width="3.00390625" style="195" customWidth="1"/>
    <col min="3075" max="3075" width="16.28125" style="195" customWidth="1"/>
    <col min="3076" max="3076" width="3.00390625" style="195" customWidth="1"/>
    <col min="3077" max="3077" width="14.140625" style="195" customWidth="1"/>
    <col min="3078" max="3078" width="2.00390625" style="195" customWidth="1"/>
    <col min="3079" max="3079" width="15.8515625" style="195" customWidth="1"/>
    <col min="3080" max="3080" width="3.140625" style="195" customWidth="1"/>
    <col min="3081" max="3081" width="17.8515625" style="195" customWidth="1"/>
    <col min="3082" max="3082" width="2.57421875" style="195" customWidth="1"/>
    <col min="3083" max="3083" width="15.57421875" style="195" customWidth="1"/>
    <col min="3084" max="3084" width="1.8515625" style="195" customWidth="1"/>
    <col min="3085" max="3085" width="14.140625" style="195" customWidth="1"/>
    <col min="3086" max="3086" width="11.00390625" style="195" customWidth="1"/>
    <col min="3087" max="3088" width="25.00390625" style="195" customWidth="1"/>
    <col min="3089" max="3089" width="1.8515625" style="195" customWidth="1"/>
    <col min="3090" max="3090" width="17.8515625" style="195" customWidth="1"/>
    <col min="3091" max="3091" width="1.8515625" style="195" customWidth="1"/>
    <col min="3092" max="3092" width="19.00390625" style="195" customWidth="1"/>
    <col min="3093" max="3093" width="1.8515625" style="195" customWidth="1"/>
    <col min="3094" max="3094" width="16.7109375" style="195" customWidth="1"/>
    <col min="3095" max="3095" width="1.8515625" style="195" customWidth="1"/>
    <col min="3096" max="3096" width="16.7109375" style="195" customWidth="1"/>
    <col min="3097" max="3097" width="1.8515625" style="195" customWidth="1"/>
    <col min="3098" max="3098" width="16.7109375" style="195" customWidth="1"/>
    <col min="3099" max="3099" width="1.8515625" style="195" customWidth="1"/>
    <col min="3100" max="3100" width="16.7109375" style="195" customWidth="1"/>
    <col min="3101" max="3101" width="1.8515625" style="195" customWidth="1"/>
    <col min="3102" max="3102" width="17.8515625" style="195" customWidth="1"/>
    <col min="3103" max="3103" width="5.28125" style="195" customWidth="1"/>
    <col min="3104" max="3104" width="16.7109375" style="195" customWidth="1"/>
    <col min="3105" max="3105" width="5.28125" style="195" customWidth="1"/>
    <col min="3106" max="3106" width="14.421875" style="195" customWidth="1"/>
    <col min="3107" max="3107" width="1.8515625" style="195" customWidth="1"/>
    <col min="3108" max="3108" width="16.7109375" style="195" customWidth="1"/>
    <col min="3109" max="3318" width="11.00390625" style="195" customWidth="1"/>
    <col min="3319" max="3319" width="7.57421875" style="195" customWidth="1"/>
    <col min="3320" max="3320" width="15.57421875" style="195" customWidth="1"/>
    <col min="3321" max="3321" width="20.140625" style="195" customWidth="1"/>
    <col min="3322" max="3322" width="2.28125" style="195" customWidth="1"/>
    <col min="3323" max="3323" width="17.421875" style="195" customWidth="1"/>
    <col min="3324" max="3324" width="1.8515625" style="195" customWidth="1"/>
    <col min="3325" max="3325" width="18.7109375" style="195" customWidth="1"/>
    <col min="3326" max="3326" width="1.8515625" style="195" customWidth="1"/>
    <col min="3327" max="3327" width="23.00390625" style="195" customWidth="1"/>
    <col min="3328" max="3328" width="1.8515625" style="195" customWidth="1"/>
    <col min="3329" max="3329" width="17.421875" style="195" customWidth="1"/>
    <col min="3330" max="3330" width="3.00390625" style="195" customWidth="1"/>
    <col min="3331" max="3331" width="16.28125" style="195" customWidth="1"/>
    <col min="3332" max="3332" width="3.00390625" style="195" customWidth="1"/>
    <col min="3333" max="3333" width="14.140625" style="195" customWidth="1"/>
    <col min="3334" max="3334" width="2.00390625" style="195" customWidth="1"/>
    <col min="3335" max="3335" width="15.8515625" style="195" customWidth="1"/>
    <col min="3336" max="3336" width="3.140625" style="195" customWidth="1"/>
    <col min="3337" max="3337" width="17.8515625" style="195" customWidth="1"/>
    <col min="3338" max="3338" width="2.57421875" style="195" customWidth="1"/>
    <col min="3339" max="3339" width="15.57421875" style="195" customWidth="1"/>
    <col min="3340" max="3340" width="1.8515625" style="195" customWidth="1"/>
    <col min="3341" max="3341" width="14.140625" style="195" customWidth="1"/>
    <col min="3342" max="3342" width="11.00390625" style="195" customWidth="1"/>
    <col min="3343" max="3344" width="25.00390625" style="195" customWidth="1"/>
    <col min="3345" max="3345" width="1.8515625" style="195" customWidth="1"/>
    <col min="3346" max="3346" width="17.8515625" style="195" customWidth="1"/>
    <col min="3347" max="3347" width="1.8515625" style="195" customWidth="1"/>
    <col min="3348" max="3348" width="19.00390625" style="195" customWidth="1"/>
    <col min="3349" max="3349" width="1.8515625" style="195" customWidth="1"/>
    <col min="3350" max="3350" width="16.7109375" style="195" customWidth="1"/>
    <col min="3351" max="3351" width="1.8515625" style="195" customWidth="1"/>
    <col min="3352" max="3352" width="16.7109375" style="195" customWidth="1"/>
    <col min="3353" max="3353" width="1.8515625" style="195" customWidth="1"/>
    <col min="3354" max="3354" width="16.7109375" style="195" customWidth="1"/>
    <col min="3355" max="3355" width="1.8515625" style="195" customWidth="1"/>
    <col min="3356" max="3356" width="16.7109375" style="195" customWidth="1"/>
    <col min="3357" max="3357" width="1.8515625" style="195" customWidth="1"/>
    <col min="3358" max="3358" width="17.8515625" style="195" customWidth="1"/>
    <col min="3359" max="3359" width="5.28125" style="195" customWidth="1"/>
    <col min="3360" max="3360" width="16.7109375" style="195" customWidth="1"/>
    <col min="3361" max="3361" width="5.28125" style="195" customWidth="1"/>
    <col min="3362" max="3362" width="14.421875" style="195" customWidth="1"/>
    <col min="3363" max="3363" width="1.8515625" style="195" customWidth="1"/>
    <col min="3364" max="3364" width="16.7109375" style="195" customWidth="1"/>
    <col min="3365" max="3574" width="11.00390625" style="195" customWidth="1"/>
    <col min="3575" max="3575" width="7.57421875" style="195" customWidth="1"/>
    <col min="3576" max="3576" width="15.57421875" style="195" customWidth="1"/>
    <col min="3577" max="3577" width="20.140625" style="195" customWidth="1"/>
    <col min="3578" max="3578" width="2.28125" style="195" customWidth="1"/>
    <col min="3579" max="3579" width="17.421875" style="195" customWidth="1"/>
    <col min="3580" max="3580" width="1.8515625" style="195" customWidth="1"/>
    <col min="3581" max="3581" width="18.7109375" style="195" customWidth="1"/>
    <col min="3582" max="3582" width="1.8515625" style="195" customWidth="1"/>
    <col min="3583" max="3583" width="23.00390625" style="195" customWidth="1"/>
    <col min="3584" max="3584" width="1.8515625" style="195" customWidth="1"/>
    <col min="3585" max="3585" width="17.421875" style="195" customWidth="1"/>
    <col min="3586" max="3586" width="3.00390625" style="195" customWidth="1"/>
    <col min="3587" max="3587" width="16.28125" style="195" customWidth="1"/>
    <col min="3588" max="3588" width="3.00390625" style="195" customWidth="1"/>
    <col min="3589" max="3589" width="14.140625" style="195" customWidth="1"/>
    <col min="3590" max="3590" width="2.00390625" style="195" customWidth="1"/>
    <col min="3591" max="3591" width="15.8515625" style="195" customWidth="1"/>
    <col min="3592" max="3592" width="3.140625" style="195" customWidth="1"/>
    <col min="3593" max="3593" width="17.8515625" style="195" customWidth="1"/>
    <col min="3594" max="3594" width="2.57421875" style="195" customWidth="1"/>
    <col min="3595" max="3595" width="15.57421875" style="195" customWidth="1"/>
    <col min="3596" max="3596" width="1.8515625" style="195" customWidth="1"/>
    <col min="3597" max="3597" width="14.140625" style="195" customWidth="1"/>
    <col min="3598" max="3598" width="11.00390625" style="195" customWidth="1"/>
    <col min="3599" max="3600" width="25.00390625" style="195" customWidth="1"/>
    <col min="3601" max="3601" width="1.8515625" style="195" customWidth="1"/>
    <col min="3602" max="3602" width="17.8515625" style="195" customWidth="1"/>
    <col min="3603" max="3603" width="1.8515625" style="195" customWidth="1"/>
    <col min="3604" max="3604" width="19.00390625" style="195" customWidth="1"/>
    <col min="3605" max="3605" width="1.8515625" style="195" customWidth="1"/>
    <col min="3606" max="3606" width="16.7109375" style="195" customWidth="1"/>
    <col min="3607" max="3607" width="1.8515625" style="195" customWidth="1"/>
    <col min="3608" max="3608" width="16.7109375" style="195" customWidth="1"/>
    <col min="3609" max="3609" width="1.8515625" style="195" customWidth="1"/>
    <col min="3610" max="3610" width="16.7109375" style="195" customWidth="1"/>
    <col min="3611" max="3611" width="1.8515625" style="195" customWidth="1"/>
    <col min="3612" max="3612" width="16.7109375" style="195" customWidth="1"/>
    <col min="3613" max="3613" width="1.8515625" style="195" customWidth="1"/>
    <col min="3614" max="3614" width="17.8515625" style="195" customWidth="1"/>
    <col min="3615" max="3615" width="5.28125" style="195" customWidth="1"/>
    <col min="3616" max="3616" width="16.7109375" style="195" customWidth="1"/>
    <col min="3617" max="3617" width="5.28125" style="195" customWidth="1"/>
    <col min="3618" max="3618" width="14.421875" style="195" customWidth="1"/>
    <col min="3619" max="3619" width="1.8515625" style="195" customWidth="1"/>
    <col min="3620" max="3620" width="16.7109375" style="195" customWidth="1"/>
    <col min="3621" max="3830" width="11.00390625" style="195" customWidth="1"/>
    <col min="3831" max="3831" width="7.57421875" style="195" customWidth="1"/>
    <col min="3832" max="3832" width="15.57421875" style="195" customWidth="1"/>
    <col min="3833" max="3833" width="20.140625" style="195" customWidth="1"/>
    <col min="3834" max="3834" width="2.28125" style="195" customWidth="1"/>
    <col min="3835" max="3835" width="17.421875" style="195" customWidth="1"/>
    <col min="3836" max="3836" width="1.8515625" style="195" customWidth="1"/>
    <col min="3837" max="3837" width="18.7109375" style="195" customWidth="1"/>
    <col min="3838" max="3838" width="1.8515625" style="195" customWidth="1"/>
    <col min="3839" max="3839" width="23.00390625" style="195" customWidth="1"/>
    <col min="3840" max="3840" width="1.8515625" style="195" customWidth="1"/>
    <col min="3841" max="3841" width="17.421875" style="195" customWidth="1"/>
    <col min="3842" max="3842" width="3.00390625" style="195" customWidth="1"/>
    <col min="3843" max="3843" width="16.28125" style="195" customWidth="1"/>
    <col min="3844" max="3844" width="3.00390625" style="195" customWidth="1"/>
    <col min="3845" max="3845" width="14.140625" style="195" customWidth="1"/>
    <col min="3846" max="3846" width="2.00390625" style="195" customWidth="1"/>
    <col min="3847" max="3847" width="15.8515625" style="195" customWidth="1"/>
    <col min="3848" max="3848" width="3.140625" style="195" customWidth="1"/>
    <col min="3849" max="3849" width="17.8515625" style="195" customWidth="1"/>
    <col min="3850" max="3850" width="2.57421875" style="195" customWidth="1"/>
    <col min="3851" max="3851" width="15.57421875" style="195" customWidth="1"/>
    <col min="3852" max="3852" width="1.8515625" style="195" customWidth="1"/>
    <col min="3853" max="3853" width="14.140625" style="195" customWidth="1"/>
    <col min="3854" max="3854" width="11.00390625" style="195" customWidth="1"/>
    <col min="3855" max="3856" width="25.00390625" style="195" customWidth="1"/>
    <col min="3857" max="3857" width="1.8515625" style="195" customWidth="1"/>
    <col min="3858" max="3858" width="17.8515625" style="195" customWidth="1"/>
    <col min="3859" max="3859" width="1.8515625" style="195" customWidth="1"/>
    <col min="3860" max="3860" width="19.00390625" style="195" customWidth="1"/>
    <col min="3861" max="3861" width="1.8515625" style="195" customWidth="1"/>
    <col min="3862" max="3862" width="16.7109375" style="195" customWidth="1"/>
    <col min="3863" max="3863" width="1.8515625" style="195" customWidth="1"/>
    <col min="3864" max="3864" width="16.7109375" style="195" customWidth="1"/>
    <col min="3865" max="3865" width="1.8515625" style="195" customWidth="1"/>
    <col min="3866" max="3866" width="16.7109375" style="195" customWidth="1"/>
    <col min="3867" max="3867" width="1.8515625" style="195" customWidth="1"/>
    <col min="3868" max="3868" width="16.7109375" style="195" customWidth="1"/>
    <col min="3869" max="3869" width="1.8515625" style="195" customWidth="1"/>
    <col min="3870" max="3870" width="17.8515625" style="195" customWidth="1"/>
    <col min="3871" max="3871" width="5.28125" style="195" customWidth="1"/>
    <col min="3872" max="3872" width="16.7109375" style="195" customWidth="1"/>
    <col min="3873" max="3873" width="5.28125" style="195" customWidth="1"/>
    <col min="3874" max="3874" width="14.421875" style="195" customWidth="1"/>
    <col min="3875" max="3875" width="1.8515625" style="195" customWidth="1"/>
    <col min="3876" max="3876" width="16.7109375" style="195" customWidth="1"/>
    <col min="3877" max="4086" width="11.00390625" style="195" customWidth="1"/>
    <col min="4087" max="4087" width="7.57421875" style="195" customWidth="1"/>
    <col min="4088" max="4088" width="15.57421875" style="195" customWidth="1"/>
    <col min="4089" max="4089" width="20.140625" style="195" customWidth="1"/>
    <col min="4090" max="4090" width="2.28125" style="195" customWidth="1"/>
    <col min="4091" max="4091" width="17.421875" style="195" customWidth="1"/>
    <col min="4092" max="4092" width="1.8515625" style="195" customWidth="1"/>
    <col min="4093" max="4093" width="18.7109375" style="195" customWidth="1"/>
    <col min="4094" max="4094" width="1.8515625" style="195" customWidth="1"/>
    <col min="4095" max="4095" width="23.00390625" style="195" customWidth="1"/>
    <col min="4096" max="4096" width="1.8515625" style="195" customWidth="1"/>
    <col min="4097" max="4097" width="17.421875" style="195" customWidth="1"/>
    <col min="4098" max="4098" width="3.00390625" style="195" customWidth="1"/>
    <col min="4099" max="4099" width="16.28125" style="195" customWidth="1"/>
    <col min="4100" max="4100" width="3.00390625" style="195" customWidth="1"/>
    <col min="4101" max="4101" width="14.140625" style="195" customWidth="1"/>
    <col min="4102" max="4102" width="2.00390625" style="195" customWidth="1"/>
    <col min="4103" max="4103" width="15.8515625" style="195" customWidth="1"/>
    <col min="4104" max="4104" width="3.140625" style="195" customWidth="1"/>
    <col min="4105" max="4105" width="17.8515625" style="195" customWidth="1"/>
    <col min="4106" max="4106" width="2.57421875" style="195" customWidth="1"/>
    <col min="4107" max="4107" width="15.57421875" style="195" customWidth="1"/>
    <col min="4108" max="4108" width="1.8515625" style="195" customWidth="1"/>
    <col min="4109" max="4109" width="14.140625" style="195" customWidth="1"/>
    <col min="4110" max="4110" width="11.00390625" style="195" customWidth="1"/>
    <col min="4111" max="4112" width="25.00390625" style="195" customWidth="1"/>
    <col min="4113" max="4113" width="1.8515625" style="195" customWidth="1"/>
    <col min="4114" max="4114" width="17.8515625" style="195" customWidth="1"/>
    <col min="4115" max="4115" width="1.8515625" style="195" customWidth="1"/>
    <col min="4116" max="4116" width="19.00390625" style="195" customWidth="1"/>
    <col min="4117" max="4117" width="1.8515625" style="195" customWidth="1"/>
    <col min="4118" max="4118" width="16.7109375" style="195" customWidth="1"/>
    <col min="4119" max="4119" width="1.8515625" style="195" customWidth="1"/>
    <col min="4120" max="4120" width="16.7109375" style="195" customWidth="1"/>
    <col min="4121" max="4121" width="1.8515625" style="195" customWidth="1"/>
    <col min="4122" max="4122" width="16.7109375" style="195" customWidth="1"/>
    <col min="4123" max="4123" width="1.8515625" style="195" customWidth="1"/>
    <col min="4124" max="4124" width="16.7109375" style="195" customWidth="1"/>
    <col min="4125" max="4125" width="1.8515625" style="195" customWidth="1"/>
    <col min="4126" max="4126" width="17.8515625" style="195" customWidth="1"/>
    <col min="4127" max="4127" width="5.28125" style="195" customWidth="1"/>
    <col min="4128" max="4128" width="16.7109375" style="195" customWidth="1"/>
    <col min="4129" max="4129" width="5.28125" style="195" customWidth="1"/>
    <col min="4130" max="4130" width="14.421875" style="195" customWidth="1"/>
    <col min="4131" max="4131" width="1.8515625" style="195" customWidth="1"/>
    <col min="4132" max="4132" width="16.7109375" style="195" customWidth="1"/>
    <col min="4133" max="4342" width="11.00390625" style="195" customWidth="1"/>
    <col min="4343" max="4343" width="7.57421875" style="195" customWidth="1"/>
    <col min="4344" max="4344" width="15.57421875" style="195" customWidth="1"/>
    <col min="4345" max="4345" width="20.140625" style="195" customWidth="1"/>
    <col min="4346" max="4346" width="2.28125" style="195" customWidth="1"/>
    <col min="4347" max="4347" width="17.421875" style="195" customWidth="1"/>
    <col min="4348" max="4348" width="1.8515625" style="195" customWidth="1"/>
    <col min="4349" max="4349" width="18.7109375" style="195" customWidth="1"/>
    <col min="4350" max="4350" width="1.8515625" style="195" customWidth="1"/>
    <col min="4351" max="4351" width="23.00390625" style="195" customWidth="1"/>
    <col min="4352" max="4352" width="1.8515625" style="195" customWidth="1"/>
    <col min="4353" max="4353" width="17.421875" style="195" customWidth="1"/>
    <col min="4354" max="4354" width="3.00390625" style="195" customWidth="1"/>
    <col min="4355" max="4355" width="16.28125" style="195" customWidth="1"/>
    <col min="4356" max="4356" width="3.00390625" style="195" customWidth="1"/>
    <col min="4357" max="4357" width="14.140625" style="195" customWidth="1"/>
    <col min="4358" max="4358" width="2.00390625" style="195" customWidth="1"/>
    <col min="4359" max="4359" width="15.8515625" style="195" customWidth="1"/>
    <col min="4360" max="4360" width="3.140625" style="195" customWidth="1"/>
    <col min="4361" max="4361" width="17.8515625" style="195" customWidth="1"/>
    <col min="4362" max="4362" width="2.57421875" style="195" customWidth="1"/>
    <col min="4363" max="4363" width="15.57421875" style="195" customWidth="1"/>
    <col min="4364" max="4364" width="1.8515625" style="195" customWidth="1"/>
    <col min="4365" max="4365" width="14.140625" style="195" customWidth="1"/>
    <col min="4366" max="4366" width="11.00390625" style="195" customWidth="1"/>
    <col min="4367" max="4368" width="25.00390625" style="195" customWidth="1"/>
    <col min="4369" max="4369" width="1.8515625" style="195" customWidth="1"/>
    <col min="4370" max="4370" width="17.8515625" style="195" customWidth="1"/>
    <col min="4371" max="4371" width="1.8515625" style="195" customWidth="1"/>
    <col min="4372" max="4372" width="19.00390625" style="195" customWidth="1"/>
    <col min="4373" max="4373" width="1.8515625" style="195" customWidth="1"/>
    <col min="4374" max="4374" width="16.7109375" style="195" customWidth="1"/>
    <col min="4375" max="4375" width="1.8515625" style="195" customWidth="1"/>
    <col min="4376" max="4376" width="16.7109375" style="195" customWidth="1"/>
    <col min="4377" max="4377" width="1.8515625" style="195" customWidth="1"/>
    <col min="4378" max="4378" width="16.7109375" style="195" customWidth="1"/>
    <col min="4379" max="4379" width="1.8515625" style="195" customWidth="1"/>
    <col min="4380" max="4380" width="16.7109375" style="195" customWidth="1"/>
    <col min="4381" max="4381" width="1.8515625" style="195" customWidth="1"/>
    <col min="4382" max="4382" width="17.8515625" style="195" customWidth="1"/>
    <col min="4383" max="4383" width="5.28125" style="195" customWidth="1"/>
    <col min="4384" max="4384" width="16.7109375" style="195" customWidth="1"/>
    <col min="4385" max="4385" width="5.28125" style="195" customWidth="1"/>
    <col min="4386" max="4386" width="14.421875" style="195" customWidth="1"/>
    <col min="4387" max="4387" width="1.8515625" style="195" customWidth="1"/>
    <col min="4388" max="4388" width="16.7109375" style="195" customWidth="1"/>
    <col min="4389" max="4598" width="11.00390625" style="195" customWidth="1"/>
    <col min="4599" max="4599" width="7.57421875" style="195" customWidth="1"/>
    <col min="4600" max="4600" width="15.57421875" style="195" customWidth="1"/>
    <col min="4601" max="4601" width="20.140625" style="195" customWidth="1"/>
    <col min="4602" max="4602" width="2.28125" style="195" customWidth="1"/>
    <col min="4603" max="4603" width="17.421875" style="195" customWidth="1"/>
    <col min="4604" max="4604" width="1.8515625" style="195" customWidth="1"/>
    <col min="4605" max="4605" width="18.7109375" style="195" customWidth="1"/>
    <col min="4606" max="4606" width="1.8515625" style="195" customWidth="1"/>
    <col min="4607" max="4607" width="23.00390625" style="195" customWidth="1"/>
    <col min="4608" max="4608" width="1.8515625" style="195" customWidth="1"/>
    <col min="4609" max="4609" width="17.421875" style="195" customWidth="1"/>
    <col min="4610" max="4610" width="3.00390625" style="195" customWidth="1"/>
    <col min="4611" max="4611" width="16.28125" style="195" customWidth="1"/>
    <col min="4612" max="4612" width="3.00390625" style="195" customWidth="1"/>
    <col min="4613" max="4613" width="14.140625" style="195" customWidth="1"/>
    <col min="4614" max="4614" width="2.00390625" style="195" customWidth="1"/>
    <col min="4615" max="4615" width="15.8515625" style="195" customWidth="1"/>
    <col min="4616" max="4616" width="3.140625" style="195" customWidth="1"/>
    <col min="4617" max="4617" width="17.8515625" style="195" customWidth="1"/>
    <col min="4618" max="4618" width="2.57421875" style="195" customWidth="1"/>
    <col min="4619" max="4619" width="15.57421875" style="195" customWidth="1"/>
    <col min="4620" max="4620" width="1.8515625" style="195" customWidth="1"/>
    <col min="4621" max="4621" width="14.140625" style="195" customWidth="1"/>
    <col min="4622" max="4622" width="11.00390625" style="195" customWidth="1"/>
    <col min="4623" max="4624" width="25.00390625" style="195" customWidth="1"/>
    <col min="4625" max="4625" width="1.8515625" style="195" customWidth="1"/>
    <col min="4626" max="4626" width="17.8515625" style="195" customWidth="1"/>
    <col min="4627" max="4627" width="1.8515625" style="195" customWidth="1"/>
    <col min="4628" max="4628" width="19.00390625" style="195" customWidth="1"/>
    <col min="4629" max="4629" width="1.8515625" style="195" customWidth="1"/>
    <col min="4630" max="4630" width="16.7109375" style="195" customWidth="1"/>
    <col min="4631" max="4631" width="1.8515625" style="195" customWidth="1"/>
    <col min="4632" max="4632" width="16.7109375" style="195" customWidth="1"/>
    <col min="4633" max="4633" width="1.8515625" style="195" customWidth="1"/>
    <col min="4634" max="4634" width="16.7109375" style="195" customWidth="1"/>
    <col min="4635" max="4635" width="1.8515625" style="195" customWidth="1"/>
    <col min="4636" max="4636" width="16.7109375" style="195" customWidth="1"/>
    <col min="4637" max="4637" width="1.8515625" style="195" customWidth="1"/>
    <col min="4638" max="4638" width="17.8515625" style="195" customWidth="1"/>
    <col min="4639" max="4639" width="5.28125" style="195" customWidth="1"/>
    <col min="4640" max="4640" width="16.7109375" style="195" customWidth="1"/>
    <col min="4641" max="4641" width="5.28125" style="195" customWidth="1"/>
    <col min="4642" max="4642" width="14.421875" style="195" customWidth="1"/>
    <col min="4643" max="4643" width="1.8515625" style="195" customWidth="1"/>
    <col min="4644" max="4644" width="16.7109375" style="195" customWidth="1"/>
    <col min="4645" max="4854" width="11.00390625" style="195" customWidth="1"/>
    <col min="4855" max="4855" width="7.57421875" style="195" customWidth="1"/>
    <col min="4856" max="4856" width="15.57421875" style="195" customWidth="1"/>
    <col min="4857" max="4857" width="20.140625" style="195" customWidth="1"/>
    <col min="4858" max="4858" width="2.28125" style="195" customWidth="1"/>
    <col min="4859" max="4859" width="17.421875" style="195" customWidth="1"/>
    <col min="4860" max="4860" width="1.8515625" style="195" customWidth="1"/>
    <col min="4861" max="4861" width="18.7109375" style="195" customWidth="1"/>
    <col min="4862" max="4862" width="1.8515625" style="195" customWidth="1"/>
    <col min="4863" max="4863" width="23.00390625" style="195" customWidth="1"/>
    <col min="4864" max="4864" width="1.8515625" style="195" customWidth="1"/>
    <col min="4865" max="4865" width="17.421875" style="195" customWidth="1"/>
    <col min="4866" max="4866" width="3.00390625" style="195" customWidth="1"/>
    <col min="4867" max="4867" width="16.28125" style="195" customWidth="1"/>
    <col min="4868" max="4868" width="3.00390625" style="195" customWidth="1"/>
    <col min="4869" max="4869" width="14.140625" style="195" customWidth="1"/>
    <col min="4870" max="4870" width="2.00390625" style="195" customWidth="1"/>
    <col min="4871" max="4871" width="15.8515625" style="195" customWidth="1"/>
    <col min="4872" max="4872" width="3.140625" style="195" customWidth="1"/>
    <col min="4873" max="4873" width="17.8515625" style="195" customWidth="1"/>
    <col min="4874" max="4874" width="2.57421875" style="195" customWidth="1"/>
    <col min="4875" max="4875" width="15.57421875" style="195" customWidth="1"/>
    <col min="4876" max="4876" width="1.8515625" style="195" customWidth="1"/>
    <col min="4877" max="4877" width="14.140625" style="195" customWidth="1"/>
    <col min="4878" max="4878" width="11.00390625" style="195" customWidth="1"/>
    <col min="4879" max="4880" width="25.00390625" style="195" customWidth="1"/>
    <col min="4881" max="4881" width="1.8515625" style="195" customWidth="1"/>
    <col min="4882" max="4882" width="17.8515625" style="195" customWidth="1"/>
    <col min="4883" max="4883" width="1.8515625" style="195" customWidth="1"/>
    <col min="4884" max="4884" width="19.00390625" style="195" customWidth="1"/>
    <col min="4885" max="4885" width="1.8515625" style="195" customWidth="1"/>
    <col min="4886" max="4886" width="16.7109375" style="195" customWidth="1"/>
    <col min="4887" max="4887" width="1.8515625" style="195" customWidth="1"/>
    <col min="4888" max="4888" width="16.7109375" style="195" customWidth="1"/>
    <col min="4889" max="4889" width="1.8515625" style="195" customWidth="1"/>
    <col min="4890" max="4890" width="16.7109375" style="195" customWidth="1"/>
    <col min="4891" max="4891" width="1.8515625" style="195" customWidth="1"/>
    <col min="4892" max="4892" width="16.7109375" style="195" customWidth="1"/>
    <col min="4893" max="4893" width="1.8515625" style="195" customWidth="1"/>
    <col min="4894" max="4894" width="17.8515625" style="195" customWidth="1"/>
    <col min="4895" max="4895" width="5.28125" style="195" customWidth="1"/>
    <col min="4896" max="4896" width="16.7109375" style="195" customWidth="1"/>
    <col min="4897" max="4897" width="5.28125" style="195" customWidth="1"/>
    <col min="4898" max="4898" width="14.421875" style="195" customWidth="1"/>
    <col min="4899" max="4899" width="1.8515625" style="195" customWidth="1"/>
    <col min="4900" max="4900" width="16.7109375" style="195" customWidth="1"/>
    <col min="4901" max="5110" width="11.00390625" style="195" customWidth="1"/>
    <col min="5111" max="5111" width="7.57421875" style="195" customWidth="1"/>
    <col min="5112" max="5112" width="15.57421875" style="195" customWidth="1"/>
    <col min="5113" max="5113" width="20.140625" style="195" customWidth="1"/>
    <col min="5114" max="5114" width="2.28125" style="195" customWidth="1"/>
    <col min="5115" max="5115" width="17.421875" style="195" customWidth="1"/>
    <col min="5116" max="5116" width="1.8515625" style="195" customWidth="1"/>
    <col min="5117" max="5117" width="18.7109375" style="195" customWidth="1"/>
    <col min="5118" max="5118" width="1.8515625" style="195" customWidth="1"/>
    <col min="5119" max="5119" width="23.00390625" style="195" customWidth="1"/>
    <col min="5120" max="5120" width="1.8515625" style="195" customWidth="1"/>
    <col min="5121" max="5121" width="17.421875" style="195" customWidth="1"/>
    <col min="5122" max="5122" width="3.00390625" style="195" customWidth="1"/>
    <col min="5123" max="5123" width="16.28125" style="195" customWidth="1"/>
    <col min="5124" max="5124" width="3.00390625" style="195" customWidth="1"/>
    <col min="5125" max="5125" width="14.140625" style="195" customWidth="1"/>
    <col min="5126" max="5126" width="2.00390625" style="195" customWidth="1"/>
    <col min="5127" max="5127" width="15.8515625" style="195" customWidth="1"/>
    <col min="5128" max="5128" width="3.140625" style="195" customWidth="1"/>
    <col min="5129" max="5129" width="17.8515625" style="195" customWidth="1"/>
    <col min="5130" max="5130" width="2.57421875" style="195" customWidth="1"/>
    <col min="5131" max="5131" width="15.57421875" style="195" customWidth="1"/>
    <col min="5132" max="5132" width="1.8515625" style="195" customWidth="1"/>
    <col min="5133" max="5133" width="14.140625" style="195" customWidth="1"/>
    <col min="5134" max="5134" width="11.00390625" style="195" customWidth="1"/>
    <col min="5135" max="5136" width="25.00390625" style="195" customWidth="1"/>
    <col min="5137" max="5137" width="1.8515625" style="195" customWidth="1"/>
    <col min="5138" max="5138" width="17.8515625" style="195" customWidth="1"/>
    <col min="5139" max="5139" width="1.8515625" style="195" customWidth="1"/>
    <col min="5140" max="5140" width="19.00390625" style="195" customWidth="1"/>
    <col min="5141" max="5141" width="1.8515625" style="195" customWidth="1"/>
    <col min="5142" max="5142" width="16.7109375" style="195" customWidth="1"/>
    <col min="5143" max="5143" width="1.8515625" style="195" customWidth="1"/>
    <col min="5144" max="5144" width="16.7109375" style="195" customWidth="1"/>
    <col min="5145" max="5145" width="1.8515625" style="195" customWidth="1"/>
    <col min="5146" max="5146" width="16.7109375" style="195" customWidth="1"/>
    <col min="5147" max="5147" width="1.8515625" style="195" customWidth="1"/>
    <col min="5148" max="5148" width="16.7109375" style="195" customWidth="1"/>
    <col min="5149" max="5149" width="1.8515625" style="195" customWidth="1"/>
    <col min="5150" max="5150" width="17.8515625" style="195" customWidth="1"/>
    <col min="5151" max="5151" width="5.28125" style="195" customWidth="1"/>
    <col min="5152" max="5152" width="16.7109375" style="195" customWidth="1"/>
    <col min="5153" max="5153" width="5.28125" style="195" customWidth="1"/>
    <col min="5154" max="5154" width="14.421875" style="195" customWidth="1"/>
    <col min="5155" max="5155" width="1.8515625" style="195" customWidth="1"/>
    <col min="5156" max="5156" width="16.7109375" style="195" customWidth="1"/>
    <col min="5157" max="5366" width="11.00390625" style="195" customWidth="1"/>
    <col min="5367" max="5367" width="7.57421875" style="195" customWidth="1"/>
    <col min="5368" max="5368" width="15.57421875" style="195" customWidth="1"/>
    <col min="5369" max="5369" width="20.140625" style="195" customWidth="1"/>
    <col min="5370" max="5370" width="2.28125" style="195" customWidth="1"/>
    <col min="5371" max="5371" width="17.421875" style="195" customWidth="1"/>
    <col min="5372" max="5372" width="1.8515625" style="195" customWidth="1"/>
    <col min="5373" max="5373" width="18.7109375" style="195" customWidth="1"/>
    <col min="5374" max="5374" width="1.8515625" style="195" customWidth="1"/>
    <col min="5375" max="5375" width="23.00390625" style="195" customWidth="1"/>
    <col min="5376" max="5376" width="1.8515625" style="195" customWidth="1"/>
    <col min="5377" max="5377" width="17.421875" style="195" customWidth="1"/>
    <col min="5378" max="5378" width="3.00390625" style="195" customWidth="1"/>
    <col min="5379" max="5379" width="16.28125" style="195" customWidth="1"/>
    <col min="5380" max="5380" width="3.00390625" style="195" customWidth="1"/>
    <col min="5381" max="5381" width="14.140625" style="195" customWidth="1"/>
    <col min="5382" max="5382" width="2.00390625" style="195" customWidth="1"/>
    <col min="5383" max="5383" width="15.8515625" style="195" customWidth="1"/>
    <col min="5384" max="5384" width="3.140625" style="195" customWidth="1"/>
    <col min="5385" max="5385" width="17.8515625" style="195" customWidth="1"/>
    <col min="5386" max="5386" width="2.57421875" style="195" customWidth="1"/>
    <col min="5387" max="5387" width="15.57421875" style="195" customWidth="1"/>
    <col min="5388" max="5388" width="1.8515625" style="195" customWidth="1"/>
    <col min="5389" max="5389" width="14.140625" style="195" customWidth="1"/>
    <col min="5390" max="5390" width="11.00390625" style="195" customWidth="1"/>
    <col min="5391" max="5392" width="25.00390625" style="195" customWidth="1"/>
    <col min="5393" max="5393" width="1.8515625" style="195" customWidth="1"/>
    <col min="5394" max="5394" width="17.8515625" style="195" customWidth="1"/>
    <col min="5395" max="5395" width="1.8515625" style="195" customWidth="1"/>
    <col min="5396" max="5396" width="19.00390625" style="195" customWidth="1"/>
    <col min="5397" max="5397" width="1.8515625" style="195" customWidth="1"/>
    <col min="5398" max="5398" width="16.7109375" style="195" customWidth="1"/>
    <col min="5399" max="5399" width="1.8515625" style="195" customWidth="1"/>
    <col min="5400" max="5400" width="16.7109375" style="195" customWidth="1"/>
    <col min="5401" max="5401" width="1.8515625" style="195" customWidth="1"/>
    <col min="5402" max="5402" width="16.7109375" style="195" customWidth="1"/>
    <col min="5403" max="5403" width="1.8515625" style="195" customWidth="1"/>
    <col min="5404" max="5404" width="16.7109375" style="195" customWidth="1"/>
    <col min="5405" max="5405" width="1.8515625" style="195" customWidth="1"/>
    <col min="5406" max="5406" width="17.8515625" style="195" customWidth="1"/>
    <col min="5407" max="5407" width="5.28125" style="195" customWidth="1"/>
    <col min="5408" max="5408" width="16.7109375" style="195" customWidth="1"/>
    <col min="5409" max="5409" width="5.28125" style="195" customWidth="1"/>
    <col min="5410" max="5410" width="14.421875" style="195" customWidth="1"/>
    <col min="5411" max="5411" width="1.8515625" style="195" customWidth="1"/>
    <col min="5412" max="5412" width="16.7109375" style="195" customWidth="1"/>
    <col min="5413" max="5622" width="11.00390625" style="195" customWidth="1"/>
    <col min="5623" max="5623" width="7.57421875" style="195" customWidth="1"/>
    <col min="5624" max="5624" width="15.57421875" style="195" customWidth="1"/>
    <col min="5625" max="5625" width="20.140625" style="195" customWidth="1"/>
    <col min="5626" max="5626" width="2.28125" style="195" customWidth="1"/>
    <col min="5627" max="5627" width="17.421875" style="195" customWidth="1"/>
    <col min="5628" max="5628" width="1.8515625" style="195" customWidth="1"/>
    <col min="5629" max="5629" width="18.7109375" style="195" customWidth="1"/>
    <col min="5630" max="5630" width="1.8515625" style="195" customWidth="1"/>
    <col min="5631" max="5631" width="23.00390625" style="195" customWidth="1"/>
    <col min="5632" max="5632" width="1.8515625" style="195" customWidth="1"/>
    <col min="5633" max="5633" width="17.421875" style="195" customWidth="1"/>
    <col min="5634" max="5634" width="3.00390625" style="195" customWidth="1"/>
    <col min="5635" max="5635" width="16.28125" style="195" customWidth="1"/>
    <col min="5636" max="5636" width="3.00390625" style="195" customWidth="1"/>
    <col min="5637" max="5637" width="14.140625" style="195" customWidth="1"/>
    <col min="5638" max="5638" width="2.00390625" style="195" customWidth="1"/>
    <col min="5639" max="5639" width="15.8515625" style="195" customWidth="1"/>
    <col min="5640" max="5640" width="3.140625" style="195" customWidth="1"/>
    <col min="5641" max="5641" width="17.8515625" style="195" customWidth="1"/>
    <col min="5642" max="5642" width="2.57421875" style="195" customWidth="1"/>
    <col min="5643" max="5643" width="15.57421875" style="195" customWidth="1"/>
    <col min="5644" max="5644" width="1.8515625" style="195" customWidth="1"/>
    <col min="5645" max="5645" width="14.140625" style="195" customWidth="1"/>
    <col min="5646" max="5646" width="11.00390625" style="195" customWidth="1"/>
    <col min="5647" max="5648" width="25.00390625" style="195" customWidth="1"/>
    <col min="5649" max="5649" width="1.8515625" style="195" customWidth="1"/>
    <col min="5650" max="5650" width="17.8515625" style="195" customWidth="1"/>
    <col min="5651" max="5651" width="1.8515625" style="195" customWidth="1"/>
    <col min="5652" max="5652" width="19.00390625" style="195" customWidth="1"/>
    <col min="5653" max="5653" width="1.8515625" style="195" customWidth="1"/>
    <col min="5654" max="5654" width="16.7109375" style="195" customWidth="1"/>
    <col min="5655" max="5655" width="1.8515625" style="195" customWidth="1"/>
    <col min="5656" max="5656" width="16.7109375" style="195" customWidth="1"/>
    <col min="5657" max="5657" width="1.8515625" style="195" customWidth="1"/>
    <col min="5658" max="5658" width="16.7109375" style="195" customWidth="1"/>
    <col min="5659" max="5659" width="1.8515625" style="195" customWidth="1"/>
    <col min="5660" max="5660" width="16.7109375" style="195" customWidth="1"/>
    <col min="5661" max="5661" width="1.8515625" style="195" customWidth="1"/>
    <col min="5662" max="5662" width="17.8515625" style="195" customWidth="1"/>
    <col min="5663" max="5663" width="5.28125" style="195" customWidth="1"/>
    <col min="5664" max="5664" width="16.7109375" style="195" customWidth="1"/>
    <col min="5665" max="5665" width="5.28125" style="195" customWidth="1"/>
    <col min="5666" max="5666" width="14.421875" style="195" customWidth="1"/>
    <col min="5667" max="5667" width="1.8515625" style="195" customWidth="1"/>
    <col min="5668" max="5668" width="16.7109375" style="195" customWidth="1"/>
    <col min="5669" max="5878" width="11.00390625" style="195" customWidth="1"/>
    <col min="5879" max="5879" width="7.57421875" style="195" customWidth="1"/>
    <col min="5880" max="5880" width="15.57421875" style="195" customWidth="1"/>
    <col min="5881" max="5881" width="20.140625" style="195" customWidth="1"/>
    <col min="5882" max="5882" width="2.28125" style="195" customWidth="1"/>
    <col min="5883" max="5883" width="17.421875" style="195" customWidth="1"/>
    <col min="5884" max="5884" width="1.8515625" style="195" customWidth="1"/>
    <col min="5885" max="5885" width="18.7109375" style="195" customWidth="1"/>
    <col min="5886" max="5886" width="1.8515625" style="195" customWidth="1"/>
    <col min="5887" max="5887" width="23.00390625" style="195" customWidth="1"/>
    <col min="5888" max="5888" width="1.8515625" style="195" customWidth="1"/>
    <col min="5889" max="5889" width="17.421875" style="195" customWidth="1"/>
    <col min="5890" max="5890" width="3.00390625" style="195" customWidth="1"/>
    <col min="5891" max="5891" width="16.28125" style="195" customWidth="1"/>
    <col min="5892" max="5892" width="3.00390625" style="195" customWidth="1"/>
    <col min="5893" max="5893" width="14.140625" style="195" customWidth="1"/>
    <col min="5894" max="5894" width="2.00390625" style="195" customWidth="1"/>
    <col min="5895" max="5895" width="15.8515625" style="195" customWidth="1"/>
    <col min="5896" max="5896" width="3.140625" style="195" customWidth="1"/>
    <col min="5897" max="5897" width="17.8515625" style="195" customWidth="1"/>
    <col min="5898" max="5898" width="2.57421875" style="195" customWidth="1"/>
    <col min="5899" max="5899" width="15.57421875" style="195" customWidth="1"/>
    <col min="5900" max="5900" width="1.8515625" style="195" customWidth="1"/>
    <col min="5901" max="5901" width="14.140625" style="195" customWidth="1"/>
    <col min="5902" max="5902" width="11.00390625" style="195" customWidth="1"/>
    <col min="5903" max="5904" width="25.00390625" style="195" customWidth="1"/>
    <col min="5905" max="5905" width="1.8515625" style="195" customWidth="1"/>
    <col min="5906" max="5906" width="17.8515625" style="195" customWidth="1"/>
    <col min="5907" max="5907" width="1.8515625" style="195" customWidth="1"/>
    <col min="5908" max="5908" width="19.00390625" style="195" customWidth="1"/>
    <col min="5909" max="5909" width="1.8515625" style="195" customWidth="1"/>
    <col min="5910" max="5910" width="16.7109375" style="195" customWidth="1"/>
    <col min="5911" max="5911" width="1.8515625" style="195" customWidth="1"/>
    <col min="5912" max="5912" width="16.7109375" style="195" customWidth="1"/>
    <col min="5913" max="5913" width="1.8515625" style="195" customWidth="1"/>
    <col min="5914" max="5914" width="16.7109375" style="195" customWidth="1"/>
    <col min="5915" max="5915" width="1.8515625" style="195" customWidth="1"/>
    <col min="5916" max="5916" width="16.7109375" style="195" customWidth="1"/>
    <col min="5917" max="5917" width="1.8515625" style="195" customWidth="1"/>
    <col min="5918" max="5918" width="17.8515625" style="195" customWidth="1"/>
    <col min="5919" max="5919" width="5.28125" style="195" customWidth="1"/>
    <col min="5920" max="5920" width="16.7109375" style="195" customWidth="1"/>
    <col min="5921" max="5921" width="5.28125" style="195" customWidth="1"/>
    <col min="5922" max="5922" width="14.421875" style="195" customWidth="1"/>
    <col min="5923" max="5923" width="1.8515625" style="195" customWidth="1"/>
    <col min="5924" max="5924" width="16.7109375" style="195" customWidth="1"/>
    <col min="5925" max="6134" width="11.00390625" style="195" customWidth="1"/>
    <col min="6135" max="6135" width="7.57421875" style="195" customWidth="1"/>
    <col min="6136" max="6136" width="15.57421875" style="195" customWidth="1"/>
    <col min="6137" max="6137" width="20.140625" style="195" customWidth="1"/>
    <col min="6138" max="6138" width="2.28125" style="195" customWidth="1"/>
    <col min="6139" max="6139" width="17.421875" style="195" customWidth="1"/>
    <col min="6140" max="6140" width="1.8515625" style="195" customWidth="1"/>
    <col min="6141" max="6141" width="18.7109375" style="195" customWidth="1"/>
    <col min="6142" max="6142" width="1.8515625" style="195" customWidth="1"/>
    <col min="6143" max="6143" width="23.00390625" style="195" customWidth="1"/>
    <col min="6144" max="6144" width="1.8515625" style="195" customWidth="1"/>
    <col min="6145" max="6145" width="17.421875" style="195" customWidth="1"/>
    <col min="6146" max="6146" width="3.00390625" style="195" customWidth="1"/>
    <col min="6147" max="6147" width="16.28125" style="195" customWidth="1"/>
    <col min="6148" max="6148" width="3.00390625" style="195" customWidth="1"/>
    <col min="6149" max="6149" width="14.140625" style="195" customWidth="1"/>
    <col min="6150" max="6150" width="2.00390625" style="195" customWidth="1"/>
    <col min="6151" max="6151" width="15.8515625" style="195" customWidth="1"/>
    <col min="6152" max="6152" width="3.140625" style="195" customWidth="1"/>
    <col min="6153" max="6153" width="17.8515625" style="195" customWidth="1"/>
    <col min="6154" max="6154" width="2.57421875" style="195" customWidth="1"/>
    <col min="6155" max="6155" width="15.57421875" style="195" customWidth="1"/>
    <col min="6156" max="6156" width="1.8515625" style="195" customWidth="1"/>
    <col min="6157" max="6157" width="14.140625" style="195" customWidth="1"/>
    <col min="6158" max="6158" width="11.00390625" style="195" customWidth="1"/>
    <col min="6159" max="6160" width="25.00390625" style="195" customWidth="1"/>
    <col min="6161" max="6161" width="1.8515625" style="195" customWidth="1"/>
    <col min="6162" max="6162" width="17.8515625" style="195" customWidth="1"/>
    <col min="6163" max="6163" width="1.8515625" style="195" customWidth="1"/>
    <col min="6164" max="6164" width="19.00390625" style="195" customWidth="1"/>
    <col min="6165" max="6165" width="1.8515625" style="195" customWidth="1"/>
    <col min="6166" max="6166" width="16.7109375" style="195" customWidth="1"/>
    <col min="6167" max="6167" width="1.8515625" style="195" customWidth="1"/>
    <col min="6168" max="6168" width="16.7109375" style="195" customWidth="1"/>
    <col min="6169" max="6169" width="1.8515625" style="195" customWidth="1"/>
    <col min="6170" max="6170" width="16.7109375" style="195" customWidth="1"/>
    <col min="6171" max="6171" width="1.8515625" style="195" customWidth="1"/>
    <col min="6172" max="6172" width="16.7109375" style="195" customWidth="1"/>
    <col min="6173" max="6173" width="1.8515625" style="195" customWidth="1"/>
    <col min="6174" max="6174" width="17.8515625" style="195" customWidth="1"/>
    <col min="6175" max="6175" width="5.28125" style="195" customWidth="1"/>
    <col min="6176" max="6176" width="16.7109375" style="195" customWidth="1"/>
    <col min="6177" max="6177" width="5.28125" style="195" customWidth="1"/>
    <col min="6178" max="6178" width="14.421875" style="195" customWidth="1"/>
    <col min="6179" max="6179" width="1.8515625" style="195" customWidth="1"/>
    <col min="6180" max="6180" width="16.7109375" style="195" customWidth="1"/>
    <col min="6181" max="6390" width="11.00390625" style="195" customWidth="1"/>
    <col min="6391" max="6391" width="7.57421875" style="195" customWidth="1"/>
    <col min="6392" max="6392" width="15.57421875" style="195" customWidth="1"/>
    <col min="6393" max="6393" width="20.140625" style="195" customWidth="1"/>
    <col min="6394" max="6394" width="2.28125" style="195" customWidth="1"/>
    <col min="6395" max="6395" width="17.421875" style="195" customWidth="1"/>
    <col min="6396" max="6396" width="1.8515625" style="195" customWidth="1"/>
    <col min="6397" max="6397" width="18.7109375" style="195" customWidth="1"/>
    <col min="6398" max="6398" width="1.8515625" style="195" customWidth="1"/>
    <col min="6399" max="6399" width="23.00390625" style="195" customWidth="1"/>
    <col min="6400" max="6400" width="1.8515625" style="195" customWidth="1"/>
    <col min="6401" max="6401" width="17.421875" style="195" customWidth="1"/>
    <col min="6402" max="6402" width="3.00390625" style="195" customWidth="1"/>
    <col min="6403" max="6403" width="16.28125" style="195" customWidth="1"/>
    <col min="6404" max="6404" width="3.00390625" style="195" customWidth="1"/>
    <col min="6405" max="6405" width="14.140625" style="195" customWidth="1"/>
    <col min="6406" max="6406" width="2.00390625" style="195" customWidth="1"/>
    <col min="6407" max="6407" width="15.8515625" style="195" customWidth="1"/>
    <col min="6408" max="6408" width="3.140625" style="195" customWidth="1"/>
    <col min="6409" max="6409" width="17.8515625" style="195" customWidth="1"/>
    <col min="6410" max="6410" width="2.57421875" style="195" customWidth="1"/>
    <col min="6411" max="6411" width="15.57421875" style="195" customWidth="1"/>
    <col min="6412" max="6412" width="1.8515625" style="195" customWidth="1"/>
    <col min="6413" max="6413" width="14.140625" style="195" customWidth="1"/>
    <col min="6414" max="6414" width="11.00390625" style="195" customWidth="1"/>
    <col min="6415" max="6416" width="25.00390625" style="195" customWidth="1"/>
    <col min="6417" max="6417" width="1.8515625" style="195" customWidth="1"/>
    <col min="6418" max="6418" width="17.8515625" style="195" customWidth="1"/>
    <col min="6419" max="6419" width="1.8515625" style="195" customWidth="1"/>
    <col min="6420" max="6420" width="19.00390625" style="195" customWidth="1"/>
    <col min="6421" max="6421" width="1.8515625" style="195" customWidth="1"/>
    <col min="6422" max="6422" width="16.7109375" style="195" customWidth="1"/>
    <col min="6423" max="6423" width="1.8515625" style="195" customWidth="1"/>
    <col min="6424" max="6424" width="16.7109375" style="195" customWidth="1"/>
    <col min="6425" max="6425" width="1.8515625" style="195" customWidth="1"/>
    <col min="6426" max="6426" width="16.7109375" style="195" customWidth="1"/>
    <col min="6427" max="6427" width="1.8515625" style="195" customWidth="1"/>
    <col min="6428" max="6428" width="16.7109375" style="195" customWidth="1"/>
    <col min="6429" max="6429" width="1.8515625" style="195" customWidth="1"/>
    <col min="6430" max="6430" width="17.8515625" style="195" customWidth="1"/>
    <col min="6431" max="6431" width="5.28125" style="195" customWidth="1"/>
    <col min="6432" max="6432" width="16.7109375" style="195" customWidth="1"/>
    <col min="6433" max="6433" width="5.28125" style="195" customWidth="1"/>
    <col min="6434" max="6434" width="14.421875" style="195" customWidth="1"/>
    <col min="6435" max="6435" width="1.8515625" style="195" customWidth="1"/>
    <col min="6436" max="6436" width="16.7109375" style="195" customWidth="1"/>
    <col min="6437" max="6646" width="11.00390625" style="195" customWidth="1"/>
    <col min="6647" max="6647" width="7.57421875" style="195" customWidth="1"/>
    <col min="6648" max="6648" width="15.57421875" style="195" customWidth="1"/>
    <col min="6649" max="6649" width="20.140625" style="195" customWidth="1"/>
    <col min="6650" max="6650" width="2.28125" style="195" customWidth="1"/>
    <col min="6651" max="6651" width="17.421875" style="195" customWidth="1"/>
    <col min="6652" max="6652" width="1.8515625" style="195" customWidth="1"/>
    <col min="6653" max="6653" width="18.7109375" style="195" customWidth="1"/>
    <col min="6654" max="6654" width="1.8515625" style="195" customWidth="1"/>
    <col min="6655" max="6655" width="23.00390625" style="195" customWidth="1"/>
    <col min="6656" max="6656" width="1.8515625" style="195" customWidth="1"/>
    <col min="6657" max="6657" width="17.421875" style="195" customWidth="1"/>
    <col min="6658" max="6658" width="3.00390625" style="195" customWidth="1"/>
    <col min="6659" max="6659" width="16.28125" style="195" customWidth="1"/>
    <col min="6660" max="6660" width="3.00390625" style="195" customWidth="1"/>
    <col min="6661" max="6661" width="14.140625" style="195" customWidth="1"/>
    <col min="6662" max="6662" width="2.00390625" style="195" customWidth="1"/>
    <col min="6663" max="6663" width="15.8515625" style="195" customWidth="1"/>
    <col min="6664" max="6664" width="3.140625" style="195" customWidth="1"/>
    <col min="6665" max="6665" width="17.8515625" style="195" customWidth="1"/>
    <col min="6666" max="6666" width="2.57421875" style="195" customWidth="1"/>
    <col min="6667" max="6667" width="15.57421875" style="195" customWidth="1"/>
    <col min="6668" max="6668" width="1.8515625" style="195" customWidth="1"/>
    <col min="6669" max="6669" width="14.140625" style="195" customWidth="1"/>
    <col min="6670" max="6670" width="11.00390625" style="195" customWidth="1"/>
    <col min="6671" max="6672" width="25.00390625" style="195" customWidth="1"/>
    <col min="6673" max="6673" width="1.8515625" style="195" customWidth="1"/>
    <col min="6674" max="6674" width="17.8515625" style="195" customWidth="1"/>
    <col min="6675" max="6675" width="1.8515625" style="195" customWidth="1"/>
    <col min="6676" max="6676" width="19.00390625" style="195" customWidth="1"/>
    <col min="6677" max="6677" width="1.8515625" style="195" customWidth="1"/>
    <col min="6678" max="6678" width="16.7109375" style="195" customWidth="1"/>
    <col min="6679" max="6679" width="1.8515625" style="195" customWidth="1"/>
    <col min="6680" max="6680" width="16.7109375" style="195" customWidth="1"/>
    <col min="6681" max="6681" width="1.8515625" style="195" customWidth="1"/>
    <col min="6682" max="6682" width="16.7109375" style="195" customWidth="1"/>
    <col min="6683" max="6683" width="1.8515625" style="195" customWidth="1"/>
    <col min="6684" max="6684" width="16.7109375" style="195" customWidth="1"/>
    <col min="6685" max="6685" width="1.8515625" style="195" customWidth="1"/>
    <col min="6686" max="6686" width="17.8515625" style="195" customWidth="1"/>
    <col min="6687" max="6687" width="5.28125" style="195" customWidth="1"/>
    <col min="6688" max="6688" width="16.7109375" style="195" customWidth="1"/>
    <col min="6689" max="6689" width="5.28125" style="195" customWidth="1"/>
    <col min="6690" max="6690" width="14.421875" style="195" customWidth="1"/>
    <col min="6691" max="6691" width="1.8515625" style="195" customWidth="1"/>
    <col min="6692" max="6692" width="16.7109375" style="195" customWidth="1"/>
    <col min="6693" max="6902" width="11.00390625" style="195" customWidth="1"/>
    <col min="6903" max="6903" width="7.57421875" style="195" customWidth="1"/>
    <col min="6904" max="6904" width="15.57421875" style="195" customWidth="1"/>
    <col min="6905" max="6905" width="20.140625" style="195" customWidth="1"/>
    <col min="6906" max="6906" width="2.28125" style="195" customWidth="1"/>
    <col min="6907" max="6907" width="17.421875" style="195" customWidth="1"/>
    <col min="6908" max="6908" width="1.8515625" style="195" customWidth="1"/>
    <col min="6909" max="6909" width="18.7109375" style="195" customWidth="1"/>
    <col min="6910" max="6910" width="1.8515625" style="195" customWidth="1"/>
    <col min="6911" max="6911" width="23.00390625" style="195" customWidth="1"/>
    <col min="6912" max="6912" width="1.8515625" style="195" customWidth="1"/>
    <col min="6913" max="6913" width="17.421875" style="195" customWidth="1"/>
    <col min="6914" max="6914" width="3.00390625" style="195" customWidth="1"/>
    <col min="6915" max="6915" width="16.28125" style="195" customWidth="1"/>
    <col min="6916" max="6916" width="3.00390625" style="195" customWidth="1"/>
    <col min="6917" max="6917" width="14.140625" style="195" customWidth="1"/>
    <col min="6918" max="6918" width="2.00390625" style="195" customWidth="1"/>
    <col min="6919" max="6919" width="15.8515625" style="195" customWidth="1"/>
    <col min="6920" max="6920" width="3.140625" style="195" customWidth="1"/>
    <col min="6921" max="6921" width="17.8515625" style="195" customWidth="1"/>
    <col min="6922" max="6922" width="2.57421875" style="195" customWidth="1"/>
    <col min="6923" max="6923" width="15.57421875" style="195" customWidth="1"/>
    <col min="6924" max="6924" width="1.8515625" style="195" customWidth="1"/>
    <col min="6925" max="6925" width="14.140625" style="195" customWidth="1"/>
    <col min="6926" max="6926" width="11.00390625" style="195" customWidth="1"/>
    <col min="6927" max="6928" width="25.00390625" style="195" customWidth="1"/>
    <col min="6929" max="6929" width="1.8515625" style="195" customWidth="1"/>
    <col min="6930" max="6930" width="17.8515625" style="195" customWidth="1"/>
    <col min="6931" max="6931" width="1.8515625" style="195" customWidth="1"/>
    <col min="6932" max="6932" width="19.00390625" style="195" customWidth="1"/>
    <col min="6933" max="6933" width="1.8515625" style="195" customWidth="1"/>
    <col min="6934" max="6934" width="16.7109375" style="195" customWidth="1"/>
    <col min="6935" max="6935" width="1.8515625" style="195" customWidth="1"/>
    <col min="6936" max="6936" width="16.7109375" style="195" customWidth="1"/>
    <col min="6937" max="6937" width="1.8515625" style="195" customWidth="1"/>
    <col min="6938" max="6938" width="16.7109375" style="195" customWidth="1"/>
    <col min="6939" max="6939" width="1.8515625" style="195" customWidth="1"/>
    <col min="6940" max="6940" width="16.7109375" style="195" customWidth="1"/>
    <col min="6941" max="6941" width="1.8515625" style="195" customWidth="1"/>
    <col min="6942" max="6942" width="17.8515625" style="195" customWidth="1"/>
    <col min="6943" max="6943" width="5.28125" style="195" customWidth="1"/>
    <col min="6944" max="6944" width="16.7109375" style="195" customWidth="1"/>
    <col min="6945" max="6945" width="5.28125" style="195" customWidth="1"/>
    <col min="6946" max="6946" width="14.421875" style="195" customWidth="1"/>
    <col min="6947" max="6947" width="1.8515625" style="195" customWidth="1"/>
    <col min="6948" max="6948" width="16.7109375" style="195" customWidth="1"/>
    <col min="6949" max="7158" width="11.00390625" style="195" customWidth="1"/>
    <col min="7159" max="7159" width="7.57421875" style="195" customWidth="1"/>
    <col min="7160" max="7160" width="15.57421875" style="195" customWidth="1"/>
    <col min="7161" max="7161" width="20.140625" style="195" customWidth="1"/>
    <col min="7162" max="7162" width="2.28125" style="195" customWidth="1"/>
    <col min="7163" max="7163" width="17.421875" style="195" customWidth="1"/>
    <col min="7164" max="7164" width="1.8515625" style="195" customWidth="1"/>
    <col min="7165" max="7165" width="18.7109375" style="195" customWidth="1"/>
    <col min="7166" max="7166" width="1.8515625" style="195" customWidth="1"/>
    <col min="7167" max="7167" width="23.00390625" style="195" customWidth="1"/>
    <col min="7168" max="7168" width="1.8515625" style="195" customWidth="1"/>
    <col min="7169" max="7169" width="17.421875" style="195" customWidth="1"/>
    <col min="7170" max="7170" width="3.00390625" style="195" customWidth="1"/>
    <col min="7171" max="7171" width="16.28125" style="195" customWidth="1"/>
    <col min="7172" max="7172" width="3.00390625" style="195" customWidth="1"/>
    <col min="7173" max="7173" width="14.140625" style="195" customWidth="1"/>
    <col min="7174" max="7174" width="2.00390625" style="195" customWidth="1"/>
    <col min="7175" max="7175" width="15.8515625" style="195" customWidth="1"/>
    <col min="7176" max="7176" width="3.140625" style="195" customWidth="1"/>
    <col min="7177" max="7177" width="17.8515625" style="195" customWidth="1"/>
    <col min="7178" max="7178" width="2.57421875" style="195" customWidth="1"/>
    <col min="7179" max="7179" width="15.57421875" style="195" customWidth="1"/>
    <col min="7180" max="7180" width="1.8515625" style="195" customWidth="1"/>
    <col min="7181" max="7181" width="14.140625" style="195" customWidth="1"/>
    <col min="7182" max="7182" width="11.00390625" style="195" customWidth="1"/>
    <col min="7183" max="7184" width="25.00390625" style="195" customWidth="1"/>
    <col min="7185" max="7185" width="1.8515625" style="195" customWidth="1"/>
    <col min="7186" max="7186" width="17.8515625" style="195" customWidth="1"/>
    <col min="7187" max="7187" width="1.8515625" style="195" customWidth="1"/>
    <col min="7188" max="7188" width="19.00390625" style="195" customWidth="1"/>
    <col min="7189" max="7189" width="1.8515625" style="195" customWidth="1"/>
    <col min="7190" max="7190" width="16.7109375" style="195" customWidth="1"/>
    <col min="7191" max="7191" width="1.8515625" style="195" customWidth="1"/>
    <col min="7192" max="7192" width="16.7109375" style="195" customWidth="1"/>
    <col min="7193" max="7193" width="1.8515625" style="195" customWidth="1"/>
    <col min="7194" max="7194" width="16.7109375" style="195" customWidth="1"/>
    <col min="7195" max="7195" width="1.8515625" style="195" customWidth="1"/>
    <col min="7196" max="7196" width="16.7109375" style="195" customWidth="1"/>
    <col min="7197" max="7197" width="1.8515625" style="195" customWidth="1"/>
    <col min="7198" max="7198" width="17.8515625" style="195" customWidth="1"/>
    <col min="7199" max="7199" width="5.28125" style="195" customWidth="1"/>
    <col min="7200" max="7200" width="16.7109375" style="195" customWidth="1"/>
    <col min="7201" max="7201" width="5.28125" style="195" customWidth="1"/>
    <col min="7202" max="7202" width="14.421875" style="195" customWidth="1"/>
    <col min="7203" max="7203" width="1.8515625" style="195" customWidth="1"/>
    <col min="7204" max="7204" width="16.7109375" style="195" customWidth="1"/>
    <col min="7205" max="7414" width="11.00390625" style="195" customWidth="1"/>
    <col min="7415" max="7415" width="7.57421875" style="195" customWidth="1"/>
    <col min="7416" max="7416" width="15.57421875" style="195" customWidth="1"/>
    <col min="7417" max="7417" width="20.140625" style="195" customWidth="1"/>
    <col min="7418" max="7418" width="2.28125" style="195" customWidth="1"/>
    <col min="7419" max="7419" width="17.421875" style="195" customWidth="1"/>
    <col min="7420" max="7420" width="1.8515625" style="195" customWidth="1"/>
    <col min="7421" max="7421" width="18.7109375" style="195" customWidth="1"/>
    <col min="7422" max="7422" width="1.8515625" style="195" customWidth="1"/>
    <col min="7423" max="7423" width="23.00390625" style="195" customWidth="1"/>
    <col min="7424" max="7424" width="1.8515625" style="195" customWidth="1"/>
    <col min="7425" max="7425" width="17.421875" style="195" customWidth="1"/>
    <col min="7426" max="7426" width="3.00390625" style="195" customWidth="1"/>
    <col min="7427" max="7427" width="16.28125" style="195" customWidth="1"/>
    <col min="7428" max="7428" width="3.00390625" style="195" customWidth="1"/>
    <col min="7429" max="7429" width="14.140625" style="195" customWidth="1"/>
    <col min="7430" max="7430" width="2.00390625" style="195" customWidth="1"/>
    <col min="7431" max="7431" width="15.8515625" style="195" customWidth="1"/>
    <col min="7432" max="7432" width="3.140625" style="195" customWidth="1"/>
    <col min="7433" max="7433" width="17.8515625" style="195" customWidth="1"/>
    <col min="7434" max="7434" width="2.57421875" style="195" customWidth="1"/>
    <col min="7435" max="7435" width="15.57421875" style="195" customWidth="1"/>
    <col min="7436" max="7436" width="1.8515625" style="195" customWidth="1"/>
    <col min="7437" max="7437" width="14.140625" style="195" customWidth="1"/>
    <col min="7438" max="7438" width="11.00390625" style="195" customWidth="1"/>
    <col min="7439" max="7440" width="25.00390625" style="195" customWidth="1"/>
    <col min="7441" max="7441" width="1.8515625" style="195" customWidth="1"/>
    <col min="7442" max="7442" width="17.8515625" style="195" customWidth="1"/>
    <col min="7443" max="7443" width="1.8515625" style="195" customWidth="1"/>
    <col min="7444" max="7444" width="19.00390625" style="195" customWidth="1"/>
    <col min="7445" max="7445" width="1.8515625" style="195" customWidth="1"/>
    <col min="7446" max="7446" width="16.7109375" style="195" customWidth="1"/>
    <col min="7447" max="7447" width="1.8515625" style="195" customWidth="1"/>
    <col min="7448" max="7448" width="16.7109375" style="195" customWidth="1"/>
    <col min="7449" max="7449" width="1.8515625" style="195" customWidth="1"/>
    <col min="7450" max="7450" width="16.7109375" style="195" customWidth="1"/>
    <col min="7451" max="7451" width="1.8515625" style="195" customWidth="1"/>
    <col min="7452" max="7452" width="16.7109375" style="195" customWidth="1"/>
    <col min="7453" max="7453" width="1.8515625" style="195" customWidth="1"/>
    <col min="7454" max="7454" width="17.8515625" style="195" customWidth="1"/>
    <col min="7455" max="7455" width="5.28125" style="195" customWidth="1"/>
    <col min="7456" max="7456" width="16.7109375" style="195" customWidth="1"/>
    <col min="7457" max="7457" width="5.28125" style="195" customWidth="1"/>
    <col min="7458" max="7458" width="14.421875" style="195" customWidth="1"/>
    <col min="7459" max="7459" width="1.8515625" style="195" customWidth="1"/>
    <col min="7460" max="7460" width="16.7109375" style="195" customWidth="1"/>
    <col min="7461" max="7670" width="11.00390625" style="195" customWidth="1"/>
    <col min="7671" max="7671" width="7.57421875" style="195" customWidth="1"/>
    <col min="7672" max="7672" width="15.57421875" style="195" customWidth="1"/>
    <col min="7673" max="7673" width="20.140625" style="195" customWidth="1"/>
    <col min="7674" max="7674" width="2.28125" style="195" customWidth="1"/>
    <col min="7675" max="7675" width="17.421875" style="195" customWidth="1"/>
    <col min="7676" max="7676" width="1.8515625" style="195" customWidth="1"/>
    <col min="7677" max="7677" width="18.7109375" style="195" customWidth="1"/>
    <col min="7678" max="7678" width="1.8515625" style="195" customWidth="1"/>
    <col min="7679" max="7679" width="23.00390625" style="195" customWidth="1"/>
    <col min="7680" max="7680" width="1.8515625" style="195" customWidth="1"/>
    <col min="7681" max="7681" width="17.421875" style="195" customWidth="1"/>
    <col min="7682" max="7682" width="3.00390625" style="195" customWidth="1"/>
    <col min="7683" max="7683" width="16.28125" style="195" customWidth="1"/>
    <col min="7684" max="7684" width="3.00390625" style="195" customWidth="1"/>
    <col min="7685" max="7685" width="14.140625" style="195" customWidth="1"/>
    <col min="7686" max="7686" width="2.00390625" style="195" customWidth="1"/>
    <col min="7687" max="7687" width="15.8515625" style="195" customWidth="1"/>
    <col min="7688" max="7688" width="3.140625" style="195" customWidth="1"/>
    <col min="7689" max="7689" width="17.8515625" style="195" customWidth="1"/>
    <col min="7690" max="7690" width="2.57421875" style="195" customWidth="1"/>
    <col min="7691" max="7691" width="15.57421875" style="195" customWidth="1"/>
    <col min="7692" max="7692" width="1.8515625" style="195" customWidth="1"/>
    <col min="7693" max="7693" width="14.140625" style="195" customWidth="1"/>
    <col min="7694" max="7694" width="11.00390625" style="195" customWidth="1"/>
    <col min="7695" max="7696" width="25.00390625" style="195" customWidth="1"/>
    <col min="7697" max="7697" width="1.8515625" style="195" customWidth="1"/>
    <col min="7698" max="7698" width="17.8515625" style="195" customWidth="1"/>
    <col min="7699" max="7699" width="1.8515625" style="195" customWidth="1"/>
    <col min="7700" max="7700" width="19.00390625" style="195" customWidth="1"/>
    <col min="7701" max="7701" width="1.8515625" style="195" customWidth="1"/>
    <col min="7702" max="7702" width="16.7109375" style="195" customWidth="1"/>
    <col min="7703" max="7703" width="1.8515625" style="195" customWidth="1"/>
    <col min="7704" max="7704" width="16.7109375" style="195" customWidth="1"/>
    <col min="7705" max="7705" width="1.8515625" style="195" customWidth="1"/>
    <col min="7706" max="7706" width="16.7109375" style="195" customWidth="1"/>
    <col min="7707" max="7707" width="1.8515625" style="195" customWidth="1"/>
    <col min="7708" max="7708" width="16.7109375" style="195" customWidth="1"/>
    <col min="7709" max="7709" width="1.8515625" style="195" customWidth="1"/>
    <col min="7710" max="7710" width="17.8515625" style="195" customWidth="1"/>
    <col min="7711" max="7711" width="5.28125" style="195" customWidth="1"/>
    <col min="7712" max="7712" width="16.7109375" style="195" customWidth="1"/>
    <col min="7713" max="7713" width="5.28125" style="195" customWidth="1"/>
    <col min="7714" max="7714" width="14.421875" style="195" customWidth="1"/>
    <col min="7715" max="7715" width="1.8515625" style="195" customWidth="1"/>
    <col min="7716" max="7716" width="16.7109375" style="195" customWidth="1"/>
    <col min="7717" max="7926" width="11.00390625" style="195" customWidth="1"/>
    <col min="7927" max="7927" width="7.57421875" style="195" customWidth="1"/>
    <col min="7928" max="7928" width="15.57421875" style="195" customWidth="1"/>
    <col min="7929" max="7929" width="20.140625" style="195" customWidth="1"/>
    <col min="7930" max="7930" width="2.28125" style="195" customWidth="1"/>
    <col min="7931" max="7931" width="17.421875" style="195" customWidth="1"/>
    <col min="7932" max="7932" width="1.8515625" style="195" customWidth="1"/>
    <col min="7933" max="7933" width="18.7109375" style="195" customWidth="1"/>
    <col min="7934" max="7934" width="1.8515625" style="195" customWidth="1"/>
    <col min="7935" max="7935" width="23.00390625" style="195" customWidth="1"/>
    <col min="7936" max="7936" width="1.8515625" style="195" customWidth="1"/>
    <col min="7937" max="7937" width="17.421875" style="195" customWidth="1"/>
    <col min="7938" max="7938" width="3.00390625" style="195" customWidth="1"/>
    <col min="7939" max="7939" width="16.28125" style="195" customWidth="1"/>
    <col min="7940" max="7940" width="3.00390625" style="195" customWidth="1"/>
    <col min="7941" max="7941" width="14.140625" style="195" customWidth="1"/>
    <col min="7942" max="7942" width="2.00390625" style="195" customWidth="1"/>
    <col min="7943" max="7943" width="15.8515625" style="195" customWidth="1"/>
    <col min="7944" max="7944" width="3.140625" style="195" customWidth="1"/>
    <col min="7945" max="7945" width="17.8515625" style="195" customWidth="1"/>
    <col min="7946" max="7946" width="2.57421875" style="195" customWidth="1"/>
    <col min="7947" max="7947" width="15.57421875" style="195" customWidth="1"/>
    <col min="7948" max="7948" width="1.8515625" style="195" customWidth="1"/>
    <col min="7949" max="7949" width="14.140625" style="195" customWidth="1"/>
    <col min="7950" max="7950" width="11.00390625" style="195" customWidth="1"/>
    <col min="7951" max="7952" width="25.00390625" style="195" customWidth="1"/>
    <col min="7953" max="7953" width="1.8515625" style="195" customWidth="1"/>
    <col min="7954" max="7954" width="17.8515625" style="195" customWidth="1"/>
    <col min="7955" max="7955" width="1.8515625" style="195" customWidth="1"/>
    <col min="7956" max="7956" width="19.00390625" style="195" customWidth="1"/>
    <col min="7957" max="7957" width="1.8515625" style="195" customWidth="1"/>
    <col min="7958" max="7958" width="16.7109375" style="195" customWidth="1"/>
    <col min="7959" max="7959" width="1.8515625" style="195" customWidth="1"/>
    <col min="7960" max="7960" width="16.7109375" style="195" customWidth="1"/>
    <col min="7961" max="7961" width="1.8515625" style="195" customWidth="1"/>
    <col min="7962" max="7962" width="16.7109375" style="195" customWidth="1"/>
    <col min="7963" max="7963" width="1.8515625" style="195" customWidth="1"/>
    <col min="7964" max="7964" width="16.7109375" style="195" customWidth="1"/>
    <col min="7965" max="7965" width="1.8515625" style="195" customWidth="1"/>
    <col min="7966" max="7966" width="17.8515625" style="195" customWidth="1"/>
    <col min="7967" max="7967" width="5.28125" style="195" customWidth="1"/>
    <col min="7968" max="7968" width="16.7109375" style="195" customWidth="1"/>
    <col min="7969" max="7969" width="5.28125" style="195" customWidth="1"/>
    <col min="7970" max="7970" width="14.421875" style="195" customWidth="1"/>
    <col min="7971" max="7971" width="1.8515625" style="195" customWidth="1"/>
    <col min="7972" max="7972" width="16.7109375" style="195" customWidth="1"/>
    <col min="7973" max="8182" width="11.00390625" style="195" customWidth="1"/>
    <col min="8183" max="8183" width="7.57421875" style="195" customWidth="1"/>
    <col min="8184" max="8184" width="15.57421875" style="195" customWidth="1"/>
    <col min="8185" max="8185" width="20.140625" style="195" customWidth="1"/>
    <col min="8186" max="8186" width="2.28125" style="195" customWidth="1"/>
    <col min="8187" max="8187" width="17.421875" style="195" customWidth="1"/>
    <col min="8188" max="8188" width="1.8515625" style="195" customWidth="1"/>
    <col min="8189" max="8189" width="18.7109375" style="195" customWidth="1"/>
    <col min="8190" max="8190" width="1.8515625" style="195" customWidth="1"/>
    <col min="8191" max="8191" width="23.00390625" style="195" customWidth="1"/>
    <col min="8192" max="8192" width="1.8515625" style="195" customWidth="1"/>
    <col min="8193" max="8193" width="17.421875" style="195" customWidth="1"/>
    <col min="8194" max="8194" width="3.00390625" style="195" customWidth="1"/>
    <col min="8195" max="8195" width="16.28125" style="195" customWidth="1"/>
    <col min="8196" max="8196" width="3.00390625" style="195" customWidth="1"/>
    <col min="8197" max="8197" width="14.140625" style="195" customWidth="1"/>
    <col min="8198" max="8198" width="2.00390625" style="195" customWidth="1"/>
    <col min="8199" max="8199" width="15.8515625" style="195" customWidth="1"/>
    <col min="8200" max="8200" width="3.140625" style="195" customWidth="1"/>
    <col min="8201" max="8201" width="17.8515625" style="195" customWidth="1"/>
    <col min="8202" max="8202" width="2.57421875" style="195" customWidth="1"/>
    <col min="8203" max="8203" width="15.57421875" style="195" customWidth="1"/>
    <col min="8204" max="8204" width="1.8515625" style="195" customWidth="1"/>
    <col min="8205" max="8205" width="14.140625" style="195" customWidth="1"/>
    <col min="8206" max="8206" width="11.00390625" style="195" customWidth="1"/>
    <col min="8207" max="8208" width="25.00390625" style="195" customWidth="1"/>
    <col min="8209" max="8209" width="1.8515625" style="195" customWidth="1"/>
    <col min="8210" max="8210" width="17.8515625" style="195" customWidth="1"/>
    <col min="8211" max="8211" width="1.8515625" style="195" customWidth="1"/>
    <col min="8212" max="8212" width="19.00390625" style="195" customWidth="1"/>
    <col min="8213" max="8213" width="1.8515625" style="195" customWidth="1"/>
    <col min="8214" max="8214" width="16.7109375" style="195" customWidth="1"/>
    <col min="8215" max="8215" width="1.8515625" style="195" customWidth="1"/>
    <col min="8216" max="8216" width="16.7109375" style="195" customWidth="1"/>
    <col min="8217" max="8217" width="1.8515625" style="195" customWidth="1"/>
    <col min="8218" max="8218" width="16.7109375" style="195" customWidth="1"/>
    <col min="8219" max="8219" width="1.8515625" style="195" customWidth="1"/>
    <col min="8220" max="8220" width="16.7109375" style="195" customWidth="1"/>
    <col min="8221" max="8221" width="1.8515625" style="195" customWidth="1"/>
    <col min="8222" max="8222" width="17.8515625" style="195" customWidth="1"/>
    <col min="8223" max="8223" width="5.28125" style="195" customWidth="1"/>
    <col min="8224" max="8224" width="16.7109375" style="195" customWidth="1"/>
    <col min="8225" max="8225" width="5.28125" style="195" customWidth="1"/>
    <col min="8226" max="8226" width="14.421875" style="195" customWidth="1"/>
    <col min="8227" max="8227" width="1.8515625" style="195" customWidth="1"/>
    <col min="8228" max="8228" width="16.7109375" style="195" customWidth="1"/>
    <col min="8229" max="8438" width="11.00390625" style="195" customWidth="1"/>
    <col min="8439" max="8439" width="7.57421875" style="195" customWidth="1"/>
    <col min="8440" max="8440" width="15.57421875" style="195" customWidth="1"/>
    <col min="8441" max="8441" width="20.140625" style="195" customWidth="1"/>
    <col min="8442" max="8442" width="2.28125" style="195" customWidth="1"/>
    <col min="8443" max="8443" width="17.421875" style="195" customWidth="1"/>
    <col min="8444" max="8444" width="1.8515625" style="195" customWidth="1"/>
    <col min="8445" max="8445" width="18.7109375" style="195" customWidth="1"/>
    <col min="8446" max="8446" width="1.8515625" style="195" customWidth="1"/>
    <col min="8447" max="8447" width="23.00390625" style="195" customWidth="1"/>
    <col min="8448" max="8448" width="1.8515625" style="195" customWidth="1"/>
    <col min="8449" max="8449" width="17.421875" style="195" customWidth="1"/>
    <col min="8450" max="8450" width="3.00390625" style="195" customWidth="1"/>
    <col min="8451" max="8451" width="16.28125" style="195" customWidth="1"/>
    <col min="8452" max="8452" width="3.00390625" style="195" customWidth="1"/>
    <col min="8453" max="8453" width="14.140625" style="195" customWidth="1"/>
    <col min="8454" max="8454" width="2.00390625" style="195" customWidth="1"/>
    <col min="8455" max="8455" width="15.8515625" style="195" customWidth="1"/>
    <col min="8456" max="8456" width="3.140625" style="195" customWidth="1"/>
    <col min="8457" max="8457" width="17.8515625" style="195" customWidth="1"/>
    <col min="8458" max="8458" width="2.57421875" style="195" customWidth="1"/>
    <col min="8459" max="8459" width="15.57421875" style="195" customWidth="1"/>
    <col min="8460" max="8460" width="1.8515625" style="195" customWidth="1"/>
    <col min="8461" max="8461" width="14.140625" style="195" customWidth="1"/>
    <col min="8462" max="8462" width="11.00390625" style="195" customWidth="1"/>
    <col min="8463" max="8464" width="25.00390625" style="195" customWidth="1"/>
    <col min="8465" max="8465" width="1.8515625" style="195" customWidth="1"/>
    <col min="8466" max="8466" width="17.8515625" style="195" customWidth="1"/>
    <col min="8467" max="8467" width="1.8515625" style="195" customWidth="1"/>
    <col min="8468" max="8468" width="19.00390625" style="195" customWidth="1"/>
    <col min="8469" max="8469" width="1.8515625" style="195" customWidth="1"/>
    <col min="8470" max="8470" width="16.7109375" style="195" customWidth="1"/>
    <col min="8471" max="8471" width="1.8515625" style="195" customWidth="1"/>
    <col min="8472" max="8472" width="16.7109375" style="195" customWidth="1"/>
    <col min="8473" max="8473" width="1.8515625" style="195" customWidth="1"/>
    <col min="8474" max="8474" width="16.7109375" style="195" customWidth="1"/>
    <col min="8475" max="8475" width="1.8515625" style="195" customWidth="1"/>
    <col min="8476" max="8476" width="16.7109375" style="195" customWidth="1"/>
    <col min="8477" max="8477" width="1.8515625" style="195" customWidth="1"/>
    <col min="8478" max="8478" width="17.8515625" style="195" customWidth="1"/>
    <col min="8479" max="8479" width="5.28125" style="195" customWidth="1"/>
    <col min="8480" max="8480" width="16.7109375" style="195" customWidth="1"/>
    <col min="8481" max="8481" width="5.28125" style="195" customWidth="1"/>
    <col min="8482" max="8482" width="14.421875" style="195" customWidth="1"/>
    <col min="8483" max="8483" width="1.8515625" style="195" customWidth="1"/>
    <col min="8484" max="8484" width="16.7109375" style="195" customWidth="1"/>
    <col min="8485" max="8694" width="11.00390625" style="195" customWidth="1"/>
    <col min="8695" max="8695" width="7.57421875" style="195" customWidth="1"/>
    <col min="8696" max="8696" width="15.57421875" style="195" customWidth="1"/>
    <col min="8697" max="8697" width="20.140625" style="195" customWidth="1"/>
    <col min="8698" max="8698" width="2.28125" style="195" customWidth="1"/>
    <col min="8699" max="8699" width="17.421875" style="195" customWidth="1"/>
    <col min="8700" max="8700" width="1.8515625" style="195" customWidth="1"/>
    <col min="8701" max="8701" width="18.7109375" style="195" customWidth="1"/>
    <col min="8702" max="8702" width="1.8515625" style="195" customWidth="1"/>
    <col min="8703" max="8703" width="23.00390625" style="195" customWidth="1"/>
    <col min="8704" max="8704" width="1.8515625" style="195" customWidth="1"/>
    <col min="8705" max="8705" width="17.421875" style="195" customWidth="1"/>
    <col min="8706" max="8706" width="3.00390625" style="195" customWidth="1"/>
    <col min="8707" max="8707" width="16.28125" style="195" customWidth="1"/>
    <col min="8708" max="8708" width="3.00390625" style="195" customWidth="1"/>
    <col min="8709" max="8709" width="14.140625" style="195" customWidth="1"/>
    <col min="8710" max="8710" width="2.00390625" style="195" customWidth="1"/>
    <col min="8711" max="8711" width="15.8515625" style="195" customWidth="1"/>
    <col min="8712" max="8712" width="3.140625" style="195" customWidth="1"/>
    <col min="8713" max="8713" width="17.8515625" style="195" customWidth="1"/>
    <col min="8714" max="8714" width="2.57421875" style="195" customWidth="1"/>
    <col min="8715" max="8715" width="15.57421875" style="195" customWidth="1"/>
    <col min="8716" max="8716" width="1.8515625" style="195" customWidth="1"/>
    <col min="8717" max="8717" width="14.140625" style="195" customWidth="1"/>
    <col min="8718" max="8718" width="11.00390625" style="195" customWidth="1"/>
    <col min="8719" max="8720" width="25.00390625" style="195" customWidth="1"/>
    <col min="8721" max="8721" width="1.8515625" style="195" customWidth="1"/>
    <col min="8722" max="8722" width="17.8515625" style="195" customWidth="1"/>
    <col min="8723" max="8723" width="1.8515625" style="195" customWidth="1"/>
    <col min="8724" max="8724" width="19.00390625" style="195" customWidth="1"/>
    <col min="8725" max="8725" width="1.8515625" style="195" customWidth="1"/>
    <col min="8726" max="8726" width="16.7109375" style="195" customWidth="1"/>
    <col min="8727" max="8727" width="1.8515625" style="195" customWidth="1"/>
    <col min="8728" max="8728" width="16.7109375" style="195" customWidth="1"/>
    <col min="8729" max="8729" width="1.8515625" style="195" customWidth="1"/>
    <col min="8730" max="8730" width="16.7109375" style="195" customWidth="1"/>
    <col min="8731" max="8731" width="1.8515625" style="195" customWidth="1"/>
    <col min="8732" max="8732" width="16.7109375" style="195" customWidth="1"/>
    <col min="8733" max="8733" width="1.8515625" style="195" customWidth="1"/>
    <col min="8734" max="8734" width="17.8515625" style="195" customWidth="1"/>
    <col min="8735" max="8735" width="5.28125" style="195" customWidth="1"/>
    <col min="8736" max="8736" width="16.7109375" style="195" customWidth="1"/>
    <col min="8737" max="8737" width="5.28125" style="195" customWidth="1"/>
    <col min="8738" max="8738" width="14.421875" style="195" customWidth="1"/>
    <col min="8739" max="8739" width="1.8515625" style="195" customWidth="1"/>
    <col min="8740" max="8740" width="16.7109375" style="195" customWidth="1"/>
    <col min="8741" max="8950" width="11.00390625" style="195" customWidth="1"/>
    <col min="8951" max="8951" width="7.57421875" style="195" customWidth="1"/>
    <col min="8952" max="8952" width="15.57421875" style="195" customWidth="1"/>
    <col min="8953" max="8953" width="20.140625" style="195" customWidth="1"/>
    <col min="8954" max="8954" width="2.28125" style="195" customWidth="1"/>
    <col min="8955" max="8955" width="17.421875" style="195" customWidth="1"/>
    <col min="8956" max="8956" width="1.8515625" style="195" customWidth="1"/>
    <col min="8957" max="8957" width="18.7109375" style="195" customWidth="1"/>
    <col min="8958" max="8958" width="1.8515625" style="195" customWidth="1"/>
    <col min="8959" max="8959" width="23.00390625" style="195" customWidth="1"/>
    <col min="8960" max="8960" width="1.8515625" style="195" customWidth="1"/>
    <col min="8961" max="8961" width="17.421875" style="195" customWidth="1"/>
    <col min="8962" max="8962" width="3.00390625" style="195" customWidth="1"/>
    <col min="8963" max="8963" width="16.28125" style="195" customWidth="1"/>
    <col min="8964" max="8964" width="3.00390625" style="195" customWidth="1"/>
    <col min="8965" max="8965" width="14.140625" style="195" customWidth="1"/>
    <col min="8966" max="8966" width="2.00390625" style="195" customWidth="1"/>
    <col min="8967" max="8967" width="15.8515625" style="195" customWidth="1"/>
    <col min="8968" max="8968" width="3.140625" style="195" customWidth="1"/>
    <col min="8969" max="8969" width="17.8515625" style="195" customWidth="1"/>
    <col min="8970" max="8970" width="2.57421875" style="195" customWidth="1"/>
    <col min="8971" max="8971" width="15.57421875" style="195" customWidth="1"/>
    <col min="8972" max="8972" width="1.8515625" style="195" customWidth="1"/>
    <col min="8973" max="8973" width="14.140625" style="195" customWidth="1"/>
    <col min="8974" max="8974" width="11.00390625" style="195" customWidth="1"/>
    <col min="8975" max="8976" width="25.00390625" style="195" customWidth="1"/>
    <col min="8977" max="8977" width="1.8515625" style="195" customWidth="1"/>
    <col min="8978" max="8978" width="17.8515625" style="195" customWidth="1"/>
    <col min="8979" max="8979" width="1.8515625" style="195" customWidth="1"/>
    <col min="8980" max="8980" width="19.00390625" style="195" customWidth="1"/>
    <col min="8981" max="8981" width="1.8515625" style="195" customWidth="1"/>
    <col min="8982" max="8982" width="16.7109375" style="195" customWidth="1"/>
    <col min="8983" max="8983" width="1.8515625" style="195" customWidth="1"/>
    <col min="8984" max="8984" width="16.7109375" style="195" customWidth="1"/>
    <col min="8985" max="8985" width="1.8515625" style="195" customWidth="1"/>
    <col min="8986" max="8986" width="16.7109375" style="195" customWidth="1"/>
    <col min="8987" max="8987" width="1.8515625" style="195" customWidth="1"/>
    <col min="8988" max="8988" width="16.7109375" style="195" customWidth="1"/>
    <col min="8989" max="8989" width="1.8515625" style="195" customWidth="1"/>
    <col min="8990" max="8990" width="17.8515625" style="195" customWidth="1"/>
    <col min="8991" max="8991" width="5.28125" style="195" customWidth="1"/>
    <col min="8992" max="8992" width="16.7109375" style="195" customWidth="1"/>
    <col min="8993" max="8993" width="5.28125" style="195" customWidth="1"/>
    <col min="8994" max="8994" width="14.421875" style="195" customWidth="1"/>
    <col min="8995" max="8995" width="1.8515625" style="195" customWidth="1"/>
    <col min="8996" max="8996" width="16.7109375" style="195" customWidth="1"/>
    <col min="8997" max="9206" width="11.00390625" style="195" customWidth="1"/>
    <col min="9207" max="9207" width="7.57421875" style="195" customWidth="1"/>
    <col min="9208" max="9208" width="15.57421875" style="195" customWidth="1"/>
    <col min="9209" max="9209" width="20.140625" style="195" customWidth="1"/>
    <col min="9210" max="9210" width="2.28125" style="195" customWidth="1"/>
    <col min="9211" max="9211" width="17.421875" style="195" customWidth="1"/>
    <col min="9212" max="9212" width="1.8515625" style="195" customWidth="1"/>
    <col min="9213" max="9213" width="18.7109375" style="195" customWidth="1"/>
    <col min="9214" max="9214" width="1.8515625" style="195" customWidth="1"/>
    <col min="9215" max="9215" width="23.00390625" style="195" customWidth="1"/>
    <col min="9216" max="9216" width="1.8515625" style="195" customWidth="1"/>
    <col min="9217" max="9217" width="17.421875" style="195" customWidth="1"/>
    <col min="9218" max="9218" width="3.00390625" style="195" customWidth="1"/>
    <col min="9219" max="9219" width="16.28125" style="195" customWidth="1"/>
    <col min="9220" max="9220" width="3.00390625" style="195" customWidth="1"/>
    <col min="9221" max="9221" width="14.140625" style="195" customWidth="1"/>
    <col min="9222" max="9222" width="2.00390625" style="195" customWidth="1"/>
    <col min="9223" max="9223" width="15.8515625" style="195" customWidth="1"/>
    <col min="9224" max="9224" width="3.140625" style="195" customWidth="1"/>
    <col min="9225" max="9225" width="17.8515625" style="195" customWidth="1"/>
    <col min="9226" max="9226" width="2.57421875" style="195" customWidth="1"/>
    <col min="9227" max="9227" width="15.57421875" style="195" customWidth="1"/>
    <col min="9228" max="9228" width="1.8515625" style="195" customWidth="1"/>
    <col min="9229" max="9229" width="14.140625" style="195" customWidth="1"/>
    <col min="9230" max="9230" width="11.00390625" style="195" customWidth="1"/>
    <col min="9231" max="9232" width="25.00390625" style="195" customWidth="1"/>
    <col min="9233" max="9233" width="1.8515625" style="195" customWidth="1"/>
    <col min="9234" max="9234" width="17.8515625" style="195" customWidth="1"/>
    <col min="9235" max="9235" width="1.8515625" style="195" customWidth="1"/>
    <col min="9236" max="9236" width="19.00390625" style="195" customWidth="1"/>
    <col min="9237" max="9237" width="1.8515625" style="195" customWidth="1"/>
    <col min="9238" max="9238" width="16.7109375" style="195" customWidth="1"/>
    <col min="9239" max="9239" width="1.8515625" style="195" customWidth="1"/>
    <col min="9240" max="9240" width="16.7109375" style="195" customWidth="1"/>
    <col min="9241" max="9241" width="1.8515625" style="195" customWidth="1"/>
    <col min="9242" max="9242" width="16.7109375" style="195" customWidth="1"/>
    <col min="9243" max="9243" width="1.8515625" style="195" customWidth="1"/>
    <col min="9244" max="9244" width="16.7109375" style="195" customWidth="1"/>
    <col min="9245" max="9245" width="1.8515625" style="195" customWidth="1"/>
    <col min="9246" max="9246" width="17.8515625" style="195" customWidth="1"/>
    <col min="9247" max="9247" width="5.28125" style="195" customWidth="1"/>
    <col min="9248" max="9248" width="16.7109375" style="195" customWidth="1"/>
    <col min="9249" max="9249" width="5.28125" style="195" customWidth="1"/>
    <col min="9250" max="9250" width="14.421875" style="195" customWidth="1"/>
    <col min="9251" max="9251" width="1.8515625" style="195" customWidth="1"/>
    <col min="9252" max="9252" width="16.7109375" style="195" customWidth="1"/>
    <col min="9253" max="9462" width="11.00390625" style="195" customWidth="1"/>
    <col min="9463" max="9463" width="7.57421875" style="195" customWidth="1"/>
    <col min="9464" max="9464" width="15.57421875" style="195" customWidth="1"/>
    <col min="9465" max="9465" width="20.140625" style="195" customWidth="1"/>
    <col min="9466" max="9466" width="2.28125" style="195" customWidth="1"/>
    <col min="9467" max="9467" width="17.421875" style="195" customWidth="1"/>
    <col min="9468" max="9468" width="1.8515625" style="195" customWidth="1"/>
    <col min="9469" max="9469" width="18.7109375" style="195" customWidth="1"/>
    <col min="9470" max="9470" width="1.8515625" style="195" customWidth="1"/>
    <col min="9471" max="9471" width="23.00390625" style="195" customWidth="1"/>
    <col min="9472" max="9472" width="1.8515625" style="195" customWidth="1"/>
    <col min="9473" max="9473" width="17.421875" style="195" customWidth="1"/>
    <col min="9474" max="9474" width="3.00390625" style="195" customWidth="1"/>
    <col min="9475" max="9475" width="16.28125" style="195" customWidth="1"/>
    <col min="9476" max="9476" width="3.00390625" style="195" customWidth="1"/>
    <col min="9477" max="9477" width="14.140625" style="195" customWidth="1"/>
    <col min="9478" max="9478" width="2.00390625" style="195" customWidth="1"/>
    <col min="9479" max="9479" width="15.8515625" style="195" customWidth="1"/>
    <col min="9480" max="9480" width="3.140625" style="195" customWidth="1"/>
    <col min="9481" max="9481" width="17.8515625" style="195" customWidth="1"/>
    <col min="9482" max="9482" width="2.57421875" style="195" customWidth="1"/>
    <col min="9483" max="9483" width="15.57421875" style="195" customWidth="1"/>
    <col min="9484" max="9484" width="1.8515625" style="195" customWidth="1"/>
    <col min="9485" max="9485" width="14.140625" style="195" customWidth="1"/>
    <col min="9486" max="9486" width="11.00390625" style="195" customWidth="1"/>
    <col min="9487" max="9488" width="25.00390625" style="195" customWidth="1"/>
    <col min="9489" max="9489" width="1.8515625" style="195" customWidth="1"/>
    <col min="9490" max="9490" width="17.8515625" style="195" customWidth="1"/>
    <col min="9491" max="9491" width="1.8515625" style="195" customWidth="1"/>
    <col min="9492" max="9492" width="19.00390625" style="195" customWidth="1"/>
    <col min="9493" max="9493" width="1.8515625" style="195" customWidth="1"/>
    <col min="9494" max="9494" width="16.7109375" style="195" customWidth="1"/>
    <col min="9495" max="9495" width="1.8515625" style="195" customWidth="1"/>
    <col min="9496" max="9496" width="16.7109375" style="195" customWidth="1"/>
    <col min="9497" max="9497" width="1.8515625" style="195" customWidth="1"/>
    <col min="9498" max="9498" width="16.7109375" style="195" customWidth="1"/>
    <col min="9499" max="9499" width="1.8515625" style="195" customWidth="1"/>
    <col min="9500" max="9500" width="16.7109375" style="195" customWidth="1"/>
    <col min="9501" max="9501" width="1.8515625" style="195" customWidth="1"/>
    <col min="9502" max="9502" width="17.8515625" style="195" customWidth="1"/>
    <col min="9503" max="9503" width="5.28125" style="195" customWidth="1"/>
    <col min="9504" max="9504" width="16.7109375" style="195" customWidth="1"/>
    <col min="9505" max="9505" width="5.28125" style="195" customWidth="1"/>
    <col min="9506" max="9506" width="14.421875" style="195" customWidth="1"/>
    <col min="9507" max="9507" width="1.8515625" style="195" customWidth="1"/>
    <col min="9508" max="9508" width="16.7109375" style="195" customWidth="1"/>
    <col min="9509" max="9718" width="11.00390625" style="195" customWidth="1"/>
    <col min="9719" max="9719" width="7.57421875" style="195" customWidth="1"/>
    <col min="9720" max="9720" width="15.57421875" style="195" customWidth="1"/>
    <col min="9721" max="9721" width="20.140625" style="195" customWidth="1"/>
    <col min="9722" max="9722" width="2.28125" style="195" customWidth="1"/>
    <col min="9723" max="9723" width="17.421875" style="195" customWidth="1"/>
    <col min="9724" max="9724" width="1.8515625" style="195" customWidth="1"/>
    <col min="9725" max="9725" width="18.7109375" style="195" customWidth="1"/>
    <col min="9726" max="9726" width="1.8515625" style="195" customWidth="1"/>
    <col min="9727" max="9727" width="23.00390625" style="195" customWidth="1"/>
    <col min="9728" max="9728" width="1.8515625" style="195" customWidth="1"/>
    <col min="9729" max="9729" width="17.421875" style="195" customWidth="1"/>
    <col min="9730" max="9730" width="3.00390625" style="195" customWidth="1"/>
    <col min="9731" max="9731" width="16.28125" style="195" customWidth="1"/>
    <col min="9732" max="9732" width="3.00390625" style="195" customWidth="1"/>
    <col min="9733" max="9733" width="14.140625" style="195" customWidth="1"/>
    <col min="9734" max="9734" width="2.00390625" style="195" customWidth="1"/>
    <col min="9735" max="9735" width="15.8515625" style="195" customWidth="1"/>
    <col min="9736" max="9736" width="3.140625" style="195" customWidth="1"/>
    <col min="9737" max="9737" width="17.8515625" style="195" customWidth="1"/>
    <col min="9738" max="9738" width="2.57421875" style="195" customWidth="1"/>
    <col min="9739" max="9739" width="15.57421875" style="195" customWidth="1"/>
    <col min="9740" max="9740" width="1.8515625" style="195" customWidth="1"/>
    <col min="9741" max="9741" width="14.140625" style="195" customWidth="1"/>
    <col min="9742" max="9742" width="11.00390625" style="195" customWidth="1"/>
    <col min="9743" max="9744" width="25.00390625" style="195" customWidth="1"/>
    <col min="9745" max="9745" width="1.8515625" style="195" customWidth="1"/>
    <col min="9746" max="9746" width="17.8515625" style="195" customWidth="1"/>
    <col min="9747" max="9747" width="1.8515625" style="195" customWidth="1"/>
    <col min="9748" max="9748" width="19.00390625" style="195" customWidth="1"/>
    <col min="9749" max="9749" width="1.8515625" style="195" customWidth="1"/>
    <col min="9750" max="9750" width="16.7109375" style="195" customWidth="1"/>
    <col min="9751" max="9751" width="1.8515625" style="195" customWidth="1"/>
    <col min="9752" max="9752" width="16.7109375" style="195" customWidth="1"/>
    <col min="9753" max="9753" width="1.8515625" style="195" customWidth="1"/>
    <col min="9754" max="9754" width="16.7109375" style="195" customWidth="1"/>
    <col min="9755" max="9755" width="1.8515625" style="195" customWidth="1"/>
    <col min="9756" max="9756" width="16.7109375" style="195" customWidth="1"/>
    <col min="9757" max="9757" width="1.8515625" style="195" customWidth="1"/>
    <col min="9758" max="9758" width="17.8515625" style="195" customWidth="1"/>
    <col min="9759" max="9759" width="5.28125" style="195" customWidth="1"/>
    <col min="9760" max="9760" width="16.7109375" style="195" customWidth="1"/>
    <col min="9761" max="9761" width="5.28125" style="195" customWidth="1"/>
    <col min="9762" max="9762" width="14.421875" style="195" customWidth="1"/>
    <col min="9763" max="9763" width="1.8515625" style="195" customWidth="1"/>
    <col min="9764" max="9764" width="16.7109375" style="195" customWidth="1"/>
    <col min="9765" max="9974" width="11.00390625" style="195" customWidth="1"/>
    <col min="9975" max="9975" width="7.57421875" style="195" customWidth="1"/>
    <col min="9976" max="9976" width="15.57421875" style="195" customWidth="1"/>
    <col min="9977" max="9977" width="20.140625" style="195" customWidth="1"/>
    <col min="9978" max="9978" width="2.28125" style="195" customWidth="1"/>
    <col min="9979" max="9979" width="17.421875" style="195" customWidth="1"/>
    <col min="9980" max="9980" width="1.8515625" style="195" customWidth="1"/>
    <col min="9981" max="9981" width="18.7109375" style="195" customWidth="1"/>
    <col min="9982" max="9982" width="1.8515625" style="195" customWidth="1"/>
    <col min="9983" max="9983" width="23.00390625" style="195" customWidth="1"/>
    <col min="9984" max="9984" width="1.8515625" style="195" customWidth="1"/>
    <col min="9985" max="9985" width="17.421875" style="195" customWidth="1"/>
    <col min="9986" max="9986" width="3.00390625" style="195" customWidth="1"/>
    <col min="9987" max="9987" width="16.28125" style="195" customWidth="1"/>
    <col min="9988" max="9988" width="3.00390625" style="195" customWidth="1"/>
    <col min="9989" max="9989" width="14.140625" style="195" customWidth="1"/>
    <col min="9990" max="9990" width="2.00390625" style="195" customWidth="1"/>
    <col min="9991" max="9991" width="15.8515625" style="195" customWidth="1"/>
    <col min="9992" max="9992" width="3.140625" style="195" customWidth="1"/>
    <col min="9993" max="9993" width="17.8515625" style="195" customWidth="1"/>
    <col min="9994" max="9994" width="2.57421875" style="195" customWidth="1"/>
    <col min="9995" max="9995" width="15.57421875" style="195" customWidth="1"/>
    <col min="9996" max="9996" width="1.8515625" style="195" customWidth="1"/>
    <col min="9997" max="9997" width="14.140625" style="195" customWidth="1"/>
    <col min="9998" max="9998" width="11.00390625" style="195" customWidth="1"/>
    <col min="9999" max="10000" width="25.00390625" style="195" customWidth="1"/>
    <col min="10001" max="10001" width="1.8515625" style="195" customWidth="1"/>
    <col min="10002" max="10002" width="17.8515625" style="195" customWidth="1"/>
    <col min="10003" max="10003" width="1.8515625" style="195" customWidth="1"/>
    <col min="10004" max="10004" width="19.00390625" style="195" customWidth="1"/>
    <col min="10005" max="10005" width="1.8515625" style="195" customWidth="1"/>
    <col min="10006" max="10006" width="16.7109375" style="195" customWidth="1"/>
    <col min="10007" max="10007" width="1.8515625" style="195" customWidth="1"/>
    <col min="10008" max="10008" width="16.7109375" style="195" customWidth="1"/>
    <col min="10009" max="10009" width="1.8515625" style="195" customWidth="1"/>
    <col min="10010" max="10010" width="16.7109375" style="195" customWidth="1"/>
    <col min="10011" max="10011" width="1.8515625" style="195" customWidth="1"/>
    <col min="10012" max="10012" width="16.7109375" style="195" customWidth="1"/>
    <col min="10013" max="10013" width="1.8515625" style="195" customWidth="1"/>
    <col min="10014" max="10014" width="17.8515625" style="195" customWidth="1"/>
    <col min="10015" max="10015" width="5.28125" style="195" customWidth="1"/>
    <col min="10016" max="10016" width="16.7109375" style="195" customWidth="1"/>
    <col min="10017" max="10017" width="5.28125" style="195" customWidth="1"/>
    <col min="10018" max="10018" width="14.421875" style="195" customWidth="1"/>
    <col min="10019" max="10019" width="1.8515625" style="195" customWidth="1"/>
    <col min="10020" max="10020" width="16.7109375" style="195" customWidth="1"/>
    <col min="10021" max="10230" width="11.00390625" style="195" customWidth="1"/>
    <col min="10231" max="10231" width="7.57421875" style="195" customWidth="1"/>
    <col min="10232" max="10232" width="15.57421875" style="195" customWidth="1"/>
    <col min="10233" max="10233" width="20.140625" style="195" customWidth="1"/>
    <col min="10234" max="10234" width="2.28125" style="195" customWidth="1"/>
    <col min="10235" max="10235" width="17.421875" style="195" customWidth="1"/>
    <col min="10236" max="10236" width="1.8515625" style="195" customWidth="1"/>
    <col min="10237" max="10237" width="18.7109375" style="195" customWidth="1"/>
    <col min="10238" max="10238" width="1.8515625" style="195" customWidth="1"/>
    <col min="10239" max="10239" width="23.00390625" style="195" customWidth="1"/>
    <col min="10240" max="10240" width="1.8515625" style="195" customWidth="1"/>
    <col min="10241" max="10241" width="17.421875" style="195" customWidth="1"/>
    <col min="10242" max="10242" width="3.00390625" style="195" customWidth="1"/>
    <col min="10243" max="10243" width="16.28125" style="195" customWidth="1"/>
    <col min="10244" max="10244" width="3.00390625" style="195" customWidth="1"/>
    <col min="10245" max="10245" width="14.140625" style="195" customWidth="1"/>
    <col min="10246" max="10246" width="2.00390625" style="195" customWidth="1"/>
    <col min="10247" max="10247" width="15.8515625" style="195" customWidth="1"/>
    <col min="10248" max="10248" width="3.140625" style="195" customWidth="1"/>
    <col min="10249" max="10249" width="17.8515625" style="195" customWidth="1"/>
    <col min="10250" max="10250" width="2.57421875" style="195" customWidth="1"/>
    <col min="10251" max="10251" width="15.57421875" style="195" customWidth="1"/>
    <col min="10252" max="10252" width="1.8515625" style="195" customWidth="1"/>
    <col min="10253" max="10253" width="14.140625" style="195" customWidth="1"/>
    <col min="10254" max="10254" width="11.00390625" style="195" customWidth="1"/>
    <col min="10255" max="10256" width="25.00390625" style="195" customWidth="1"/>
    <col min="10257" max="10257" width="1.8515625" style="195" customWidth="1"/>
    <col min="10258" max="10258" width="17.8515625" style="195" customWidth="1"/>
    <col min="10259" max="10259" width="1.8515625" style="195" customWidth="1"/>
    <col min="10260" max="10260" width="19.00390625" style="195" customWidth="1"/>
    <col min="10261" max="10261" width="1.8515625" style="195" customWidth="1"/>
    <col min="10262" max="10262" width="16.7109375" style="195" customWidth="1"/>
    <col min="10263" max="10263" width="1.8515625" style="195" customWidth="1"/>
    <col min="10264" max="10264" width="16.7109375" style="195" customWidth="1"/>
    <col min="10265" max="10265" width="1.8515625" style="195" customWidth="1"/>
    <col min="10266" max="10266" width="16.7109375" style="195" customWidth="1"/>
    <col min="10267" max="10267" width="1.8515625" style="195" customWidth="1"/>
    <col min="10268" max="10268" width="16.7109375" style="195" customWidth="1"/>
    <col min="10269" max="10269" width="1.8515625" style="195" customWidth="1"/>
    <col min="10270" max="10270" width="17.8515625" style="195" customWidth="1"/>
    <col min="10271" max="10271" width="5.28125" style="195" customWidth="1"/>
    <col min="10272" max="10272" width="16.7109375" style="195" customWidth="1"/>
    <col min="10273" max="10273" width="5.28125" style="195" customWidth="1"/>
    <col min="10274" max="10274" width="14.421875" style="195" customWidth="1"/>
    <col min="10275" max="10275" width="1.8515625" style="195" customWidth="1"/>
    <col min="10276" max="10276" width="16.7109375" style="195" customWidth="1"/>
    <col min="10277" max="10486" width="11.00390625" style="195" customWidth="1"/>
    <col min="10487" max="10487" width="7.57421875" style="195" customWidth="1"/>
    <col min="10488" max="10488" width="15.57421875" style="195" customWidth="1"/>
    <col min="10489" max="10489" width="20.140625" style="195" customWidth="1"/>
    <col min="10490" max="10490" width="2.28125" style="195" customWidth="1"/>
    <col min="10491" max="10491" width="17.421875" style="195" customWidth="1"/>
    <col min="10492" max="10492" width="1.8515625" style="195" customWidth="1"/>
    <col min="10493" max="10493" width="18.7109375" style="195" customWidth="1"/>
    <col min="10494" max="10494" width="1.8515625" style="195" customWidth="1"/>
    <col min="10495" max="10495" width="23.00390625" style="195" customWidth="1"/>
    <col min="10496" max="10496" width="1.8515625" style="195" customWidth="1"/>
    <col min="10497" max="10497" width="17.421875" style="195" customWidth="1"/>
    <col min="10498" max="10498" width="3.00390625" style="195" customWidth="1"/>
    <col min="10499" max="10499" width="16.28125" style="195" customWidth="1"/>
    <col min="10500" max="10500" width="3.00390625" style="195" customWidth="1"/>
    <col min="10501" max="10501" width="14.140625" style="195" customWidth="1"/>
    <col min="10502" max="10502" width="2.00390625" style="195" customWidth="1"/>
    <col min="10503" max="10503" width="15.8515625" style="195" customWidth="1"/>
    <col min="10504" max="10504" width="3.140625" style="195" customWidth="1"/>
    <col min="10505" max="10505" width="17.8515625" style="195" customWidth="1"/>
    <col min="10506" max="10506" width="2.57421875" style="195" customWidth="1"/>
    <col min="10507" max="10507" width="15.57421875" style="195" customWidth="1"/>
    <col min="10508" max="10508" width="1.8515625" style="195" customWidth="1"/>
    <col min="10509" max="10509" width="14.140625" style="195" customWidth="1"/>
    <col min="10510" max="10510" width="11.00390625" style="195" customWidth="1"/>
    <col min="10511" max="10512" width="25.00390625" style="195" customWidth="1"/>
    <col min="10513" max="10513" width="1.8515625" style="195" customWidth="1"/>
    <col min="10514" max="10514" width="17.8515625" style="195" customWidth="1"/>
    <col min="10515" max="10515" width="1.8515625" style="195" customWidth="1"/>
    <col min="10516" max="10516" width="19.00390625" style="195" customWidth="1"/>
    <col min="10517" max="10517" width="1.8515625" style="195" customWidth="1"/>
    <col min="10518" max="10518" width="16.7109375" style="195" customWidth="1"/>
    <col min="10519" max="10519" width="1.8515625" style="195" customWidth="1"/>
    <col min="10520" max="10520" width="16.7109375" style="195" customWidth="1"/>
    <col min="10521" max="10521" width="1.8515625" style="195" customWidth="1"/>
    <col min="10522" max="10522" width="16.7109375" style="195" customWidth="1"/>
    <col min="10523" max="10523" width="1.8515625" style="195" customWidth="1"/>
    <col min="10524" max="10524" width="16.7109375" style="195" customWidth="1"/>
    <col min="10525" max="10525" width="1.8515625" style="195" customWidth="1"/>
    <col min="10526" max="10526" width="17.8515625" style="195" customWidth="1"/>
    <col min="10527" max="10527" width="5.28125" style="195" customWidth="1"/>
    <col min="10528" max="10528" width="16.7109375" style="195" customWidth="1"/>
    <col min="10529" max="10529" width="5.28125" style="195" customWidth="1"/>
    <col min="10530" max="10530" width="14.421875" style="195" customWidth="1"/>
    <col min="10531" max="10531" width="1.8515625" style="195" customWidth="1"/>
    <col min="10532" max="10532" width="16.7109375" style="195" customWidth="1"/>
    <col min="10533" max="10742" width="11.00390625" style="195" customWidth="1"/>
    <col min="10743" max="10743" width="7.57421875" style="195" customWidth="1"/>
    <col min="10744" max="10744" width="15.57421875" style="195" customWidth="1"/>
    <col min="10745" max="10745" width="20.140625" style="195" customWidth="1"/>
    <col min="10746" max="10746" width="2.28125" style="195" customWidth="1"/>
    <col min="10747" max="10747" width="17.421875" style="195" customWidth="1"/>
    <col min="10748" max="10748" width="1.8515625" style="195" customWidth="1"/>
    <col min="10749" max="10749" width="18.7109375" style="195" customWidth="1"/>
    <col min="10750" max="10750" width="1.8515625" style="195" customWidth="1"/>
    <col min="10751" max="10751" width="23.00390625" style="195" customWidth="1"/>
    <col min="10752" max="10752" width="1.8515625" style="195" customWidth="1"/>
    <col min="10753" max="10753" width="17.421875" style="195" customWidth="1"/>
    <col min="10754" max="10754" width="3.00390625" style="195" customWidth="1"/>
    <col min="10755" max="10755" width="16.28125" style="195" customWidth="1"/>
    <col min="10756" max="10756" width="3.00390625" style="195" customWidth="1"/>
    <col min="10757" max="10757" width="14.140625" style="195" customWidth="1"/>
    <col min="10758" max="10758" width="2.00390625" style="195" customWidth="1"/>
    <col min="10759" max="10759" width="15.8515625" style="195" customWidth="1"/>
    <col min="10760" max="10760" width="3.140625" style="195" customWidth="1"/>
    <col min="10761" max="10761" width="17.8515625" style="195" customWidth="1"/>
    <col min="10762" max="10762" width="2.57421875" style="195" customWidth="1"/>
    <col min="10763" max="10763" width="15.57421875" style="195" customWidth="1"/>
    <col min="10764" max="10764" width="1.8515625" style="195" customWidth="1"/>
    <col min="10765" max="10765" width="14.140625" style="195" customWidth="1"/>
    <col min="10766" max="10766" width="11.00390625" style="195" customWidth="1"/>
    <col min="10767" max="10768" width="25.00390625" style="195" customWidth="1"/>
    <col min="10769" max="10769" width="1.8515625" style="195" customWidth="1"/>
    <col min="10770" max="10770" width="17.8515625" style="195" customWidth="1"/>
    <col min="10771" max="10771" width="1.8515625" style="195" customWidth="1"/>
    <col min="10772" max="10772" width="19.00390625" style="195" customWidth="1"/>
    <col min="10773" max="10773" width="1.8515625" style="195" customWidth="1"/>
    <col min="10774" max="10774" width="16.7109375" style="195" customWidth="1"/>
    <col min="10775" max="10775" width="1.8515625" style="195" customWidth="1"/>
    <col min="10776" max="10776" width="16.7109375" style="195" customWidth="1"/>
    <col min="10777" max="10777" width="1.8515625" style="195" customWidth="1"/>
    <col min="10778" max="10778" width="16.7109375" style="195" customWidth="1"/>
    <col min="10779" max="10779" width="1.8515625" style="195" customWidth="1"/>
    <col min="10780" max="10780" width="16.7109375" style="195" customWidth="1"/>
    <col min="10781" max="10781" width="1.8515625" style="195" customWidth="1"/>
    <col min="10782" max="10782" width="17.8515625" style="195" customWidth="1"/>
    <col min="10783" max="10783" width="5.28125" style="195" customWidth="1"/>
    <col min="10784" max="10784" width="16.7109375" style="195" customWidth="1"/>
    <col min="10785" max="10785" width="5.28125" style="195" customWidth="1"/>
    <col min="10786" max="10786" width="14.421875" style="195" customWidth="1"/>
    <col min="10787" max="10787" width="1.8515625" style="195" customWidth="1"/>
    <col min="10788" max="10788" width="16.7109375" style="195" customWidth="1"/>
    <col min="10789" max="10998" width="11.00390625" style="195" customWidth="1"/>
    <col min="10999" max="10999" width="7.57421875" style="195" customWidth="1"/>
    <col min="11000" max="11000" width="15.57421875" style="195" customWidth="1"/>
    <col min="11001" max="11001" width="20.140625" style="195" customWidth="1"/>
    <col min="11002" max="11002" width="2.28125" style="195" customWidth="1"/>
    <col min="11003" max="11003" width="17.421875" style="195" customWidth="1"/>
    <col min="11004" max="11004" width="1.8515625" style="195" customWidth="1"/>
    <col min="11005" max="11005" width="18.7109375" style="195" customWidth="1"/>
    <col min="11006" max="11006" width="1.8515625" style="195" customWidth="1"/>
    <col min="11007" max="11007" width="23.00390625" style="195" customWidth="1"/>
    <col min="11008" max="11008" width="1.8515625" style="195" customWidth="1"/>
    <col min="11009" max="11009" width="17.421875" style="195" customWidth="1"/>
    <col min="11010" max="11010" width="3.00390625" style="195" customWidth="1"/>
    <col min="11011" max="11011" width="16.28125" style="195" customWidth="1"/>
    <col min="11012" max="11012" width="3.00390625" style="195" customWidth="1"/>
    <col min="11013" max="11013" width="14.140625" style="195" customWidth="1"/>
    <col min="11014" max="11014" width="2.00390625" style="195" customWidth="1"/>
    <col min="11015" max="11015" width="15.8515625" style="195" customWidth="1"/>
    <col min="11016" max="11016" width="3.140625" style="195" customWidth="1"/>
    <col min="11017" max="11017" width="17.8515625" style="195" customWidth="1"/>
    <col min="11018" max="11018" width="2.57421875" style="195" customWidth="1"/>
    <col min="11019" max="11019" width="15.57421875" style="195" customWidth="1"/>
    <col min="11020" max="11020" width="1.8515625" style="195" customWidth="1"/>
    <col min="11021" max="11021" width="14.140625" style="195" customWidth="1"/>
    <col min="11022" max="11022" width="11.00390625" style="195" customWidth="1"/>
    <col min="11023" max="11024" width="25.00390625" style="195" customWidth="1"/>
    <col min="11025" max="11025" width="1.8515625" style="195" customWidth="1"/>
    <col min="11026" max="11026" width="17.8515625" style="195" customWidth="1"/>
    <col min="11027" max="11027" width="1.8515625" style="195" customWidth="1"/>
    <col min="11028" max="11028" width="19.00390625" style="195" customWidth="1"/>
    <col min="11029" max="11029" width="1.8515625" style="195" customWidth="1"/>
    <col min="11030" max="11030" width="16.7109375" style="195" customWidth="1"/>
    <col min="11031" max="11031" width="1.8515625" style="195" customWidth="1"/>
    <col min="11032" max="11032" width="16.7109375" style="195" customWidth="1"/>
    <col min="11033" max="11033" width="1.8515625" style="195" customWidth="1"/>
    <col min="11034" max="11034" width="16.7109375" style="195" customWidth="1"/>
    <col min="11035" max="11035" width="1.8515625" style="195" customWidth="1"/>
    <col min="11036" max="11036" width="16.7109375" style="195" customWidth="1"/>
    <col min="11037" max="11037" width="1.8515625" style="195" customWidth="1"/>
    <col min="11038" max="11038" width="17.8515625" style="195" customWidth="1"/>
    <col min="11039" max="11039" width="5.28125" style="195" customWidth="1"/>
    <col min="11040" max="11040" width="16.7109375" style="195" customWidth="1"/>
    <col min="11041" max="11041" width="5.28125" style="195" customWidth="1"/>
    <col min="11042" max="11042" width="14.421875" style="195" customWidth="1"/>
    <col min="11043" max="11043" width="1.8515625" style="195" customWidth="1"/>
    <col min="11044" max="11044" width="16.7109375" style="195" customWidth="1"/>
    <col min="11045" max="11254" width="11.00390625" style="195" customWidth="1"/>
    <col min="11255" max="11255" width="7.57421875" style="195" customWidth="1"/>
    <col min="11256" max="11256" width="15.57421875" style="195" customWidth="1"/>
    <col min="11257" max="11257" width="20.140625" style="195" customWidth="1"/>
    <col min="11258" max="11258" width="2.28125" style="195" customWidth="1"/>
    <col min="11259" max="11259" width="17.421875" style="195" customWidth="1"/>
    <col min="11260" max="11260" width="1.8515625" style="195" customWidth="1"/>
    <col min="11261" max="11261" width="18.7109375" style="195" customWidth="1"/>
    <col min="11262" max="11262" width="1.8515625" style="195" customWidth="1"/>
    <col min="11263" max="11263" width="23.00390625" style="195" customWidth="1"/>
    <col min="11264" max="11264" width="1.8515625" style="195" customWidth="1"/>
    <col min="11265" max="11265" width="17.421875" style="195" customWidth="1"/>
    <col min="11266" max="11266" width="3.00390625" style="195" customWidth="1"/>
    <col min="11267" max="11267" width="16.28125" style="195" customWidth="1"/>
    <col min="11268" max="11268" width="3.00390625" style="195" customWidth="1"/>
    <col min="11269" max="11269" width="14.140625" style="195" customWidth="1"/>
    <col min="11270" max="11270" width="2.00390625" style="195" customWidth="1"/>
    <col min="11271" max="11271" width="15.8515625" style="195" customWidth="1"/>
    <col min="11272" max="11272" width="3.140625" style="195" customWidth="1"/>
    <col min="11273" max="11273" width="17.8515625" style="195" customWidth="1"/>
    <col min="11274" max="11274" width="2.57421875" style="195" customWidth="1"/>
    <col min="11275" max="11275" width="15.57421875" style="195" customWidth="1"/>
    <col min="11276" max="11276" width="1.8515625" style="195" customWidth="1"/>
    <col min="11277" max="11277" width="14.140625" style="195" customWidth="1"/>
    <col min="11278" max="11278" width="11.00390625" style="195" customWidth="1"/>
    <col min="11279" max="11280" width="25.00390625" style="195" customWidth="1"/>
    <col min="11281" max="11281" width="1.8515625" style="195" customWidth="1"/>
    <col min="11282" max="11282" width="17.8515625" style="195" customWidth="1"/>
    <col min="11283" max="11283" width="1.8515625" style="195" customWidth="1"/>
    <col min="11284" max="11284" width="19.00390625" style="195" customWidth="1"/>
    <col min="11285" max="11285" width="1.8515625" style="195" customWidth="1"/>
    <col min="11286" max="11286" width="16.7109375" style="195" customWidth="1"/>
    <col min="11287" max="11287" width="1.8515625" style="195" customWidth="1"/>
    <col min="11288" max="11288" width="16.7109375" style="195" customWidth="1"/>
    <col min="11289" max="11289" width="1.8515625" style="195" customWidth="1"/>
    <col min="11290" max="11290" width="16.7109375" style="195" customWidth="1"/>
    <col min="11291" max="11291" width="1.8515625" style="195" customWidth="1"/>
    <col min="11292" max="11292" width="16.7109375" style="195" customWidth="1"/>
    <col min="11293" max="11293" width="1.8515625" style="195" customWidth="1"/>
    <col min="11294" max="11294" width="17.8515625" style="195" customWidth="1"/>
    <col min="11295" max="11295" width="5.28125" style="195" customWidth="1"/>
    <col min="11296" max="11296" width="16.7109375" style="195" customWidth="1"/>
    <col min="11297" max="11297" width="5.28125" style="195" customWidth="1"/>
    <col min="11298" max="11298" width="14.421875" style="195" customWidth="1"/>
    <col min="11299" max="11299" width="1.8515625" style="195" customWidth="1"/>
    <col min="11300" max="11300" width="16.7109375" style="195" customWidth="1"/>
    <col min="11301" max="11510" width="11.00390625" style="195" customWidth="1"/>
    <col min="11511" max="11511" width="7.57421875" style="195" customWidth="1"/>
    <col min="11512" max="11512" width="15.57421875" style="195" customWidth="1"/>
    <col min="11513" max="11513" width="20.140625" style="195" customWidth="1"/>
    <col min="11514" max="11514" width="2.28125" style="195" customWidth="1"/>
    <col min="11515" max="11515" width="17.421875" style="195" customWidth="1"/>
    <col min="11516" max="11516" width="1.8515625" style="195" customWidth="1"/>
    <col min="11517" max="11517" width="18.7109375" style="195" customWidth="1"/>
    <col min="11518" max="11518" width="1.8515625" style="195" customWidth="1"/>
    <col min="11519" max="11519" width="23.00390625" style="195" customWidth="1"/>
    <col min="11520" max="11520" width="1.8515625" style="195" customWidth="1"/>
    <col min="11521" max="11521" width="17.421875" style="195" customWidth="1"/>
    <col min="11522" max="11522" width="3.00390625" style="195" customWidth="1"/>
    <col min="11523" max="11523" width="16.28125" style="195" customWidth="1"/>
    <col min="11524" max="11524" width="3.00390625" style="195" customWidth="1"/>
    <col min="11525" max="11525" width="14.140625" style="195" customWidth="1"/>
    <col min="11526" max="11526" width="2.00390625" style="195" customWidth="1"/>
    <col min="11527" max="11527" width="15.8515625" style="195" customWidth="1"/>
    <col min="11528" max="11528" width="3.140625" style="195" customWidth="1"/>
    <col min="11529" max="11529" width="17.8515625" style="195" customWidth="1"/>
    <col min="11530" max="11530" width="2.57421875" style="195" customWidth="1"/>
    <col min="11531" max="11531" width="15.57421875" style="195" customWidth="1"/>
    <col min="11532" max="11532" width="1.8515625" style="195" customWidth="1"/>
    <col min="11533" max="11533" width="14.140625" style="195" customWidth="1"/>
    <col min="11534" max="11534" width="11.00390625" style="195" customWidth="1"/>
    <col min="11535" max="11536" width="25.00390625" style="195" customWidth="1"/>
    <col min="11537" max="11537" width="1.8515625" style="195" customWidth="1"/>
    <col min="11538" max="11538" width="17.8515625" style="195" customWidth="1"/>
    <col min="11539" max="11539" width="1.8515625" style="195" customWidth="1"/>
    <col min="11540" max="11540" width="19.00390625" style="195" customWidth="1"/>
    <col min="11541" max="11541" width="1.8515625" style="195" customWidth="1"/>
    <col min="11542" max="11542" width="16.7109375" style="195" customWidth="1"/>
    <col min="11543" max="11543" width="1.8515625" style="195" customWidth="1"/>
    <col min="11544" max="11544" width="16.7109375" style="195" customWidth="1"/>
    <col min="11545" max="11545" width="1.8515625" style="195" customWidth="1"/>
    <col min="11546" max="11546" width="16.7109375" style="195" customWidth="1"/>
    <col min="11547" max="11547" width="1.8515625" style="195" customWidth="1"/>
    <col min="11548" max="11548" width="16.7109375" style="195" customWidth="1"/>
    <col min="11549" max="11549" width="1.8515625" style="195" customWidth="1"/>
    <col min="11550" max="11550" width="17.8515625" style="195" customWidth="1"/>
    <col min="11551" max="11551" width="5.28125" style="195" customWidth="1"/>
    <col min="11552" max="11552" width="16.7109375" style="195" customWidth="1"/>
    <col min="11553" max="11553" width="5.28125" style="195" customWidth="1"/>
    <col min="11554" max="11554" width="14.421875" style="195" customWidth="1"/>
    <col min="11555" max="11555" width="1.8515625" style="195" customWidth="1"/>
    <col min="11556" max="11556" width="16.7109375" style="195" customWidth="1"/>
    <col min="11557" max="11766" width="11.00390625" style="195" customWidth="1"/>
    <col min="11767" max="11767" width="7.57421875" style="195" customWidth="1"/>
    <col min="11768" max="11768" width="15.57421875" style="195" customWidth="1"/>
    <col min="11769" max="11769" width="20.140625" style="195" customWidth="1"/>
    <col min="11770" max="11770" width="2.28125" style="195" customWidth="1"/>
    <col min="11771" max="11771" width="17.421875" style="195" customWidth="1"/>
    <col min="11772" max="11772" width="1.8515625" style="195" customWidth="1"/>
    <col min="11773" max="11773" width="18.7109375" style="195" customWidth="1"/>
    <col min="11774" max="11774" width="1.8515625" style="195" customWidth="1"/>
    <col min="11775" max="11775" width="23.00390625" style="195" customWidth="1"/>
    <col min="11776" max="11776" width="1.8515625" style="195" customWidth="1"/>
    <col min="11777" max="11777" width="17.421875" style="195" customWidth="1"/>
    <col min="11778" max="11778" width="3.00390625" style="195" customWidth="1"/>
    <col min="11779" max="11779" width="16.28125" style="195" customWidth="1"/>
    <col min="11780" max="11780" width="3.00390625" style="195" customWidth="1"/>
    <col min="11781" max="11781" width="14.140625" style="195" customWidth="1"/>
    <col min="11782" max="11782" width="2.00390625" style="195" customWidth="1"/>
    <col min="11783" max="11783" width="15.8515625" style="195" customWidth="1"/>
    <col min="11784" max="11784" width="3.140625" style="195" customWidth="1"/>
    <col min="11785" max="11785" width="17.8515625" style="195" customWidth="1"/>
    <col min="11786" max="11786" width="2.57421875" style="195" customWidth="1"/>
    <col min="11787" max="11787" width="15.57421875" style="195" customWidth="1"/>
    <col min="11788" max="11788" width="1.8515625" style="195" customWidth="1"/>
    <col min="11789" max="11789" width="14.140625" style="195" customWidth="1"/>
    <col min="11790" max="11790" width="11.00390625" style="195" customWidth="1"/>
    <col min="11791" max="11792" width="25.00390625" style="195" customWidth="1"/>
    <col min="11793" max="11793" width="1.8515625" style="195" customWidth="1"/>
    <col min="11794" max="11794" width="17.8515625" style="195" customWidth="1"/>
    <col min="11795" max="11795" width="1.8515625" style="195" customWidth="1"/>
    <col min="11796" max="11796" width="19.00390625" style="195" customWidth="1"/>
    <col min="11797" max="11797" width="1.8515625" style="195" customWidth="1"/>
    <col min="11798" max="11798" width="16.7109375" style="195" customWidth="1"/>
    <col min="11799" max="11799" width="1.8515625" style="195" customWidth="1"/>
    <col min="11800" max="11800" width="16.7109375" style="195" customWidth="1"/>
    <col min="11801" max="11801" width="1.8515625" style="195" customWidth="1"/>
    <col min="11802" max="11802" width="16.7109375" style="195" customWidth="1"/>
    <col min="11803" max="11803" width="1.8515625" style="195" customWidth="1"/>
    <col min="11804" max="11804" width="16.7109375" style="195" customWidth="1"/>
    <col min="11805" max="11805" width="1.8515625" style="195" customWidth="1"/>
    <col min="11806" max="11806" width="17.8515625" style="195" customWidth="1"/>
    <col min="11807" max="11807" width="5.28125" style="195" customWidth="1"/>
    <col min="11808" max="11808" width="16.7109375" style="195" customWidth="1"/>
    <col min="11809" max="11809" width="5.28125" style="195" customWidth="1"/>
    <col min="11810" max="11810" width="14.421875" style="195" customWidth="1"/>
    <col min="11811" max="11811" width="1.8515625" style="195" customWidth="1"/>
    <col min="11812" max="11812" width="16.7109375" style="195" customWidth="1"/>
    <col min="11813" max="12022" width="11.00390625" style="195" customWidth="1"/>
    <col min="12023" max="12023" width="7.57421875" style="195" customWidth="1"/>
    <col min="12024" max="12024" width="15.57421875" style="195" customWidth="1"/>
    <col min="12025" max="12025" width="20.140625" style="195" customWidth="1"/>
    <col min="12026" max="12026" width="2.28125" style="195" customWidth="1"/>
    <col min="12027" max="12027" width="17.421875" style="195" customWidth="1"/>
    <col min="12028" max="12028" width="1.8515625" style="195" customWidth="1"/>
    <col min="12029" max="12029" width="18.7109375" style="195" customWidth="1"/>
    <col min="12030" max="12030" width="1.8515625" style="195" customWidth="1"/>
    <col min="12031" max="12031" width="23.00390625" style="195" customWidth="1"/>
    <col min="12032" max="12032" width="1.8515625" style="195" customWidth="1"/>
    <col min="12033" max="12033" width="17.421875" style="195" customWidth="1"/>
    <col min="12034" max="12034" width="3.00390625" style="195" customWidth="1"/>
    <col min="12035" max="12035" width="16.28125" style="195" customWidth="1"/>
    <col min="12036" max="12036" width="3.00390625" style="195" customWidth="1"/>
    <col min="12037" max="12037" width="14.140625" style="195" customWidth="1"/>
    <col min="12038" max="12038" width="2.00390625" style="195" customWidth="1"/>
    <col min="12039" max="12039" width="15.8515625" style="195" customWidth="1"/>
    <col min="12040" max="12040" width="3.140625" style="195" customWidth="1"/>
    <col min="12041" max="12041" width="17.8515625" style="195" customWidth="1"/>
    <col min="12042" max="12042" width="2.57421875" style="195" customWidth="1"/>
    <col min="12043" max="12043" width="15.57421875" style="195" customWidth="1"/>
    <col min="12044" max="12044" width="1.8515625" style="195" customWidth="1"/>
    <col min="12045" max="12045" width="14.140625" style="195" customWidth="1"/>
    <col min="12046" max="12046" width="11.00390625" style="195" customWidth="1"/>
    <col min="12047" max="12048" width="25.00390625" style="195" customWidth="1"/>
    <col min="12049" max="12049" width="1.8515625" style="195" customWidth="1"/>
    <col min="12050" max="12050" width="17.8515625" style="195" customWidth="1"/>
    <col min="12051" max="12051" width="1.8515625" style="195" customWidth="1"/>
    <col min="12052" max="12052" width="19.00390625" style="195" customWidth="1"/>
    <col min="12053" max="12053" width="1.8515625" style="195" customWidth="1"/>
    <col min="12054" max="12054" width="16.7109375" style="195" customWidth="1"/>
    <col min="12055" max="12055" width="1.8515625" style="195" customWidth="1"/>
    <col min="12056" max="12056" width="16.7109375" style="195" customWidth="1"/>
    <col min="12057" max="12057" width="1.8515625" style="195" customWidth="1"/>
    <col min="12058" max="12058" width="16.7109375" style="195" customWidth="1"/>
    <col min="12059" max="12059" width="1.8515625" style="195" customWidth="1"/>
    <col min="12060" max="12060" width="16.7109375" style="195" customWidth="1"/>
    <col min="12061" max="12061" width="1.8515625" style="195" customWidth="1"/>
    <col min="12062" max="12062" width="17.8515625" style="195" customWidth="1"/>
    <col min="12063" max="12063" width="5.28125" style="195" customWidth="1"/>
    <col min="12064" max="12064" width="16.7109375" style="195" customWidth="1"/>
    <col min="12065" max="12065" width="5.28125" style="195" customWidth="1"/>
    <col min="12066" max="12066" width="14.421875" style="195" customWidth="1"/>
    <col min="12067" max="12067" width="1.8515625" style="195" customWidth="1"/>
    <col min="12068" max="12068" width="16.7109375" style="195" customWidth="1"/>
    <col min="12069" max="12278" width="11.00390625" style="195" customWidth="1"/>
    <col min="12279" max="12279" width="7.57421875" style="195" customWidth="1"/>
    <col min="12280" max="12280" width="15.57421875" style="195" customWidth="1"/>
    <col min="12281" max="12281" width="20.140625" style="195" customWidth="1"/>
    <col min="12282" max="12282" width="2.28125" style="195" customWidth="1"/>
    <col min="12283" max="12283" width="17.421875" style="195" customWidth="1"/>
    <col min="12284" max="12284" width="1.8515625" style="195" customWidth="1"/>
    <col min="12285" max="12285" width="18.7109375" style="195" customWidth="1"/>
    <col min="12286" max="12286" width="1.8515625" style="195" customWidth="1"/>
    <col min="12287" max="12287" width="23.00390625" style="195" customWidth="1"/>
    <col min="12288" max="12288" width="1.8515625" style="195" customWidth="1"/>
    <col min="12289" max="12289" width="17.421875" style="195" customWidth="1"/>
    <col min="12290" max="12290" width="3.00390625" style="195" customWidth="1"/>
    <col min="12291" max="12291" width="16.28125" style="195" customWidth="1"/>
    <col min="12292" max="12292" width="3.00390625" style="195" customWidth="1"/>
    <col min="12293" max="12293" width="14.140625" style="195" customWidth="1"/>
    <col min="12294" max="12294" width="2.00390625" style="195" customWidth="1"/>
    <col min="12295" max="12295" width="15.8515625" style="195" customWidth="1"/>
    <col min="12296" max="12296" width="3.140625" style="195" customWidth="1"/>
    <col min="12297" max="12297" width="17.8515625" style="195" customWidth="1"/>
    <col min="12298" max="12298" width="2.57421875" style="195" customWidth="1"/>
    <col min="12299" max="12299" width="15.57421875" style="195" customWidth="1"/>
    <col min="12300" max="12300" width="1.8515625" style="195" customWidth="1"/>
    <col min="12301" max="12301" width="14.140625" style="195" customWidth="1"/>
    <col min="12302" max="12302" width="11.00390625" style="195" customWidth="1"/>
    <col min="12303" max="12304" width="25.00390625" style="195" customWidth="1"/>
    <col min="12305" max="12305" width="1.8515625" style="195" customWidth="1"/>
    <col min="12306" max="12306" width="17.8515625" style="195" customWidth="1"/>
    <col min="12307" max="12307" width="1.8515625" style="195" customWidth="1"/>
    <col min="12308" max="12308" width="19.00390625" style="195" customWidth="1"/>
    <col min="12309" max="12309" width="1.8515625" style="195" customWidth="1"/>
    <col min="12310" max="12310" width="16.7109375" style="195" customWidth="1"/>
    <col min="12311" max="12311" width="1.8515625" style="195" customWidth="1"/>
    <col min="12312" max="12312" width="16.7109375" style="195" customWidth="1"/>
    <col min="12313" max="12313" width="1.8515625" style="195" customWidth="1"/>
    <col min="12314" max="12314" width="16.7109375" style="195" customWidth="1"/>
    <col min="12315" max="12315" width="1.8515625" style="195" customWidth="1"/>
    <col min="12316" max="12316" width="16.7109375" style="195" customWidth="1"/>
    <col min="12317" max="12317" width="1.8515625" style="195" customWidth="1"/>
    <col min="12318" max="12318" width="17.8515625" style="195" customWidth="1"/>
    <col min="12319" max="12319" width="5.28125" style="195" customWidth="1"/>
    <col min="12320" max="12320" width="16.7109375" style="195" customWidth="1"/>
    <col min="12321" max="12321" width="5.28125" style="195" customWidth="1"/>
    <col min="12322" max="12322" width="14.421875" style="195" customWidth="1"/>
    <col min="12323" max="12323" width="1.8515625" style="195" customWidth="1"/>
    <col min="12324" max="12324" width="16.7109375" style="195" customWidth="1"/>
    <col min="12325" max="12534" width="11.00390625" style="195" customWidth="1"/>
    <col min="12535" max="12535" width="7.57421875" style="195" customWidth="1"/>
    <col min="12536" max="12536" width="15.57421875" style="195" customWidth="1"/>
    <col min="12537" max="12537" width="20.140625" style="195" customWidth="1"/>
    <col min="12538" max="12538" width="2.28125" style="195" customWidth="1"/>
    <col min="12539" max="12539" width="17.421875" style="195" customWidth="1"/>
    <col min="12540" max="12540" width="1.8515625" style="195" customWidth="1"/>
    <col min="12541" max="12541" width="18.7109375" style="195" customWidth="1"/>
    <col min="12542" max="12542" width="1.8515625" style="195" customWidth="1"/>
    <col min="12543" max="12543" width="23.00390625" style="195" customWidth="1"/>
    <col min="12544" max="12544" width="1.8515625" style="195" customWidth="1"/>
    <col min="12545" max="12545" width="17.421875" style="195" customWidth="1"/>
    <col min="12546" max="12546" width="3.00390625" style="195" customWidth="1"/>
    <col min="12547" max="12547" width="16.28125" style="195" customWidth="1"/>
    <col min="12548" max="12548" width="3.00390625" style="195" customWidth="1"/>
    <col min="12549" max="12549" width="14.140625" style="195" customWidth="1"/>
    <col min="12550" max="12550" width="2.00390625" style="195" customWidth="1"/>
    <col min="12551" max="12551" width="15.8515625" style="195" customWidth="1"/>
    <col min="12552" max="12552" width="3.140625" style="195" customWidth="1"/>
    <col min="12553" max="12553" width="17.8515625" style="195" customWidth="1"/>
    <col min="12554" max="12554" width="2.57421875" style="195" customWidth="1"/>
    <col min="12555" max="12555" width="15.57421875" style="195" customWidth="1"/>
    <col min="12556" max="12556" width="1.8515625" style="195" customWidth="1"/>
    <col min="12557" max="12557" width="14.140625" style="195" customWidth="1"/>
    <col min="12558" max="12558" width="11.00390625" style="195" customWidth="1"/>
    <col min="12559" max="12560" width="25.00390625" style="195" customWidth="1"/>
    <col min="12561" max="12561" width="1.8515625" style="195" customWidth="1"/>
    <col min="12562" max="12562" width="17.8515625" style="195" customWidth="1"/>
    <col min="12563" max="12563" width="1.8515625" style="195" customWidth="1"/>
    <col min="12564" max="12564" width="19.00390625" style="195" customWidth="1"/>
    <col min="12565" max="12565" width="1.8515625" style="195" customWidth="1"/>
    <col min="12566" max="12566" width="16.7109375" style="195" customWidth="1"/>
    <col min="12567" max="12567" width="1.8515625" style="195" customWidth="1"/>
    <col min="12568" max="12568" width="16.7109375" style="195" customWidth="1"/>
    <col min="12569" max="12569" width="1.8515625" style="195" customWidth="1"/>
    <col min="12570" max="12570" width="16.7109375" style="195" customWidth="1"/>
    <col min="12571" max="12571" width="1.8515625" style="195" customWidth="1"/>
    <col min="12572" max="12572" width="16.7109375" style="195" customWidth="1"/>
    <col min="12573" max="12573" width="1.8515625" style="195" customWidth="1"/>
    <col min="12574" max="12574" width="17.8515625" style="195" customWidth="1"/>
    <col min="12575" max="12575" width="5.28125" style="195" customWidth="1"/>
    <col min="12576" max="12576" width="16.7109375" style="195" customWidth="1"/>
    <col min="12577" max="12577" width="5.28125" style="195" customWidth="1"/>
    <col min="12578" max="12578" width="14.421875" style="195" customWidth="1"/>
    <col min="12579" max="12579" width="1.8515625" style="195" customWidth="1"/>
    <col min="12580" max="12580" width="16.7109375" style="195" customWidth="1"/>
    <col min="12581" max="12790" width="11.00390625" style="195" customWidth="1"/>
    <col min="12791" max="12791" width="7.57421875" style="195" customWidth="1"/>
    <col min="12792" max="12792" width="15.57421875" style="195" customWidth="1"/>
    <col min="12793" max="12793" width="20.140625" style="195" customWidth="1"/>
    <col min="12794" max="12794" width="2.28125" style="195" customWidth="1"/>
    <col min="12795" max="12795" width="17.421875" style="195" customWidth="1"/>
    <col min="12796" max="12796" width="1.8515625" style="195" customWidth="1"/>
    <col min="12797" max="12797" width="18.7109375" style="195" customWidth="1"/>
    <col min="12798" max="12798" width="1.8515625" style="195" customWidth="1"/>
    <col min="12799" max="12799" width="23.00390625" style="195" customWidth="1"/>
    <col min="12800" max="12800" width="1.8515625" style="195" customWidth="1"/>
    <col min="12801" max="12801" width="17.421875" style="195" customWidth="1"/>
    <col min="12802" max="12802" width="3.00390625" style="195" customWidth="1"/>
    <col min="12803" max="12803" width="16.28125" style="195" customWidth="1"/>
    <col min="12804" max="12804" width="3.00390625" style="195" customWidth="1"/>
    <col min="12805" max="12805" width="14.140625" style="195" customWidth="1"/>
    <col min="12806" max="12806" width="2.00390625" style="195" customWidth="1"/>
    <col min="12807" max="12807" width="15.8515625" style="195" customWidth="1"/>
    <col min="12808" max="12808" width="3.140625" style="195" customWidth="1"/>
    <col min="12809" max="12809" width="17.8515625" style="195" customWidth="1"/>
    <col min="12810" max="12810" width="2.57421875" style="195" customWidth="1"/>
    <col min="12811" max="12811" width="15.57421875" style="195" customWidth="1"/>
    <col min="12812" max="12812" width="1.8515625" style="195" customWidth="1"/>
    <col min="12813" max="12813" width="14.140625" style="195" customWidth="1"/>
    <col min="12814" max="12814" width="11.00390625" style="195" customWidth="1"/>
    <col min="12815" max="12816" width="25.00390625" style="195" customWidth="1"/>
    <col min="12817" max="12817" width="1.8515625" style="195" customWidth="1"/>
    <col min="12818" max="12818" width="17.8515625" style="195" customWidth="1"/>
    <col min="12819" max="12819" width="1.8515625" style="195" customWidth="1"/>
    <col min="12820" max="12820" width="19.00390625" style="195" customWidth="1"/>
    <col min="12821" max="12821" width="1.8515625" style="195" customWidth="1"/>
    <col min="12822" max="12822" width="16.7109375" style="195" customWidth="1"/>
    <col min="12823" max="12823" width="1.8515625" style="195" customWidth="1"/>
    <col min="12824" max="12824" width="16.7109375" style="195" customWidth="1"/>
    <col min="12825" max="12825" width="1.8515625" style="195" customWidth="1"/>
    <col min="12826" max="12826" width="16.7109375" style="195" customWidth="1"/>
    <col min="12827" max="12827" width="1.8515625" style="195" customWidth="1"/>
    <col min="12828" max="12828" width="16.7109375" style="195" customWidth="1"/>
    <col min="12829" max="12829" width="1.8515625" style="195" customWidth="1"/>
    <col min="12830" max="12830" width="17.8515625" style="195" customWidth="1"/>
    <col min="12831" max="12831" width="5.28125" style="195" customWidth="1"/>
    <col min="12832" max="12832" width="16.7109375" style="195" customWidth="1"/>
    <col min="12833" max="12833" width="5.28125" style="195" customWidth="1"/>
    <col min="12834" max="12834" width="14.421875" style="195" customWidth="1"/>
    <col min="12835" max="12835" width="1.8515625" style="195" customWidth="1"/>
    <col min="12836" max="12836" width="16.7109375" style="195" customWidth="1"/>
    <col min="12837" max="13046" width="11.00390625" style="195" customWidth="1"/>
    <col min="13047" max="13047" width="7.57421875" style="195" customWidth="1"/>
    <col min="13048" max="13048" width="15.57421875" style="195" customWidth="1"/>
    <col min="13049" max="13049" width="20.140625" style="195" customWidth="1"/>
    <col min="13050" max="13050" width="2.28125" style="195" customWidth="1"/>
    <col min="13051" max="13051" width="17.421875" style="195" customWidth="1"/>
    <col min="13052" max="13052" width="1.8515625" style="195" customWidth="1"/>
    <col min="13053" max="13053" width="18.7109375" style="195" customWidth="1"/>
    <col min="13054" max="13054" width="1.8515625" style="195" customWidth="1"/>
    <col min="13055" max="13055" width="23.00390625" style="195" customWidth="1"/>
    <col min="13056" max="13056" width="1.8515625" style="195" customWidth="1"/>
    <col min="13057" max="13057" width="17.421875" style="195" customWidth="1"/>
    <col min="13058" max="13058" width="3.00390625" style="195" customWidth="1"/>
    <col min="13059" max="13059" width="16.28125" style="195" customWidth="1"/>
    <col min="13060" max="13060" width="3.00390625" style="195" customWidth="1"/>
    <col min="13061" max="13061" width="14.140625" style="195" customWidth="1"/>
    <col min="13062" max="13062" width="2.00390625" style="195" customWidth="1"/>
    <col min="13063" max="13063" width="15.8515625" style="195" customWidth="1"/>
    <col min="13064" max="13064" width="3.140625" style="195" customWidth="1"/>
    <col min="13065" max="13065" width="17.8515625" style="195" customWidth="1"/>
    <col min="13066" max="13066" width="2.57421875" style="195" customWidth="1"/>
    <col min="13067" max="13067" width="15.57421875" style="195" customWidth="1"/>
    <col min="13068" max="13068" width="1.8515625" style="195" customWidth="1"/>
    <col min="13069" max="13069" width="14.140625" style="195" customWidth="1"/>
    <col min="13070" max="13070" width="11.00390625" style="195" customWidth="1"/>
    <col min="13071" max="13072" width="25.00390625" style="195" customWidth="1"/>
    <col min="13073" max="13073" width="1.8515625" style="195" customWidth="1"/>
    <col min="13074" max="13074" width="17.8515625" style="195" customWidth="1"/>
    <col min="13075" max="13075" width="1.8515625" style="195" customWidth="1"/>
    <col min="13076" max="13076" width="19.00390625" style="195" customWidth="1"/>
    <col min="13077" max="13077" width="1.8515625" style="195" customWidth="1"/>
    <col min="13078" max="13078" width="16.7109375" style="195" customWidth="1"/>
    <col min="13079" max="13079" width="1.8515625" style="195" customWidth="1"/>
    <col min="13080" max="13080" width="16.7109375" style="195" customWidth="1"/>
    <col min="13081" max="13081" width="1.8515625" style="195" customWidth="1"/>
    <col min="13082" max="13082" width="16.7109375" style="195" customWidth="1"/>
    <col min="13083" max="13083" width="1.8515625" style="195" customWidth="1"/>
    <col min="13084" max="13084" width="16.7109375" style="195" customWidth="1"/>
    <col min="13085" max="13085" width="1.8515625" style="195" customWidth="1"/>
    <col min="13086" max="13086" width="17.8515625" style="195" customWidth="1"/>
    <col min="13087" max="13087" width="5.28125" style="195" customWidth="1"/>
    <col min="13088" max="13088" width="16.7109375" style="195" customWidth="1"/>
    <col min="13089" max="13089" width="5.28125" style="195" customWidth="1"/>
    <col min="13090" max="13090" width="14.421875" style="195" customWidth="1"/>
    <col min="13091" max="13091" width="1.8515625" style="195" customWidth="1"/>
    <col min="13092" max="13092" width="16.7109375" style="195" customWidth="1"/>
    <col min="13093" max="13302" width="11.00390625" style="195" customWidth="1"/>
    <col min="13303" max="13303" width="7.57421875" style="195" customWidth="1"/>
    <col min="13304" max="13304" width="15.57421875" style="195" customWidth="1"/>
    <col min="13305" max="13305" width="20.140625" style="195" customWidth="1"/>
    <col min="13306" max="13306" width="2.28125" style="195" customWidth="1"/>
    <col min="13307" max="13307" width="17.421875" style="195" customWidth="1"/>
    <col min="13308" max="13308" width="1.8515625" style="195" customWidth="1"/>
    <col min="13309" max="13309" width="18.7109375" style="195" customWidth="1"/>
    <col min="13310" max="13310" width="1.8515625" style="195" customWidth="1"/>
    <col min="13311" max="13311" width="23.00390625" style="195" customWidth="1"/>
    <col min="13312" max="13312" width="1.8515625" style="195" customWidth="1"/>
    <col min="13313" max="13313" width="17.421875" style="195" customWidth="1"/>
    <col min="13314" max="13314" width="3.00390625" style="195" customWidth="1"/>
    <col min="13315" max="13315" width="16.28125" style="195" customWidth="1"/>
    <col min="13316" max="13316" width="3.00390625" style="195" customWidth="1"/>
    <col min="13317" max="13317" width="14.140625" style="195" customWidth="1"/>
    <col min="13318" max="13318" width="2.00390625" style="195" customWidth="1"/>
    <col min="13319" max="13319" width="15.8515625" style="195" customWidth="1"/>
    <col min="13320" max="13320" width="3.140625" style="195" customWidth="1"/>
    <col min="13321" max="13321" width="17.8515625" style="195" customWidth="1"/>
    <col min="13322" max="13322" width="2.57421875" style="195" customWidth="1"/>
    <col min="13323" max="13323" width="15.57421875" style="195" customWidth="1"/>
    <col min="13324" max="13324" width="1.8515625" style="195" customWidth="1"/>
    <col min="13325" max="13325" width="14.140625" style="195" customWidth="1"/>
    <col min="13326" max="13326" width="11.00390625" style="195" customWidth="1"/>
    <col min="13327" max="13328" width="25.00390625" style="195" customWidth="1"/>
    <col min="13329" max="13329" width="1.8515625" style="195" customWidth="1"/>
    <col min="13330" max="13330" width="17.8515625" style="195" customWidth="1"/>
    <col min="13331" max="13331" width="1.8515625" style="195" customWidth="1"/>
    <col min="13332" max="13332" width="19.00390625" style="195" customWidth="1"/>
    <col min="13333" max="13333" width="1.8515625" style="195" customWidth="1"/>
    <col min="13334" max="13334" width="16.7109375" style="195" customWidth="1"/>
    <col min="13335" max="13335" width="1.8515625" style="195" customWidth="1"/>
    <col min="13336" max="13336" width="16.7109375" style="195" customWidth="1"/>
    <col min="13337" max="13337" width="1.8515625" style="195" customWidth="1"/>
    <col min="13338" max="13338" width="16.7109375" style="195" customWidth="1"/>
    <col min="13339" max="13339" width="1.8515625" style="195" customWidth="1"/>
    <col min="13340" max="13340" width="16.7109375" style="195" customWidth="1"/>
    <col min="13341" max="13341" width="1.8515625" style="195" customWidth="1"/>
    <col min="13342" max="13342" width="17.8515625" style="195" customWidth="1"/>
    <col min="13343" max="13343" width="5.28125" style="195" customWidth="1"/>
    <col min="13344" max="13344" width="16.7109375" style="195" customWidth="1"/>
    <col min="13345" max="13345" width="5.28125" style="195" customWidth="1"/>
    <col min="13346" max="13346" width="14.421875" style="195" customWidth="1"/>
    <col min="13347" max="13347" width="1.8515625" style="195" customWidth="1"/>
    <col min="13348" max="13348" width="16.7109375" style="195" customWidth="1"/>
    <col min="13349" max="13558" width="11.00390625" style="195" customWidth="1"/>
    <col min="13559" max="13559" width="7.57421875" style="195" customWidth="1"/>
    <col min="13560" max="13560" width="15.57421875" style="195" customWidth="1"/>
    <col min="13561" max="13561" width="20.140625" style="195" customWidth="1"/>
    <col min="13562" max="13562" width="2.28125" style="195" customWidth="1"/>
    <col min="13563" max="13563" width="17.421875" style="195" customWidth="1"/>
    <col min="13564" max="13564" width="1.8515625" style="195" customWidth="1"/>
    <col min="13565" max="13565" width="18.7109375" style="195" customWidth="1"/>
    <col min="13566" max="13566" width="1.8515625" style="195" customWidth="1"/>
    <col min="13567" max="13567" width="23.00390625" style="195" customWidth="1"/>
    <col min="13568" max="13568" width="1.8515625" style="195" customWidth="1"/>
    <col min="13569" max="13569" width="17.421875" style="195" customWidth="1"/>
    <col min="13570" max="13570" width="3.00390625" style="195" customWidth="1"/>
    <col min="13571" max="13571" width="16.28125" style="195" customWidth="1"/>
    <col min="13572" max="13572" width="3.00390625" style="195" customWidth="1"/>
    <col min="13573" max="13573" width="14.140625" style="195" customWidth="1"/>
    <col min="13574" max="13574" width="2.00390625" style="195" customWidth="1"/>
    <col min="13575" max="13575" width="15.8515625" style="195" customWidth="1"/>
    <col min="13576" max="13576" width="3.140625" style="195" customWidth="1"/>
    <col min="13577" max="13577" width="17.8515625" style="195" customWidth="1"/>
    <col min="13578" max="13578" width="2.57421875" style="195" customWidth="1"/>
    <col min="13579" max="13579" width="15.57421875" style="195" customWidth="1"/>
    <col min="13580" max="13580" width="1.8515625" style="195" customWidth="1"/>
    <col min="13581" max="13581" width="14.140625" style="195" customWidth="1"/>
    <col min="13582" max="13582" width="11.00390625" style="195" customWidth="1"/>
    <col min="13583" max="13584" width="25.00390625" style="195" customWidth="1"/>
    <col min="13585" max="13585" width="1.8515625" style="195" customWidth="1"/>
    <col min="13586" max="13586" width="17.8515625" style="195" customWidth="1"/>
    <col min="13587" max="13587" width="1.8515625" style="195" customWidth="1"/>
    <col min="13588" max="13588" width="19.00390625" style="195" customWidth="1"/>
    <col min="13589" max="13589" width="1.8515625" style="195" customWidth="1"/>
    <col min="13590" max="13590" width="16.7109375" style="195" customWidth="1"/>
    <col min="13591" max="13591" width="1.8515625" style="195" customWidth="1"/>
    <col min="13592" max="13592" width="16.7109375" style="195" customWidth="1"/>
    <col min="13593" max="13593" width="1.8515625" style="195" customWidth="1"/>
    <col min="13594" max="13594" width="16.7109375" style="195" customWidth="1"/>
    <col min="13595" max="13595" width="1.8515625" style="195" customWidth="1"/>
    <col min="13596" max="13596" width="16.7109375" style="195" customWidth="1"/>
    <col min="13597" max="13597" width="1.8515625" style="195" customWidth="1"/>
    <col min="13598" max="13598" width="17.8515625" style="195" customWidth="1"/>
    <col min="13599" max="13599" width="5.28125" style="195" customWidth="1"/>
    <col min="13600" max="13600" width="16.7109375" style="195" customWidth="1"/>
    <col min="13601" max="13601" width="5.28125" style="195" customWidth="1"/>
    <col min="13602" max="13602" width="14.421875" style="195" customWidth="1"/>
    <col min="13603" max="13603" width="1.8515625" style="195" customWidth="1"/>
    <col min="13604" max="13604" width="16.7109375" style="195" customWidth="1"/>
    <col min="13605" max="13814" width="11.00390625" style="195" customWidth="1"/>
    <col min="13815" max="13815" width="7.57421875" style="195" customWidth="1"/>
    <col min="13816" max="13816" width="15.57421875" style="195" customWidth="1"/>
    <col min="13817" max="13817" width="20.140625" style="195" customWidth="1"/>
    <col min="13818" max="13818" width="2.28125" style="195" customWidth="1"/>
    <col min="13819" max="13819" width="17.421875" style="195" customWidth="1"/>
    <col min="13820" max="13820" width="1.8515625" style="195" customWidth="1"/>
    <col min="13821" max="13821" width="18.7109375" style="195" customWidth="1"/>
    <col min="13822" max="13822" width="1.8515625" style="195" customWidth="1"/>
    <col min="13823" max="13823" width="23.00390625" style="195" customWidth="1"/>
    <col min="13824" max="13824" width="1.8515625" style="195" customWidth="1"/>
    <col min="13825" max="13825" width="17.421875" style="195" customWidth="1"/>
    <col min="13826" max="13826" width="3.00390625" style="195" customWidth="1"/>
    <col min="13827" max="13827" width="16.28125" style="195" customWidth="1"/>
    <col min="13828" max="13828" width="3.00390625" style="195" customWidth="1"/>
    <col min="13829" max="13829" width="14.140625" style="195" customWidth="1"/>
    <col min="13830" max="13830" width="2.00390625" style="195" customWidth="1"/>
    <col min="13831" max="13831" width="15.8515625" style="195" customWidth="1"/>
    <col min="13832" max="13832" width="3.140625" style="195" customWidth="1"/>
    <col min="13833" max="13833" width="17.8515625" style="195" customWidth="1"/>
    <col min="13834" max="13834" width="2.57421875" style="195" customWidth="1"/>
    <col min="13835" max="13835" width="15.57421875" style="195" customWidth="1"/>
    <col min="13836" max="13836" width="1.8515625" style="195" customWidth="1"/>
    <col min="13837" max="13837" width="14.140625" style="195" customWidth="1"/>
    <col min="13838" max="13838" width="11.00390625" style="195" customWidth="1"/>
    <col min="13839" max="13840" width="25.00390625" style="195" customWidth="1"/>
    <col min="13841" max="13841" width="1.8515625" style="195" customWidth="1"/>
    <col min="13842" max="13842" width="17.8515625" style="195" customWidth="1"/>
    <col min="13843" max="13843" width="1.8515625" style="195" customWidth="1"/>
    <col min="13844" max="13844" width="19.00390625" style="195" customWidth="1"/>
    <col min="13845" max="13845" width="1.8515625" style="195" customWidth="1"/>
    <col min="13846" max="13846" width="16.7109375" style="195" customWidth="1"/>
    <col min="13847" max="13847" width="1.8515625" style="195" customWidth="1"/>
    <col min="13848" max="13848" width="16.7109375" style="195" customWidth="1"/>
    <col min="13849" max="13849" width="1.8515625" style="195" customWidth="1"/>
    <col min="13850" max="13850" width="16.7109375" style="195" customWidth="1"/>
    <col min="13851" max="13851" width="1.8515625" style="195" customWidth="1"/>
    <col min="13852" max="13852" width="16.7109375" style="195" customWidth="1"/>
    <col min="13853" max="13853" width="1.8515625" style="195" customWidth="1"/>
    <col min="13854" max="13854" width="17.8515625" style="195" customWidth="1"/>
    <col min="13855" max="13855" width="5.28125" style="195" customWidth="1"/>
    <col min="13856" max="13856" width="16.7109375" style="195" customWidth="1"/>
    <col min="13857" max="13857" width="5.28125" style="195" customWidth="1"/>
    <col min="13858" max="13858" width="14.421875" style="195" customWidth="1"/>
    <col min="13859" max="13859" width="1.8515625" style="195" customWidth="1"/>
    <col min="13860" max="13860" width="16.7109375" style="195" customWidth="1"/>
    <col min="13861" max="14070" width="11.00390625" style="195" customWidth="1"/>
    <col min="14071" max="14071" width="7.57421875" style="195" customWidth="1"/>
    <col min="14072" max="14072" width="15.57421875" style="195" customWidth="1"/>
    <col min="14073" max="14073" width="20.140625" style="195" customWidth="1"/>
    <col min="14074" max="14074" width="2.28125" style="195" customWidth="1"/>
    <col min="14075" max="14075" width="17.421875" style="195" customWidth="1"/>
    <col min="14076" max="14076" width="1.8515625" style="195" customWidth="1"/>
    <col min="14077" max="14077" width="18.7109375" style="195" customWidth="1"/>
    <col min="14078" max="14078" width="1.8515625" style="195" customWidth="1"/>
    <col min="14079" max="14079" width="23.00390625" style="195" customWidth="1"/>
    <col min="14080" max="14080" width="1.8515625" style="195" customWidth="1"/>
    <col min="14081" max="14081" width="17.421875" style="195" customWidth="1"/>
    <col min="14082" max="14082" width="3.00390625" style="195" customWidth="1"/>
    <col min="14083" max="14083" width="16.28125" style="195" customWidth="1"/>
    <col min="14084" max="14084" width="3.00390625" style="195" customWidth="1"/>
    <col min="14085" max="14085" width="14.140625" style="195" customWidth="1"/>
    <col min="14086" max="14086" width="2.00390625" style="195" customWidth="1"/>
    <col min="14087" max="14087" width="15.8515625" style="195" customWidth="1"/>
    <col min="14088" max="14088" width="3.140625" style="195" customWidth="1"/>
    <col min="14089" max="14089" width="17.8515625" style="195" customWidth="1"/>
    <col min="14090" max="14090" width="2.57421875" style="195" customWidth="1"/>
    <col min="14091" max="14091" width="15.57421875" style="195" customWidth="1"/>
    <col min="14092" max="14092" width="1.8515625" style="195" customWidth="1"/>
    <col min="14093" max="14093" width="14.140625" style="195" customWidth="1"/>
    <col min="14094" max="14094" width="11.00390625" style="195" customWidth="1"/>
    <col min="14095" max="14096" width="25.00390625" style="195" customWidth="1"/>
    <col min="14097" max="14097" width="1.8515625" style="195" customWidth="1"/>
    <col min="14098" max="14098" width="17.8515625" style="195" customWidth="1"/>
    <col min="14099" max="14099" width="1.8515625" style="195" customWidth="1"/>
    <col min="14100" max="14100" width="19.00390625" style="195" customWidth="1"/>
    <col min="14101" max="14101" width="1.8515625" style="195" customWidth="1"/>
    <col min="14102" max="14102" width="16.7109375" style="195" customWidth="1"/>
    <col min="14103" max="14103" width="1.8515625" style="195" customWidth="1"/>
    <col min="14104" max="14104" width="16.7109375" style="195" customWidth="1"/>
    <col min="14105" max="14105" width="1.8515625" style="195" customWidth="1"/>
    <col min="14106" max="14106" width="16.7109375" style="195" customWidth="1"/>
    <col min="14107" max="14107" width="1.8515625" style="195" customWidth="1"/>
    <col min="14108" max="14108" width="16.7109375" style="195" customWidth="1"/>
    <col min="14109" max="14109" width="1.8515625" style="195" customWidth="1"/>
    <col min="14110" max="14110" width="17.8515625" style="195" customWidth="1"/>
    <col min="14111" max="14111" width="5.28125" style="195" customWidth="1"/>
    <col min="14112" max="14112" width="16.7109375" style="195" customWidth="1"/>
    <col min="14113" max="14113" width="5.28125" style="195" customWidth="1"/>
    <col min="14114" max="14114" width="14.421875" style="195" customWidth="1"/>
    <col min="14115" max="14115" width="1.8515625" style="195" customWidth="1"/>
    <col min="14116" max="14116" width="16.7109375" style="195" customWidth="1"/>
    <col min="14117" max="14326" width="11.00390625" style="195" customWidth="1"/>
    <col min="14327" max="14327" width="7.57421875" style="195" customWidth="1"/>
    <col min="14328" max="14328" width="15.57421875" style="195" customWidth="1"/>
    <col min="14329" max="14329" width="20.140625" style="195" customWidth="1"/>
    <col min="14330" max="14330" width="2.28125" style="195" customWidth="1"/>
    <col min="14331" max="14331" width="17.421875" style="195" customWidth="1"/>
    <col min="14332" max="14332" width="1.8515625" style="195" customWidth="1"/>
    <col min="14333" max="14333" width="18.7109375" style="195" customWidth="1"/>
    <col min="14334" max="14334" width="1.8515625" style="195" customWidth="1"/>
    <col min="14335" max="14335" width="23.00390625" style="195" customWidth="1"/>
    <col min="14336" max="14336" width="1.8515625" style="195" customWidth="1"/>
    <col min="14337" max="14337" width="17.421875" style="195" customWidth="1"/>
    <col min="14338" max="14338" width="3.00390625" style="195" customWidth="1"/>
    <col min="14339" max="14339" width="16.28125" style="195" customWidth="1"/>
    <col min="14340" max="14340" width="3.00390625" style="195" customWidth="1"/>
    <col min="14341" max="14341" width="14.140625" style="195" customWidth="1"/>
    <col min="14342" max="14342" width="2.00390625" style="195" customWidth="1"/>
    <col min="14343" max="14343" width="15.8515625" style="195" customWidth="1"/>
    <col min="14344" max="14344" width="3.140625" style="195" customWidth="1"/>
    <col min="14345" max="14345" width="17.8515625" style="195" customWidth="1"/>
    <col min="14346" max="14346" width="2.57421875" style="195" customWidth="1"/>
    <col min="14347" max="14347" width="15.57421875" style="195" customWidth="1"/>
    <col min="14348" max="14348" width="1.8515625" style="195" customWidth="1"/>
    <col min="14349" max="14349" width="14.140625" style="195" customWidth="1"/>
    <col min="14350" max="14350" width="11.00390625" style="195" customWidth="1"/>
    <col min="14351" max="14352" width="25.00390625" style="195" customWidth="1"/>
    <col min="14353" max="14353" width="1.8515625" style="195" customWidth="1"/>
    <col min="14354" max="14354" width="17.8515625" style="195" customWidth="1"/>
    <col min="14355" max="14355" width="1.8515625" style="195" customWidth="1"/>
    <col min="14356" max="14356" width="19.00390625" style="195" customWidth="1"/>
    <col min="14357" max="14357" width="1.8515625" style="195" customWidth="1"/>
    <col min="14358" max="14358" width="16.7109375" style="195" customWidth="1"/>
    <col min="14359" max="14359" width="1.8515625" style="195" customWidth="1"/>
    <col min="14360" max="14360" width="16.7109375" style="195" customWidth="1"/>
    <col min="14361" max="14361" width="1.8515625" style="195" customWidth="1"/>
    <col min="14362" max="14362" width="16.7109375" style="195" customWidth="1"/>
    <col min="14363" max="14363" width="1.8515625" style="195" customWidth="1"/>
    <col min="14364" max="14364" width="16.7109375" style="195" customWidth="1"/>
    <col min="14365" max="14365" width="1.8515625" style="195" customWidth="1"/>
    <col min="14366" max="14366" width="17.8515625" style="195" customWidth="1"/>
    <col min="14367" max="14367" width="5.28125" style="195" customWidth="1"/>
    <col min="14368" max="14368" width="16.7109375" style="195" customWidth="1"/>
    <col min="14369" max="14369" width="5.28125" style="195" customWidth="1"/>
    <col min="14370" max="14370" width="14.421875" style="195" customWidth="1"/>
    <col min="14371" max="14371" width="1.8515625" style="195" customWidth="1"/>
    <col min="14372" max="14372" width="16.7109375" style="195" customWidth="1"/>
    <col min="14373" max="14582" width="11.00390625" style="195" customWidth="1"/>
    <col min="14583" max="14583" width="7.57421875" style="195" customWidth="1"/>
    <col min="14584" max="14584" width="15.57421875" style="195" customWidth="1"/>
    <col min="14585" max="14585" width="20.140625" style="195" customWidth="1"/>
    <col min="14586" max="14586" width="2.28125" style="195" customWidth="1"/>
    <col min="14587" max="14587" width="17.421875" style="195" customWidth="1"/>
    <col min="14588" max="14588" width="1.8515625" style="195" customWidth="1"/>
    <col min="14589" max="14589" width="18.7109375" style="195" customWidth="1"/>
    <col min="14590" max="14590" width="1.8515625" style="195" customWidth="1"/>
    <col min="14591" max="14591" width="23.00390625" style="195" customWidth="1"/>
    <col min="14592" max="14592" width="1.8515625" style="195" customWidth="1"/>
    <col min="14593" max="14593" width="17.421875" style="195" customWidth="1"/>
    <col min="14594" max="14594" width="3.00390625" style="195" customWidth="1"/>
    <col min="14595" max="14595" width="16.28125" style="195" customWidth="1"/>
    <col min="14596" max="14596" width="3.00390625" style="195" customWidth="1"/>
    <col min="14597" max="14597" width="14.140625" style="195" customWidth="1"/>
    <col min="14598" max="14598" width="2.00390625" style="195" customWidth="1"/>
    <col min="14599" max="14599" width="15.8515625" style="195" customWidth="1"/>
    <col min="14600" max="14600" width="3.140625" style="195" customWidth="1"/>
    <col min="14601" max="14601" width="17.8515625" style="195" customWidth="1"/>
    <col min="14602" max="14602" width="2.57421875" style="195" customWidth="1"/>
    <col min="14603" max="14603" width="15.57421875" style="195" customWidth="1"/>
    <col min="14604" max="14604" width="1.8515625" style="195" customWidth="1"/>
    <col min="14605" max="14605" width="14.140625" style="195" customWidth="1"/>
    <col min="14606" max="14606" width="11.00390625" style="195" customWidth="1"/>
    <col min="14607" max="14608" width="25.00390625" style="195" customWidth="1"/>
    <col min="14609" max="14609" width="1.8515625" style="195" customWidth="1"/>
    <col min="14610" max="14610" width="17.8515625" style="195" customWidth="1"/>
    <col min="14611" max="14611" width="1.8515625" style="195" customWidth="1"/>
    <col min="14612" max="14612" width="19.00390625" style="195" customWidth="1"/>
    <col min="14613" max="14613" width="1.8515625" style="195" customWidth="1"/>
    <col min="14614" max="14614" width="16.7109375" style="195" customWidth="1"/>
    <col min="14615" max="14615" width="1.8515625" style="195" customWidth="1"/>
    <col min="14616" max="14616" width="16.7109375" style="195" customWidth="1"/>
    <col min="14617" max="14617" width="1.8515625" style="195" customWidth="1"/>
    <col min="14618" max="14618" width="16.7109375" style="195" customWidth="1"/>
    <col min="14619" max="14619" width="1.8515625" style="195" customWidth="1"/>
    <col min="14620" max="14620" width="16.7109375" style="195" customWidth="1"/>
    <col min="14621" max="14621" width="1.8515625" style="195" customWidth="1"/>
    <col min="14622" max="14622" width="17.8515625" style="195" customWidth="1"/>
    <col min="14623" max="14623" width="5.28125" style="195" customWidth="1"/>
    <col min="14624" max="14624" width="16.7109375" style="195" customWidth="1"/>
    <col min="14625" max="14625" width="5.28125" style="195" customWidth="1"/>
    <col min="14626" max="14626" width="14.421875" style="195" customWidth="1"/>
    <col min="14627" max="14627" width="1.8515625" style="195" customWidth="1"/>
    <col min="14628" max="14628" width="16.7109375" style="195" customWidth="1"/>
    <col min="14629" max="14838" width="11.00390625" style="195" customWidth="1"/>
    <col min="14839" max="14839" width="7.57421875" style="195" customWidth="1"/>
    <col min="14840" max="14840" width="15.57421875" style="195" customWidth="1"/>
    <col min="14841" max="14841" width="20.140625" style="195" customWidth="1"/>
    <col min="14842" max="14842" width="2.28125" style="195" customWidth="1"/>
    <col min="14843" max="14843" width="17.421875" style="195" customWidth="1"/>
    <col min="14844" max="14844" width="1.8515625" style="195" customWidth="1"/>
    <col min="14845" max="14845" width="18.7109375" style="195" customWidth="1"/>
    <col min="14846" max="14846" width="1.8515625" style="195" customWidth="1"/>
    <col min="14847" max="14847" width="23.00390625" style="195" customWidth="1"/>
    <col min="14848" max="14848" width="1.8515625" style="195" customWidth="1"/>
    <col min="14849" max="14849" width="17.421875" style="195" customWidth="1"/>
    <col min="14850" max="14850" width="3.00390625" style="195" customWidth="1"/>
    <col min="14851" max="14851" width="16.28125" style="195" customWidth="1"/>
    <col min="14852" max="14852" width="3.00390625" style="195" customWidth="1"/>
    <col min="14853" max="14853" width="14.140625" style="195" customWidth="1"/>
    <col min="14854" max="14854" width="2.00390625" style="195" customWidth="1"/>
    <col min="14855" max="14855" width="15.8515625" style="195" customWidth="1"/>
    <col min="14856" max="14856" width="3.140625" style="195" customWidth="1"/>
    <col min="14857" max="14857" width="17.8515625" style="195" customWidth="1"/>
    <col min="14858" max="14858" width="2.57421875" style="195" customWidth="1"/>
    <col min="14859" max="14859" width="15.57421875" style="195" customWidth="1"/>
    <col min="14860" max="14860" width="1.8515625" style="195" customWidth="1"/>
    <col min="14861" max="14861" width="14.140625" style="195" customWidth="1"/>
    <col min="14862" max="14862" width="11.00390625" style="195" customWidth="1"/>
    <col min="14863" max="14864" width="25.00390625" style="195" customWidth="1"/>
    <col min="14865" max="14865" width="1.8515625" style="195" customWidth="1"/>
    <col min="14866" max="14866" width="17.8515625" style="195" customWidth="1"/>
    <col min="14867" max="14867" width="1.8515625" style="195" customWidth="1"/>
    <col min="14868" max="14868" width="19.00390625" style="195" customWidth="1"/>
    <col min="14869" max="14869" width="1.8515625" style="195" customWidth="1"/>
    <col min="14870" max="14870" width="16.7109375" style="195" customWidth="1"/>
    <col min="14871" max="14871" width="1.8515625" style="195" customWidth="1"/>
    <col min="14872" max="14872" width="16.7109375" style="195" customWidth="1"/>
    <col min="14873" max="14873" width="1.8515625" style="195" customWidth="1"/>
    <col min="14874" max="14874" width="16.7109375" style="195" customWidth="1"/>
    <col min="14875" max="14875" width="1.8515625" style="195" customWidth="1"/>
    <col min="14876" max="14876" width="16.7109375" style="195" customWidth="1"/>
    <col min="14877" max="14877" width="1.8515625" style="195" customWidth="1"/>
    <col min="14878" max="14878" width="17.8515625" style="195" customWidth="1"/>
    <col min="14879" max="14879" width="5.28125" style="195" customWidth="1"/>
    <col min="14880" max="14880" width="16.7109375" style="195" customWidth="1"/>
    <col min="14881" max="14881" width="5.28125" style="195" customWidth="1"/>
    <col min="14882" max="14882" width="14.421875" style="195" customWidth="1"/>
    <col min="14883" max="14883" width="1.8515625" style="195" customWidth="1"/>
    <col min="14884" max="14884" width="16.7109375" style="195" customWidth="1"/>
    <col min="14885" max="15094" width="11.00390625" style="195" customWidth="1"/>
    <col min="15095" max="15095" width="7.57421875" style="195" customWidth="1"/>
    <col min="15096" max="15096" width="15.57421875" style="195" customWidth="1"/>
    <col min="15097" max="15097" width="20.140625" style="195" customWidth="1"/>
    <col min="15098" max="15098" width="2.28125" style="195" customWidth="1"/>
    <col min="15099" max="15099" width="17.421875" style="195" customWidth="1"/>
    <col min="15100" max="15100" width="1.8515625" style="195" customWidth="1"/>
    <col min="15101" max="15101" width="18.7109375" style="195" customWidth="1"/>
    <col min="15102" max="15102" width="1.8515625" style="195" customWidth="1"/>
    <col min="15103" max="15103" width="23.00390625" style="195" customWidth="1"/>
    <col min="15104" max="15104" width="1.8515625" style="195" customWidth="1"/>
    <col min="15105" max="15105" width="17.421875" style="195" customWidth="1"/>
    <col min="15106" max="15106" width="3.00390625" style="195" customWidth="1"/>
    <col min="15107" max="15107" width="16.28125" style="195" customWidth="1"/>
    <col min="15108" max="15108" width="3.00390625" style="195" customWidth="1"/>
    <col min="15109" max="15109" width="14.140625" style="195" customWidth="1"/>
    <col min="15110" max="15110" width="2.00390625" style="195" customWidth="1"/>
    <col min="15111" max="15111" width="15.8515625" style="195" customWidth="1"/>
    <col min="15112" max="15112" width="3.140625" style="195" customWidth="1"/>
    <col min="15113" max="15113" width="17.8515625" style="195" customWidth="1"/>
    <col min="15114" max="15114" width="2.57421875" style="195" customWidth="1"/>
    <col min="15115" max="15115" width="15.57421875" style="195" customWidth="1"/>
    <col min="15116" max="15116" width="1.8515625" style="195" customWidth="1"/>
    <col min="15117" max="15117" width="14.140625" style="195" customWidth="1"/>
    <col min="15118" max="15118" width="11.00390625" style="195" customWidth="1"/>
    <col min="15119" max="15120" width="25.00390625" style="195" customWidth="1"/>
    <col min="15121" max="15121" width="1.8515625" style="195" customWidth="1"/>
    <col min="15122" max="15122" width="17.8515625" style="195" customWidth="1"/>
    <col min="15123" max="15123" width="1.8515625" style="195" customWidth="1"/>
    <col min="15124" max="15124" width="19.00390625" style="195" customWidth="1"/>
    <col min="15125" max="15125" width="1.8515625" style="195" customWidth="1"/>
    <col min="15126" max="15126" width="16.7109375" style="195" customWidth="1"/>
    <col min="15127" max="15127" width="1.8515625" style="195" customWidth="1"/>
    <col min="15128" max="15128" width="16.7109375" style="195" customWidth="1"/>
    <col min="15129" max="15129" width="1.8515625" style="195" customWidth="1"/>
    <col min="15130" max="15130" width="16.7109375" style="195" customWidth="1"/>
    <col min="15131" max="15131" width="1.8515625" style="195" customWidth="1"/>
    <col min="15132" max="15132" width="16.7109375" style="195" customWidth="1"/>
    <col min="15133" max="15133" width="1.8515625" style="195" customWidth="1"/>
    <col min="15134" max="15134" width="17.8515625" style="195" customWidth="1"/>
    <col min="15135" max="15135" width="5.28125" style="195" customWidth="1"/>
    <col min="15136" max="15136" width="16.7109375" style="195" customWidth="1"/>
    <col min="15137" max="15137" width="5.28125" style="195" customWidth="1"/>
    <col min="15138" max="15138" width="14.421875" style="195" customWidth="1"/>
    <col min="15139" max="15139" width="1.8515625" style="195" customWidth="1"/>
    <col min="15140" max="15140" width="16.7109375" style="195" customWidth="1"/>
    <col min="15141" max="15350" width="11.00390625" style="195" customWidth="1"/>
    <col min="15351" max="15351" width="7.57421875" style="195" customWidth="1"/>
    <col min="15352" max="15352" width="15.57421875" style="195" customWidth="1"/>
    <col min="15353" max="15353" width="20.140625" style="195" customWidth="1"/>
    <col min="15354" max="15354" width="2.28125" style="195" customWidth="1"/>
    <col min="15355" max="15355" width="17.421875" style="195" customWidth="1"/>
    <col min="15356" max="15356" width="1.8515625" style="195" customWidth="1"/>
    <col min="15357" max="15357" width="18.7109375" style="195" customWidth="1"/>
    <col min="15358" max="15358" width="1.8515625" style="195" customWidth="1"/>
    <col min="15359" max="15359" width="23.00390625" style="195" customWidth="1"/>
    <col min="15360" max="15360" width="1.8515625" style="195" customWidth="1"/>
    <col min="15361" max="15361" width="17.421875" style="195" customWidth="1"/>
    <col min="15362" max="15362" width="3.00390625" style="195" customWidth="1"/>
    <col min="15363" max="15363" width="16.28125" style="195" customWidth="1"/>
    <col min="15364" max="15364" width="3.00390625" style="195" customWidth="1"/>
    <col min="15365" max="15365" width="14.140625" style="195" customWidth="1"/>
    <col min="15366" max="15366" width="2.00390625" style="195" customWidth="1"/>
    <col min="15367" max="15367" width="15.8515625" style="195" customWidth="1"/>
    <col min="15368" max="15368" width="3.140625" style="195" customWidth="1"/>
    <col min="15369" max="15369" width="17.8515625" style="195" customWidth="1"/>
    <col min="15370" max="15370" width="2.57421875" style="195" customWidth="1"/>
    <col min="15371" max="15371" width="15.57421875" style="195" customWidth="1"/>
    <col min="15372" max="15372" width="1.8515625" style="195" customWidth="1"/>
    <col min="15373" max="15373" width="14.140625" style="195" customWidth="1"/>
    <col min="15374" max="15374" width="11.00390625" style="195" customWidth="1"/>
    <col min="15375" max="15376" width="25.00390625" style="195" customWidth="1"/>
    <col min="15377" max="15377" width="1.8515625" style="195" customWidth="1"/>
    <col min="15378" max="15378" width="17.8515625" style="195" customWidth="1"/>
    <col min="15379" max="15379" width="1.8515625" style="195" customWidth="1"/>
    <col min="15380" max="15380" width="19.00390625" style="195" customWidth="1"/>
    <col min="15381" max="15381" width="1.8515625" style="195" customWidth="1"/>
    <col min="15382" max="15382" width="16.7109375" style="195" customWidth="1"/>
    <col min="15383" max="15383" width="1.8515625" style="195" customWidth="1"/>
    <col min="15384" max="15384" width="16.7109375" style="195" customWidth="1"/>
    <col min="15385" max="15385" width="1.8515625" style="195" customWidth="1"/>
    <col min="15386" max="15386" width="16.7109375" style="195" customWidth="1"/>
    <col min="15387" max="15387" width="1.8515625" style="195" customWidth="1"/>
    <col min="15388" max="15388" width="16.7109375" style="195" customWidth="1"/>
    <col min="15389" max="15389" width="1.8515625" style="195" customWidth="1"/>
    <col min="15390" max="15390" width="17.8515625" style="195" customWidth="1"/>
    <col min="15391" max="15391" width="5.28125" style="195" customWidth="1"/>
    <col min="15392" max="15392" width="16.7109375" style="195" customWidth="1"/>
    <col min="15393" max="15393" width="5.28125" style="195" customWidth="1"/>
    <col min="15394" max="15394" width="14.421875" style="195" customWidth="1"/>
    <col min="15395" max="15395" width="1.8515625" style="195" customWidth="1"/>
    <col min="15396" max="15396" width="16.7109375" style="195" customWidth="1"/>
    <col min="15397" max="15606" width="11.00390625" style="195" customWidth="1"/>
    <col min="15607" max="15607" width="7.57421875" style="195" customWidth="1"/>
    <col min="15608" max="15608" width="15.57421875" style="195" customWidth="1"/>
    <col min="15609" max="15609" width="20.140625" style="195" customWidth="1"/>
    <col min="15610" max="15610" width="2.28125" style="195" customWidth="1"/>
    <col min="15611" max="15611" width="17.421875" style="195" customWidth="1"/>
    <col min="15612" max="15612" width="1.8515625" style="195" customWidth="1"/>
    <col min="15613" max="15613" width="18.7109375" style="195" customWidth="1"/>
    <col min="15614" max="15614" width="1.8515625" style="195" customWidth="1"/>
    <col min="15615" max="15615" width="23.00390625" style="195" customWidth="1"/>
    <col min="15616" max="15616" width="1.8515625" style="195" customWidth="1"/>
    <col min="15617" max="15617" width="17.421875" style="195" customWidth="1"/>
    <col min="15618" max="15618" width="3.00390625" style="195" customWidth="1"/>
    <col min="15619" max="15619" width="16.28125" style="195" customWidth="1"/>
    <col min="15620" max="15620" width="3.00390625" style="195" customWidth="1"/>
    <col min="15621" max="15621" width="14.140625" style="195" customWidth="1"/>
    <col min="15622" max="15622" width="2.00390625" style="195" customWidth="1"/>
    <col min="15623" max="15623" width="15.8515625" style="195" customWidth="1"/>
    <col min="15624" max="15624" width="3.140625" style="195" customWidth="1"/>
    <col min="15625" max="15625" width="17.8515625" style="195" customWidth="1"/>
    <col min="15626" max="15626" width="2.57421875" style="195" customWidth="1"/>
    <col min="15627" max="15627" width="15.57421875" style="195" customWidth="1"/>
    <col min="15628" max="15628" width="1.8515625" style="195" customWidth="1"/>
    <col min="15629" max="15629" width="14.140625" style="195" customWidth="1"/>
    <col min="15630" max="15630" width="11.00390625" style="195" customWidth="1"/>
    <col min="15631" max="15632" width="25.00390625" style="195" customWidth="1"/>
    <col min="15633" max="15633" width="1.8515625" style="195" customWidth="1"/>
    <col min="15634" max="15634" width="17.8515625" style="195" customWidth="1"/>
    <col min="15635" max="15635" width="1.8515625" style="195" customWidth="1"/>
    <col min="15636" max="15636" width="19.00390625" style="195" customWidth="1"/>
    <col min="15637" max="15637" width="1.8515625" style="195" customWidth="1"/>
    <col min="15638" max="15638" width="16.7109375" style="195" customWidth="1"/>
    <col min="15639" max="15639" width="1.8515625" style="195" customWidth="1"/>
    <col min="15640" max="15640" width="16.7109375" style="195" customWidth="1"/>
    <col min="15641" max="15641" width="1.8515625" style="195" customWidth="1"/>
    <col min="15642" max="15642" width="16.7109375" style="195" customWidth="1"/>
    <col min="15643" max="15643" width="1.8515625" style="195" customWidth="1"/>
    <col min="15644" max="15644" width="16.7109375" style="195" customWidth="1"/>
    <col min="15645" max="15645" width="1.8515625" style="195" customWidth="1"/>
    <col min="15646" max="15646" width="17.8515625" style="195" customWidth="1"/>
    <col min="15647" max="15647" width="5.28125" style="195" customWidth="1"/>
    <col min="15648" max="15648" width="16.7109375" style="195" customWidth="1"/>
    <col min="15649" max="15649" width="5.28125" style="195" customWidth="1"/>
    <col min="15650" max="15650" width="14.421875" style="195" customWidth="1"/>
    <col min="15651" max="15651" width="1.8515625" style="195" customWidth="1"/>
    <col min="15652" max="15652" width="16.7109375" style="195" customWidth="1"/>
    <col min="15653" max="15862" width="11.00390625" style="195" customWidth="1"/>
    <col min="15863" max="15863" width="7.57421875" style="195" customWidth="1"/>
    <col min="15864" max="15864" width="15.57421875" style="195" customWidth="1"/>
    <col min="15865" max="15865" width="20.140625" style="195" customWidth="1"/>
    <col min="15866" max="15866" width="2.28125" style="195" customWidth="1"/>
    <col min="15867" max="15867" width="17.421875" style="195" customWidth="1"/>
    <col min="15868" max="15868" width="1.8515625" style="195" customWidth="1"/>
    <col min="15869" max="15869" width="18.7109375" style="195" customWidth="1"/>
    <col min="15870" max="15870" width="1.8515625" style="195" customWidth="1"/>
    <col min="15871" max="15871" width="23.00390625" style="195" customWidth="1"/>
    <col min="15872" max="15872" width="1.8515625" style="195" customWidth="1"/>
    <col min="15873" max="15873" width="17.421875" style="195" customWidth="1"/>
    <col min="15874" max="15874" width="3.00390625" style="195" customWidth="1"/>
    <col min="15875" max="15875" width="16.28125" style="195" customWidth="1"/>
    <col min="15876" max="15876" width="3.00390625" style="195" customWidth="1"/>
    <col min="15877" max="15877" width="14.140625" style="195" customWidth="1"/>
    <col min="15878" max="15878" width="2.00390625" style="195" customWidth="1"/>
    <col min="15879" max="15879" width="15.8515625" style="195" customWidth="1"/>
    <col min="15880" max="15880" width="3.140625" style="195" customWidth="1"/>
    <col min="15881" max="15881" width="17.8515625" style="195" customWidth="1"/>
    <col min="15882" max="15882" width="2.57421875" style="195" customWidth="1"/>
    <col min="15883" max="15883" width="15.57421875" style="195" customWidth="1"/>
    <col min="15884" max="15884" width="1.8515625" style="195" customWidth="1"/>
    <col min="15885" max="15885" width="14.140625" style="195" customWidth="1"/>
    <col min="15886" max="15886" width="11.00390625" style="195" customWidth="1"/>
    <col min="15887" max="15888" width="25.00390625" style="195" customWidth="1"/>
    <col min="15889" max="15889" width="1.8515625" style="195" customWidth="1"/>
    <col min="15890" max="15890" width="17.8515625" style="195" customWidth="1"/>
    <col min="15891" max="15891" width="1.8515625" style="195" customWidth="1"/>
    <col min="15892" max="15892" width="19.00390625" style="195" customWidth="1"/>
    <col min="15893" max="15893" width="1.8515625" style="195" customWidth="1"/>
    <col min="15894" max="15894" width="16.7109375" style="195" customWidth="1"/>
    <col min="15895" max="15895" width="1.8515625" style="195" customWidth="1"/>
    <col min="15896" max="15896" width="16.7109375" style="195" customWidth="1"/>
    <col min="15897" max="15897" width="1.8515625" style="195" customWidth="1"/>
    <col min="15898" max="15898" width="16.7109375" style="195" customWidth="1"/>
    <col min="15899" max="15899" width="1.8515625" style="195" customWidth="1"/>
    <col min="15900" max="15900" width="16.7109375" style="195" customWidth="1"/>
    <col min="15901" max="15901" width="1.8515625" style="195" customWidth="1"/>
    <col min="15902" max="15902" width="17.8515625" style="195" customWidth="1"/>
    <col min="15903" max="15903" width="5.28125" style="195" customWidth="1"/>
    <col min="15904" max="15904" width="16.7109375" style="195" customWidth="1"/>
    <col min="15905" max="15905" width="5.28125" style="195" customWidth="1"/>
    <col min="15906" max="15906" width="14.421875" style="195" customWidth="1"/>
    <col min="15907" max="15907" width="1.8515625" style="195" customWidth="1"/>
    <col min="15908" max="15908" width="16.7109375" style="195" customWidth="1"/>
    <col min="15909" max="16118" width="11.00390625" style="195" customWidth="1"/>
    <col min="16119" max="16119" width="7.57421875" style="195" customWidth="1"/>
    <col min="16120" max="16120" width="15.57421875" style="195" customWidth="1"/>
    <col min="16121" max="16121" width="20.140625" style="195" customWidth="1"/>
    <col min="16122" max="16122" width="2.28125" style="195" customWidth="1"/>
    <col min="16123" max="16123" width="17.421875" style="195" customWidth="1"/>
    <col min="16124" max="16124" width="1.8515625" style="195" customWidth="1"/>
    <col min="16125" max="16125" width="18.7109375" style="195" customWidth="1"/>
    <col min="16126" max="16126" width="1.8515625" style="195" customWidth="1"/>
    <col min="16127" max="16127" width="23.00390625" style="195" customWidth="1"/>
    <col min="16128" max="16128" width="1.8515625" style="195" customWidth="1"/>
    <col min="16129" max="16129" width="17.421875" style="195" customWidth="1"/>
    <col min="16130" max="16130" width="3.00390625" style="195" customWidth="1"/>
    <col min="16131" max="16131" width="16.28125" style="195" customWidth="1"/>
    <col min="16132" max="16132" width="3.00390625" style="195" customWidth="1"/>
    <col min="16133" max="16133" width="14.140625" style="195" customWidth="1"/>
    <col min="16134" max="16134" width="2.00390625" style="195" customWidth="1"/>
    <col min="16135" max="16135" width="15.8515625" style="195" customWidth="1"/>
    <col min="16136" max="16136" width="3.140625" style="195" customWidth="1"/>
    <col min="16137" max="16137" width="17.8515625" style="195" customWidth="1"/>
    <col min="16138" max="16138" width="2.57421875" style="195" customWidth="1"/>
    <col min="16139" max="16139" width="15.57421875" style="195" customWidth="1"/>
    <col min="16140" max="16140" width="1.8515625" style="195" customWidth="1"/>
    <col min="16141" max="16141" width="14.140625" style="195" customWidth="1"/>
    <col min="16142" max="16142" width="11.00390625" style="195" customWidth="1"/>
    <col min="16143" max="16144" width="25.00390625" style="195" customWidth="1"/>
    <col min="16145" max="16145" width="1.8515625" style="195" customWidth="1"/>
    <col min="16146" max="16146" width="17.8515625" style="195" customWidth="1"/>
    <col min="16147" max="16147" width="1.8515625" style="195" customWidth="1"/>
    <col min="16148" max="16148" width="19.00390625" style="195" customWidth="1"/>
    <col min="16149" max="16149" width="1.8515625" style="195" customWidth="1"/>
    <col min="16150" max="16150" width="16.7109375" style="195" customWidth="1"/>
    <col min="16151" max="16151" width="1.8515625" style="195" customWidth="1"/>
    <col min="16152" max="16152" width="16.7109375" style="195" customWidth="1"/>
    <col min="16153" max="16153" width="1.8515625" style="195" customWidth="1"/>
    <col min="16154" max="16154" width="16.7109375" style="195" customWidth="1"/>
    <col min="16155" max="16155" width="1.8515625" style="195" customWidth="1"/>
    <col min="16156" max="16156" width="16.7109375" style="195" customWidth="1"/>
    <col min="16157" max="16157" width="1.8515625" style="195" customWidth="1"/>
    <col min="16158" max="16158" width="17.8515625" style="195" customWidth="1"/>
    <col min="16159" max="16159" width="5.28125" style="195" customWidth="1"/>
    <col min="16160" max="16160" width="16.7109375" style="195" customWidth="1"/>
    <col min="16161" max="16161" width="5.28125" style="195" customWidth="1"/>
    <col min="16162" max="16162" width="14.421875" style="195" customWidth="1"/>
    <col min="16163" max="16163" width="1.8515625" style="195" customWidth="1"/>
    <col min="16164" max="16164" width="16.7109375" style="195" customWidth="1"/>
    <col min="16165" max="16384" width="11.00390625" style="195" customWidth="1"/>
  </cols>
  <sheetData>
    <row r="1" spans="11:16" s="195" customFormat="1" ht="12.75">
      <c r="K1" s="211"/>
      <c r="L1" s="211"/>
      <c r="M1" s="211"/>
      <c r="N1" s="211"/>
      <c r="O1" s="211"/>
      <c r="P1" s="211"/>
    </row>
    <row r="2" spans="2:36" s="195" customFormat="1" ht="12.75">
      <c r="B2" s="407" t="s">
        <v>473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12"/>
      <c r="O2" s="211"/>
      <c r="P2" s="211"/>
      <c r="Q2" s="197"/>
      <c r="R2" s="197"/>
      <c r="S2" s="197"/>
      <c r="T2" s="196"/>
      <c r="U2" s="197"/>
      <c r="V2" s="196"/>
      <c r="W2" s="197"/>
      <c r="X2" s="196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6" s="195" customFormat="1" ht="12.75">
      <c r="B3" s="407" t="s">
        <v>474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12"/>
      <c r="O3" s="211"/>
      <c r="P3" s="211"/>
      <c r="Q3" s="197"/>
      <c r="R3" s="197"/>
      <c r="S3" s="197"/>
      <c r="T3" s="196"/>
      <c r="U3" s="197"/>
      <c r="V3" s="196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2:36" s="195" customFormat="1" ht="12.75">
      <c r="B4" s="407" t="s">
        <v>475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212"/>
      <c r="O4" s="211"/>
      <c r="P4" s="211"/>
      <c r="Q4" s="197"/>
      <c r="R4" s="197"/>
      <c r="S4" s="197"/>
      <c r="T4" s="196"/>
      <c r="U4" s="197"/>
      <c r="V4" s="196"/>
      <c r="W4" s="196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2:36" s="195" customFormat="1" ht="12.75">
      <c r="B5" s="407" t="s">
        <v>476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212"/>
      <c r="O5" s="211"/>
      <c r="P5" s="211"/>
      <c r="Q5" s="197"/>
      <c r="R5" s="197"/>
      <c r="S5" s="196"/>
      <c r="T5" s="196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2:36" s="195" customFormat="1" ht="12.75">
      <c r="B6" s="408" t="s">
        <v>477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212"/>
      <c r="O6" s="211"/>
      <c r="P6" s="211"/>
      <c r="Q6" s="197"/>
      <c r="R6" s="197"/>
      <c r="S6" s="197"/>
      <c r="T6" s="196"/>
      <c r="U6" s="197"/>
      <c r="V6" s="197"/>
      <c r="W6" s="197"/>
      <c r="X6" s="196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3:36" s="195" customFormat="1" ht="12.75">
      <c r="C7" s="196"/>
      <c r="D7" s="197"/>
      <c r="E7" s="197"/>
      <c r="F7" s="197"/>
      <c r="G7" s="196"/>
      <c r="H7" s="197"/>
      <c r="I7" s="197"/>
      <c r="J7" s="197"/>
      <c r="K7" s="213"/>
      <c r="L7" s="213"/>
      <c r="M7" s="213"/>
      <c r="N7" s="212"/>
      <c r="O7" s="211"/>
      <c r="P7" s="211"/>
      <c r="Q7" s="197"/>
      <c r="R7" s="197"/>
      <c r="S7" s="197"/>
      <c r="T7" s="196"/>
      <c r="U7" s="197"/>
      <c r="V7" s="197"/>
      <c r="W7" s="197"/>
      <c r="X7" s="196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3:36" s="195" customFormat="1" ht="12.75">
      <c r="C8" s="198"/>
      <c r="D8" s="198"/>
      <c r="E8" s="198"/>
      <c r="F8" s="198"/>
      <c r="G8" s="198"/>
      <c r="H8" s="198"/>
      <c r="I8" s="198"/>
      <c r="J8" s="198"/>
      <c r="K8" s="214"/>
      <c r="L8" s="214"/>
      <c r="M8" s="214"/>
      <c r="N8" s="211"/>
      <c r="O8" s="211"/>
      <c r="P8" s="211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</row>
    <row r="9" spans="11:36" s="195" customFormat="1" ht="12.75">
      <c r="K9" s="211"/>
      <c r="L9" s="211"/>
      <c r="M9" s="211"/>
      <c r="N9" s="211"/>
      <c r="O9" s="211"/>
      <c r="P9" s="211"/>
      <c r="Q9" s="198"/>
      <c r="R9" s="283"/>
      <c r="S9" s="198"/>
      <c r="T9" s="283"/>
      <c r="U9" s="198"/>
      <c r="V9" s="283"/>
      <c r="W9" s="198"/>
      <c r="X9" s="283"/>
      <c r="Y9" s="198"/>
      <c r="Z9" s="283"/>
      <c r="AA9" s="198"/>
      <c r="AB9" s="283"/>
      <c r="AC9" s="198"/>
      <c r="AD9" s="283"/>
      <c r="AE9" s="198"/>
      <c r="AF9" s="283"/>
      <c r="AG9" s="198"/>
      <c r="AH9" s="283"/>
      <c r="AI9" s="198"/>
      <c r="AJ9" s="283"/>
    </row>
    <row r="10" spans="11:36" s="195" customFormat="1" ht="12.75">
      <c r="K10" s="211"/>
      <c r="L10" s="211"/>
      <c r="M10" s="211"/>
      <c r="N10" s="211"/>
      <c r="O10" s="211"/>
      <c r="P10" s="211"/>
      <c r="Q10" s="198"/>
      <c r="R10" s="198"/>
      <c r="S10" s="198"/>
      <c r="T10" s="283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</row>
    <row r="11" spans="3:36" s="195" customFormat="1" ht="12.75">
      <c r="C11" s="283" t="s">
        <v>172</v>
      </c>
      <c r="D11" s="283" t="s">
        <v>173</v>
      </c>
      <c r="E11" s="283" t="s">
        <v>174</v>
      </c>
      <c r="F11" s="283" t="s">
        <v>175</v>
      </c>
      <c r="G11" s="283" t="s">
        <v>176</v>
      </c>
      <c r="H11" s="283" t="s">
        <v>177</v>
      </c>
      <c r="I11" s="283" t="s">
        <v>286</v>
      </c>
      <c r="J11" s="283" t="s">
        <v>287</v>
      </c>
      <c r="K11" s="215" t="s">
        <v>288</v>
      </c>
      <c r="L11" s="215" t="s">
        <v>289</v>
      </c>
      <c r="M11" s="215" t="s">
        <v>290</v>
      </c>
      <c r="N11" s="211"/>
      <c r="O11" s="211"/>
      <c r="P11" s="211"/>
      <c r="Q11" s="198"/>
      <c r="R11" s="198"/>
      <c r="S11" s="198"/>
      <c r="T11" s="283"/>
      <c r="U11" s="198"/>
      <c r="V11" s="198"/>
      <c r="W11" s="198"/>
      <c r="X11" s="283"/>
      <c r="Y11" s="198"/>
      <c r="Z11" s="198"/>
      <c r="AA11" s="198"/>
      <c r="AB11" s="198"/>
      <c r="AC11" s="198"/>
      <c r="AD11" s="283"/>
      <c r="AE11" s="198"/>
      <c r="AF11" s="198"/>
      <c r="AG11" s="198"/>
      <c r="AH11" s="198"/>
      <c r="AI11" s="198"/>
      <c r="AJ11" s="198"/>
    </row>
    <row r="12" spans="3:36" s="195" customFormat="1" ht="12.75">
      <c r="C12" s="198"/>
      <c r="D12" s="198"/>
      <c r="E12" s="283" t="s">
        <v>478</v>
      </c>
      <c r="F12" s="198"/>
      <c r="G12" s="198"/>
      <c r="H12" s="198"/>
      <c r="I12" s="198"/>
      <c r="J12" s="198"/>
      <c r="K12" s="214"/>
      <c r="L12" s="214"/>
      <c r="M12" s="214"/>
      <c r="N12" s="211"/>
      <c r="O12" s="211"/>
      <c r="P12" s="211"/>
      <c r="Q12" s="198"/>
      <c r="R12" s="283"/>
      <c r="S12" s="198"/>
      <c r="T12" s="283"/>
      <c r="U12" s="198"/>
      <c r="V12" s="198"/>
      <c r="W12" s="198"/>
      <c r="X12" s="283"/>
      <c r="Y12" s="198"/>
      <c r="Z12" s="283"/>
      <c r="AA12" s="198"/>
      <c r="AB12" s="283"/>
      <c r="AC12" s="198"/>
      <c r="AD12" s="283"/>
      <c r="AE12" s="198"/>
      <c r="AF12" s="283"/>
      <c r="AG12" s="198"/>
      <c r="AH12" s="283"/>
      <c r="AI12" s="198"/>
      <c r="AJ12" s="283"/>
    </row>
    <row r="13" spans="3:36" s="195" customFormat="1" ht="12.75">
      <c r="C13" s="198"/>
      <c r="D13" s="198"/>
      <c r="E13" s="283" t="s">
        <v>479</v>
      </c>
      <c r="F13" s="198"/>
      <c r="H13" s="198"/>
      <c r="I13" s="198"/>
      <c r="J13" s="283" t="s">
        <v>480</v>
      </c>
      <c r="K13" s="214"/>
      <c r="L13" s="214"/>
      <c r="M13" s="214"/>
      <c r="N13" s="211"/>
      <c r="O13" s="211"/>
      <c r="P13" s="211"/>
      <c r="Q13" s="198"/>
      <c r="R13" s="283"/>
      <c r="S13" s="198"/>
      <c r="T13" s="283"/>
      <c r="U13" s="198"/>
      <c r="V13" s="198"/>
      <c r="W13" s="198"/>
      <c r="X13" s="283"/>
      <c r="Y13" s="198"/>
      <c r="Z13" s="283"/>
      <c r="AA13" s="198"/>
      <c r="AB13" s="283"/>
      <c r="AC13" s="198"/>
      <c r="AD13" s="283"/>
      <c r="AE13" s="198"/>
      <c r="AF13" s="283"/>
      <c r="AG13" s="198"/>
      <c r="AH13" s="283"/>
      <c r="AI13" s="198"/>
      <c r="AJ13" s="283"/>
    </row>
    <row r="14" spans="2:36" s="195" customFormat="1" ht="12.75">
      <c r="B14" s="283" t="s">
        <v>481</v>
      </c>
      <c r="C14" s="198"/>
      <c r="D14" s="283" t="s">
        <v>482</v>
      </c>
      <c r="E14" s="283" t="s">
        <v>483</v>
      </c>
      <c r="F14" s="198"/>
      <c r="G14" s="283" t="s">
        <v>318</v>
      </c>
      <c r="H14" s="283" t="s">
        <v>318</v>
      </c>
      <c r="I14" s="283" t="s">
        <v>484</v>
      </c>
      <c r="J14" s="283" t="s">
        <v>485</v>
      </c>
      <c r="K14" s="215" t="s">
        <v>215</v>
      </c>
      <c r="L14" s="215" t="s">
        <v>486</v>
      </c>
      <c r="M14" s="215" t="s">
        <v>318</v>
      </c>
      <c r="N14" s="211"/>
      <c r="O14" s="211"/>
      <c r="P14" s="211"/>
      <c r="Q14" s="198"/>
      <c r="R14" s="283"/>
      <c r="S14" s="198"/>
      <c r="T14" s="283"/>
      <c r="U14" s="198"/>
      <c r="V14" s="283"/>
      <c r="W14" s="198"/>
      <c r="X14" s="283"/>
      <c r="Y14" s="198"/>
      <c r="Z14" s="283"/>
      <c r="AA14" s="198"/>
      <c r="AB14" s="283"/>
      <c r="AC14" s="198"/>
      <c r="AD14" s="283"/>
      <c r="AE14" s="198"/>
      <c r="AF14" s="283"/>
      <c r="AG14" s="198"/>
      <c r="AH14" s="283"/>
      <c r="AI14" s="198"/>
      <c r="AJ14" s="283"/>
    </row>
    <row r="15" spans="2:16" s="195" customFormat="1" ht="12.75">
      <c r="B15" s="283" t="s">
        <v>487</v>
      </c>
      <c r="C15" s="283" t="s">
        <v>488</v>
      </c>
      <c r="D15" s="283" t="s">
        <v>489</v>
      </c>
      <c r="E15" s="283" t="s">
        <v>490</v>
      </c>
      <c r="F15" s="198"/>
      <c r="G15" s="283" t="s">
        <v>202</v>
      </c>
      <c r="H15" s="283" t="s">
        <v>488</v>
      </c>
      <c r="I15" s="283" t="s">
        <v>491</v>
      </c>
      <c r="J15" s="283" t="s">
        <v>492</v>
      </c>
      <c r="K15" s="215" t="s">
        <v>493</v>
      </c>
      <c r="L15" s="215" t="s">
        <v>215</v>
      </c>
      <c r="M15" s="215" t="s">
        <v>494</v>
      </c>
      <c r="N15" s="211"/>
      <c r="O15" s="211"/>
      <c r="P15" s="211"/>
    </row>
    <row r="16" spans="2:16" s="195" customFormat="1" ht="12.75">
      <c r="B16" s="200" t="s">
        <v>495</v>
      </c>
      <c r="C16" s="283" t="s">
        <v>496</v>
      </c>
      <c r="D16" s="283" t="s">
        <v>497</v>
      </c>
      <c r="E16" s="283" t="s">
        <v>497</v>
      </c>
      <c r="F16" s="283" t="s">
        <v>214</v>
      </c>
      <c r="G16" s="283" t="s">
        <v>498</v>
      </c>
      <c r="H16" s="283" t="s">
        <v>499</v>
      </c>
      <c r="I16" s="283" t="s">
        <v>500</v>
      </c>
      <c r="J16" s="283" t="s">
        <v>501</v>
      </c>
      <c r="K16" s="215" t="s">
        <v>502</v>
      </c>
      <c r="L16" s="215" t="s">
        <v>503</v>
      </c>
      <c r="M16" s="215" t="s">
        <v>504</v>
      </c>
      <c r="N16" s="211"/>
      <c r="O16" s="211"/>
      <c r="P16" s="211"/>
    </row>
    <row r="17" spans="1:36" ht="12.75" hidden="1">
      <c r="A17" s="194">
        <v>1</v>
      </c>
      <c r="B17" s="283" t="s">
        <v>505</v>
      </c>
      <c r="C17" s="201">
        <v>3298951</v>
      </c>
      <c r="D17" s="201">
        <v>963839</v>
      </c>
      <c r="E17" s="201">
        <v>348748</v>
      </c>
      <c r="F17" s="201">
        <v>807047</v>
      </c>
      <c r="G17" s="201">
        <v>1220170</v>
      </c>
      <c r="H17" s="201">
        <f>C17-D17-E17-F17-G17</f>
        <v>-40853</v>
      </c>
      <c r="I17" s="201">
        <f>F17</f>
        <v>807047</v>
      </c>
      <c r="J17" s="201">
        <f>H17+I17</f>
        <v>766194</v>
      </c>
      <c r="K17" s="216">
        <v>628460</v>
      </c>
      <c r="M17" s="216">
        <f>J17-K17</f>
        <v>137734</v>
      </c>
      <c r="R17" s="201"/>
      <c r="T17" s="201"/>
      <c r="V17" s="201"/>
      <c r="X17" s="201"/>
      <c r="Z17" s="201"/>
      <c r="AB17" s="201"/>
      <c r="AD17" s="201"/>
      <c r="AF17" s="201"/>
      <c r="AJ17" s="201"/>
    </row>
    <row r="18" ht="12.75" hidden="1">
      <c r="A18" s="194">
        <v>3</v>
      </c>
    </row>
    <row r="19" spans="1:36" ht="12.75" hidden="1">
      <c r="A19" s="194">
        <v>4</v>
      </c>
      <c r="B19" s="283" t="s">
        <v>506</v>
      </c>
      <c r="C19" s="201">
        <v>217534</v>
      </c>
      <c r="D19" s="201">
        <v>40331</v>
      </c>
      <c r="E19" s="201">
        <v>51130</v>
      </c>
      <c r="F19" s="201">
        <v>36511</v>
      </c>
      <c r="G19" s="201">
        <v>81883</v>
      </c>
      <c r="H19" s="201">
        <f>C19-D19-E19-F19-G19</f>
        <v>7679</v>
      </c>
      <c r="I19" s="201">
        <f>F19+10010</f>
        <v>46521</v>
      </c>
      <c r="J19" s="201">
        <f>H19+I19</f>
        <v>54200</v>
      </c>
      <c r="K19" s="216">
        <v>6937</v>
      </c>
      <c r="M19" s="216">
        <f>J19-K19-L19</f>
        <v>47263</v>
      </c>
      <c r="R19" s="201"/>
      <c r="T19" s="201"/>
      <c r="V19" s="201"/>
      <c r="X19" s="201"/>
      <c r="Z19" s="201"/>
      <c r="AB19" s="201"/>
      <c r="AD19" s="201"/>
      <c r="AF19" s="201"/>
      <c r="AJ19" s="201"/>
    </row>
    <row r="20" spans="1:36" ht="12.75" hidden="1">
      <c r="A20" s="194">
        <v>5</v>
      </c>
      <c r="B20" s="283" t="s">
        <v>507</v>
      </c>
      <c r="C20" s="201">
        <v>189542</v>
      </c>
      <c r="D20" s="201">
        <f>9898+39449</f>
        <v>49347</v>
      </c>
      <c r="E20" s="201">
        <v>25195</v>
      </c>
      <c r="F20" s="201">
        <v>39083</v>
      </c>
      <c r="G20" s="201">
        <v>98889</v>
      </c>
      <c r="H20" s="201">
        <f>C20-D20-E20-F20-G20</f>
        <v>-22972</v>
      </c>
      <c r="I20" s="201">
        <f>F20+3503</f>
        <v>42586</v>
      </c>
      <c r="J20" s="201">
        <f>H20+I20</f>
        <v>19614</v>
      </c>
      <c r="K20" s="216">
        <v>914</v>
      </c>
      <c r="M20" s="216">
        <f>J20-K20-L20</f>
        <v>18700</v>
      </c>
      <c r="R20" s="201"/>
      <c r="T20" s="201"/>
      <c r="V20" s="201"/>
      <c r="X20" s="201"/>
      <c r="Z20" s="201"/>
      <c r="AB20" s="201"/>
      <c r="AD20" s="201"/>
      <c r="AF20" s="201"/>
      <c r="AJ20" s="201"/>
    </row>
    <row r="21" spans="1:36" ht="12.75" hidden="1">
      <c r="A21" s="194">
        <v>6</v>
      </c>
      <c r="B21" s="283" t="s">
        <v>508</v>
      </c>
      <c r="C21" s="201">
        <v>341863</v>
      </c>
      <c r="D21" s="201">
        <v>76460</v>
      </c>
      <c r="E21" s="201">
        <f>89272+93471</f>
        <v>182743</v>
      </c>
      <c r="F21" s="201">
        <v>41237</v>
      </c>
      <c r="G21" s="201">
        <v>105740</v>
      </c>
      <c r="H21" s="201">
        <f>C21-D21-E21-F21-G21</f>
        <v>-64317</v>
      </c>
      <c r="I21" s="201">
        <f>F21+44210+8994</f>
        <v>94441</v>
      </c>
      <c r="J21" s="201">
        <f>H21+I21</f>
        <v>30124</v>
      </c>
      <c r="K21" s="216">
        <v>73</v>
      </c>
      <c r="M21" s="216">
        <f>J21-K21-L21</f>
        <v>30051</v>
      </c>
      <c r="R21" s="201"/>
      <c r="T21" s="201"/>
      <c r="V21" s="201"/>
      <c r="X21" s="201"/>
      <c r="Z21" s="201"/>
      <c r="AB21" s="201"/>
      <c r="AD21" s="201"/>
      <c r="AF21" s="201"/>
      <c r="AJ21" s="201"/>
    </row>
    <row r="22" spans="1:36" ht="12.75" hidden="1">
      <c r="A22" s="194">
        <v>7</v>
      </c>
      <c r="B22" s="283" t="s">
        <v>509</v>
      </c>
      <c r="C22" s="201">
        <v>502589</v>
      </c>
      <c r="D22" s="201">
        <f>43497+49493</f>
        <v>92990</v>
      </c>
      <c r="E22" s="201">
        <f>205636+63989</f>
        <v>269625</v>
      </c>
      <c r="F22" s="201">
        <v>42870</v>
      </c>
      <c r="G22" s="201">
        <v>118861</v>
      </c>
      <c r="H22" s="201">
        <f>C22-D22-E22-F22-G22</f>
        <v>-21757</v>
      </c>
      <c r="I22" s="201">
        <f>F22+6071</f>
        <v>48941</v>
      </c>
      <c r="J22" s="201">
        <f>H22+I22</f>
        <v>27184</v>
      </c>
      <c r="K22" s="216">
        <f>1650+2760</f>
        <v>4410</v>
      </c>
      <c r="M22" s="216">
        <f>J22-K22-L22</f>
        <v>22774</v>
      </c>
      <c r="R22" s="201"/>
      <c r="T22" s="201"/>
      <c r="V22" s="201"/>
      <c r="X22" s="201"/>
      <c r="Z22" s="201"/>
      <c r="AB22" s="201"/>
      <c r="AD22" s="201"/>
      <c r="AF22" s="201"/>
      <c r="AG22" s="200"/>
      <c r="AJ22" s="201"/>
    </row>
    <row r="23" spans="1:36" ht="12.75" hidden="1">
      <c r="A23" s="194">
        <v>8</v>
      </c>
      <c r="B23" s="283" t="s">
        <v>510</v>
      </c>
      <c r="C23" s="201">
        <v>1067604</v>
      </c>
      <c r="D23" s="201">
        <f>61354+55494-1418</f>
        <v>115430</v>
      </c>
      <c r="E23" s="201">
        <f>135662+381409+428371</f>
        <v>945442</v>
      </c>
      <c r="F23" s="201">
        <f>47937+1418</f>
        <v>49355</v>
      </c>
      <c r="G23" s="201">
        <v>145610</v>
      </c>
      <c r="H23" s="201">
        <f>C23-D23-E23-F23-G23</f>
        <v>-188233</v>
      </c>
      <c r="I23" s="201">
        <f>F23+6072</f>
        <v>55427</v>
      </c>
      <c r="J23" s="201">
        <f>H23+I23</f>
        <v>-132806</v>
      </c>
      <c r="K23" s="216">
        <v>0</v>
      </c>
      <c r="M23" s="216">
        <f>J23-K23-L23</f>
        <v>-132806</v>
      </c>
      <c r="O23" s="216"/>
      <c r="R23" s="201"/>
      <c r="T23" s="201"/>
      <c r="V23" s="201"/>
      <c r="X23" s="201"/>
      <c r="Z23" s="201"/>
      <c r="AB23" s="201"/>
      <c r="AD23" s="201"/>
      <c r="AF23" s="201"/>
      <c r="AG23" s="198"/>
      <c r="AJ23" s="201"/>
    </row>
    <row r="24" spans="1:36" ht="12.75" hidden="1">
      <c r="A24" s="194">
        <v>9</v>
      </c>
      <c r="B24" s="283"/>
      <c r="C24" s="201"/>
      <c r="D24" s="201"/>
      <c r="E24" s="201"/>
      <c r="F24" s="201"/>
      <c r="G24" s="201"/>
      <c r="H24" s="201"/>
      <c r="I24" s="201"/>
      <c r="J24" s="201"/>
      <c r="K24" s="216"/>
      <c r="M24" s="216"/>
      <c r="O24" s="216"/>
      <c r="R24" s="201"/>
      <c r="T24" s="201"/>
      <c r="V24" s="201"/>
      <c r="X24" s="201"/>
      <c r="Z24" s="201"/>
      <c r="AB24" s="201"/>
      <c r="AD24" s="201"/>
      <c r="AF24" s="201"/>
      <c r="AG24" s="198"/>
      <c r="AJ24" s="201"/>
    </row>
    <row r="25" spans="1:36" ht="12.75" hidden="1">
      <c r="A25" s="194">
        <v>10</v>
      </c>
      <c r="B25" s="283" t="s">
        <v>511</v>
      </c>
      <c r="C25" s="201">
        <f>1549866-64125</f>
        <v>1485741</v>
      </c>
      <c r="D25" s="201">
        <f>55616+64508-5164</f>
        <v>114960</v>
      </c>
      <c r="E25" s="201">
        <f>73334+633007+549469</f>
        <v>1255810</v>
      </c>
      <c r="F25" s="201">
        <f>52803+5164</f>
        <v>57967</v>
      </c>
      <c r="G25" s="201">
        <v>153763</v>
      </c>
      <c r="H25" s="201">
        <f>C25-D25-E25-F25-G25</f>
        <v>-96759</v>
      </c>
      <c r="I25" s="201">
        <f>F25+6072</f>
        <v>64039</v>
      </c>
      <c r="J25" s="201">
        <f>H25+I25</f>
        <v>-32720</v>
      </c>
      <c r="K25" s="216">
        <v>0</v>
      </c>
      <c r="M25" s="216">
        <f>J25-K25-L25</f>
        <v>-32720</v>
      </c>
      <c r="R25" s="201"/>
      <c r="T25" s="201"/>
      <c r="V25" s="201"/>
      <c r="X25" s="201"/>
      <c r="Z25" s="201"/>
      <c r="AB25" s="201"/>
      <c r="AD25" s="201"/>
      <c r="AF25" s="201"/>
      <c r="AG25" s="198"/>
      <c r="AJ25" s="201"/>
    </row>
    <row r="26" spans="1:36" ht="12.75" hidden="1">
      <c r="A26" s="194">
        <v>11</v>
      </c>
      <c r="B26" s="283" t="s">
        <v>512</v>
      </c>
      <c r="C26" s="201">
        <v>2248654</v>
      </c>
      <c r="D26" s="201">
        <v>146870</v>
      </c>
      <c r="E26" s="201">
        <v>1898859</v>
      </c>
      <c r="F26" s="201">
        <f>54008+13636</f>
        <v>67644</v>
      </c>
      <c r="G26" s="201">
        <v>170942</v>
      </c>
      <c r="H26" s="201">
        <f>C26-D26-E26-F26-G26</f>
        <v>-35661</v>
      </c>
      <c r="I26" s="201">
        <f>F26+189738</f>
        <v>257382</v>
      </c>
      <c r="J26" s="201">
        <f>H26+I26</f>
        <v>221721</v>
      </c>
      <c r="K26" s="216">
        <f>1342+190952</f>
        <v>192294</v>
      </c>
      <c r="M26" s="216">
        <f>J26-K26-L26</f>
        <v>29427</v>
      </c>
      <c r="R26" s="201"/>
      <c r="T26" s="201"/>
      <c r="V26" s="201"/>
      <c r="X26" s="201"/>
      <c r="Z26" s="201"/>
      <c r="AB26" s="201"/>
      <c r="AD26" s="201"/>
      <c r="AF26" s="201"/>
      <c r="AG26" s="200"/>
      <c r="AJ26" s="201"/>
    </row>
    <row r="27" spans="1:36" ht="12.75" hidden="1">
      <c r="A27" s="194">
        <v>12</v>
      </c>
      <c r="B27" s="283" t="s">
        <v>513</v>
      </c>
      <c r="C27" s="201">
        <v>2371829</v>
      </c>
      <c r="D27" s="201">
        <f>74671+44018+14627+4348</f>
        <v>137664</v>
      </c>
      <c r="E27" s="201">
        <f>51079+51816+206272+357843+206239+16166+1008762+1</f>
        <v>1898178</v>
      </c>
      <c r="F27" s="201">
        <f>57987+17724</f>
        <v>75711</v>
      </c>
      <c r="G27" s="201">
        <v>173888</v>
      </c>
      <c r="H27" s="201">
        <f>C27-D27-E27-F27-G27</f>
        <v>86388</v>
      </c>
      <c r="I27" s="201">
        <f>F27</f>
        <v>75711</v>
      </c>
      <c r="J27" s="201">
        <f>H27+I27</f>
        <v>162099</v>
      </c>
      <c r="K27" s="216">
        <v>37354</v>
      </c>
      <c r="M27" s="216">
        <f>J27-K27-L27</f>
        <v>124745</v>
      </c>
      <c r="R27" s="201"/>
      <c r="T27" s="201"/>
      <c r="V27" s="201"/>
      <c r="X27" s="201"/>
      <c r="Z27" s="201"/>
      <c r="AB27" s="201"/>
      <c r="AD27" s="201"/>
      <c r="AF27" s="201"/>
      <c r="AJ27" s="201"/>
    </row>
    <row r="28" spans="1:36" ht="12.75" hidden="1">
      <c r="A28" s="194">
        <v>13</v>
      </c>
      <c r="B28" s="283" t="s">
        <v>514</v>
      </c>
      <c r="C28" s="201">
        <v>2179326</v>
      </c>
      <c r="D28" s="201">
        <f>76520+41909+13847+3356</f>
        <v>135632</v>
      </c>
      <c r="E28" s="201">
        <f>37500+54116+199046+375937+176102+6074+1046379-1</f>
        <v>1895153</v>
      </c>
      <c r="F28" s="201">
        <f>60548+23614</f>
        <v>84162</v>
      </c>
      <c r="G28" s="201">
        <v>175257</v>
      </c>
      <c r="H28" s="201">
        <f>C28-D28-E28-F28-G28</f>
        <v>-110878</v>
      </c>
      <c r="I28" s="201">
        <f>F28</f>
        <v>84162</v>
      </c>
      <c r="J28" s="201">
        <f>H28+I28</f>
        <v>-26716</v>
      </c>
      <c r="K28" s="216">
        <v>10587</v>
      </c>
      <c r="M28" s="216">
        <f>J28-K28-L28</f>
        <v>-37303</v>
      </c>
      <c r="R28" s="201"/>
      <c r="T28" s="201"/>
      <c r="V28" s="201"/>
      <c r="X28" s="201"/>
      <c r="Z28" s="201"/>
      <c r="AB28" s="201"/>
      <c r="AD28" s="201"/>
      <c r="AF28" s="201"/>
      <c r="AJ28" s="201"/>
    </row>
    <row r="29" spans="1:36" ht="12.75" hidden="1">
      <c r="A29" s="194">
        <v>14</v>
      </c>
      <c r="B29" s="283" t="s">
        <v>515</v>
      </c>
      <c r="C29" s="201">
        <f>1217315+796725</f>
        <v>2014040</v>
      </c>
      <c r="D29" s="201">
        <f>149231+4953</f>
        <v>154184</v>
      </c>
      <c r="E29" s="201">
        <f>17100+56538+199668+346352+183669+9428+1013956</f>
        <v>1826711</v>
      </c>
      <c r="F29" s="201">
        <f>63134+28418</f>
        <v>91552</v>
      </c>
      <c r="G29" s="201">
        <v>199448</v>
      </c>
      <c r="H29" s="201">
        <f>C29-D29-E29-F29-G29</f>
        <v>-257855</v>
      </c>
      <c r="I29" s="201">
        <f>F29</f>
        <v>91552</v>
      </c>
      <c r="J29" s="201">
        <f>H29+I29</f>
        <v>-166303</v>
      </c>
      <c r="K29" s="216">
        <v>2471</v>
      </c>
      <c r="M29" s="216">
        <f>J29-K29-L29</f>
        <v>-168774</v>
      </c>
      <c r="R29" s="201"/>
      <c r="T29" s="201"/>
      <c r="V29" s="201"/>
      <c r="X29" s="201"/>
      <c r="Z29" s="201"/>
      <c r="AB29" s="201"/>
      <c r="AD29" s="201"/>
      <c r="AF29" s="201"/>
      <c r="AJ29" s="201"/>
    </row>
    <row r="30" ht="12.75" hidden="1">
      <c r="A30" s="194">
        <v>15</v>
      </c>
    </row>
    <row r="31" spans="1:36" ht="12.75" hidden="1">
      <c r="A31" s="194">
        <v>16</v>
      </c>
      <c r="B31" s="283" t="s">
        <v>516</v>
      </c>
      <c r="C31" s="201">
        <f>1541742+761737</f>
        <v>2303479</v>
      </c>
      <c r="D31" s="201">
        <v>183326</v>
      </c>
      <c r="E31" s="201">
        <v>1796029</v>
      </c>
      <c r="F31" s="201">
        <v>98288</v>
      </c>
      <c r="G31" s="201">
        <v>204416</v>
      </c>
      <c r="H31" s="201">
        <f>C31-D31-E31-F31-G31</f>
        <v>21420</v>
      </c>
      <c r="I31" s="201">
        <f>F31</f>
        <v>98288</v>
      </c>
      <c r="J31" s="201">
        <f>H31+I31</f>
        <v>119708</v>
      </c>
      <c r="K31" s="216">
        <v>149778</v>
      </c>
      <c r="M31" s="216">
        <f>J31-K31-L31</f>
        <v>-30070</v>
      </c>
      <c r="R31" s="201"/>
      <c r="T31" s="201"/>
      <c r="V31" s="201"/>
      <c r="X31" s="201"/>
      <c r="Z31" s="201"/>
      <c r="AB31" s="201"/>
      <c r="AD31" s="201"/>
      <c r="AF31" s="201"/>
      <c r="AJ31" s="201"/>
    </row>
    <row r="32" spans="1:36" ht="12.75" hidden="1">
      <c r="A32" s="194">
        <v>17</v>
      </c>
      <c r="B32" s="283" t="s">
        <v>517</v>
      </c>
      <c r="C32" s="201">
        <v>2273508</v>
      </c>
      <c r="D32" s="201">
        <v>173694</v>
      </c>
      <c r="E32" s="201">
        <v>1760205</v>
      </c>
      <c r="F32" s="201">
        <v>100104</v>
      </c>
      <c r="G32" s="201">
        <v>189446</v>
      </c>
      <c r="H32" s="201">
        <f>C32-D32-E32-F32-G32</f>
        <v>50059</v>
      </c>
      <c r="I32" s="201">
        <f>F32</f>
        <v>100104</v>
      </c>
      <c r="J32" s="201">
        <f>H32+I32</f>
        <v>150163</v>
      </c>
      <c r="K32" s="216">
        <v>32875</v>
      </c>
      <c r="M32" s="216">
        <f>J32-K32-L32</f>
        <v>117288</v>
      </c>
      <c r="R32" s="201"/>
      <c r="T32" s="201"/>
      <c r="V32" s="201"/>
      <c r="X32" s="201"/>
      <c r="Z32" s="201"/>
      <c r="AB32" s="201"/>
      <c r="AD32" s="201"/>
      <c r="AF32" s="201"/>
      <c r="AJ32" s="201"/>
    </row>
    <row r="33" spans="1:36" ht="12.75" hidden="1">
      <c r="A33" s="194">
        <v>18</v>
      </c>
      <c r="B33" s="283" t="s">
        <v>518</v>
      </c>
      <c r="C33" s="201">
        <v>2315035</v>
      </c>
      <c r="D33" s="201">
        <v>198721</v>
      </c>
      <c r="E33" s="201">
        <v>1527829</v>
      </c>
      <c r="F33" s="201">
        <v>105338</v>
      </c>
      <c r="G33" s="201">
        <v>197462</v>
      </c>
      <c r="H33" s="201">
        <f>C33-D33-E33-F33-G33</f>
        <v>285685</v>
      </c>
      <c r="I33" s="201">
        <f>F33</f>
        <v>105338</v>
      </c>
      <c r="J33" s="201">
        <f>H33+I33</f>
        <v>391023</v>
      </c>
      <c r="K33" s="216">
        <v>63336</v>
      </c>
      <c r="M33" s="216">
        <f>J33-K33-L33</f>
        <v>327687</v>
      </c>
      <c r="R33" s="201"/>
      <c r="T33" s="201"/>
      <c r="V33" s="201"/>
      <c r="X33" s="201"/>
      <c r="Z33" s="201"/>
      <c r="AB33" s="201"/>
      <c r="AD33" s="201"/>
      <c r="AF33" s="201"/>
      <c r="AJ33" s="201"/>
    </row>
    <row r="34" spans="1:36" ht="12.75" hidden="1">
      <c r="A34" s="194">
        <v>19</v>
      </c>
      <c r="B34" s="283" t="s">
        <v>519</v>
      </c>
      <c r="C34" s="201">
        <v>2482482</v>
      </c>
      <c r="D34" s="201">
        <v>216777</v>
      </c>
      <c r="E34" s="201">
        <v>1572046</v>
      </c>
      <c r="F34" s="201">
        <v>103047</v>
      </c>
      <c r="G34" s="201">
        <v>167559</v>
      </c>
      <c r="H34" s="201">
        <f>C34-D34-E34-F34-G34</f>
        <v>423053</v>
      </c>
      <c r="I34" s="201">
        <f>F34</f>
        <v>103047</v>
      </c>
      <c r="J34" s="201">
        <f>H34+I34</f>
        <v>526100</v>
      </c>
      <c r="K34" s="216">
        <v>114583</v>
      </c>
      <c r="M34" s="216">
        <f>J34-K34-L34</f>
        <v>411517</v>
      </c>
      <c r="R34" s="201"/>
      <c r="T34" s="201"/>
      <c r="V34" s="201"/>
      <c r="X34" s="201"/>
      <c r="Z34" s="201"/>
      <c r="AB34" s="201"/>
      <c r="AD34" s="201"/>
      <c r="AF34" s="201"/>
      <c r="AJ34" s="201"/>
    </row>
    <row r="35" spans="1:36" ht="12.75" hidden="1">
      <c r="A35" s="194">
        <v>20</v>
      </c>
      <c r="B35" s="283" t="s">
        <v>520</v>
      </c>
      <c r="C35" s="201">
        <v>2142645</v>
      </c>
      <c r="D35" s="201">
        <v>287360</v>
      </c>
      <c r="E35" s="201">
        <v>1821930</v>
      </c>
      <c r="F35" s="201">
        <v>110403</v>
      </c>
      <c r="G35" s="201">
        <v>169711</v>
      </c>
      <c r="H35" s="201">
        <f>C35-D35-E35-F35-G35</f>
        <v>-246759</v>
      </c>
      <c r="I35" s="201">
        <f>F35</f>
        <v>110403</v>
      </c>
      <c r="J35" s="201">
        <f>H35+I35</f>
        <v>-136356</v>
      </c>
      <c r="K35" s="216">
        <v>57543</v>
      </c>
      <c r="M35" s="216">
        <f>J35-K35-L35</f>
        <v>-193899</v>
      </c>
      <c r="R35" s="201"/>
      <c r="T35" s="201"/>
      <c r="V35" s="201"/>
      <c r="X35" s="201"/>
      <c r="Z35" s="201"/>
      <c r="AB35" s="201"/>
      <c r="AD35" s="201"/>
      <c r="AF35" s="201"/>
      <c r="AJ35" s="201"/>
    </row>
    <row r="36" spans="1:36" ht="12.75" hidden="1">
      <c r="A36" s="194">
        <v>21</v>
      </c>
      <c r="B36" s="283"/>
      <c r="C36" s="201"/>
      <c r="D36" s="201"/>
      <c r="E36" s="201"/>
      <c r="F36" s="201"/>
      <c r="G36" s="201"/>
      <c r="H36" s="201"/>
      <c r="I36" s="201"/>
      <c r="J36" s="201"/>
      <c r="K36" s="216"/>
      <c r="M36" s="216"/>
      <c r="R36" s="201"/>
      <c r="T36" s="201"/>
      <c r="V36" s="201"/>
      <c r="X36" s="201"/>
      <c r="Z36" s="201"/>
      <c r="AB36" s="201"/>
      <c r="AD36" s="201"/>
      <c r="AF36" s="201"/>
      <c r="AJ36" s="201"/>
    </row>
    <row r="37" spans="1:36" ht="12.75" hidden="1">
      <c r="A37" s="194">
        <v>22</v>
      </c>
      <c r="B37" s="283" t="s">
        <v>521</v>
      </c>
      <c r="C37" s="201">
        <v>2233989</v>
      </c>
      <c r="D37" s="201">
        <v>309915</v>
      </c>
      <c r="E37" s="201">
        <v>1868863</v>
      </c>
      <c r="F37" s="202">
        <v>118143</v>
      </c>
      <c r="G37" s="201">
        <v>186455</v>
      </c>
      <c r="H37" s="201">
        <f>C37-D37-E37-F37-G37</f>
        <v>-249387</v>
      </c>
      <c r="I37" s="201">
        <f>F37</f>
        <v>118143</v>
      </c>
      <c r="J37" s="201">
        <f>H37+I37</f>
        <v>-131244</v>
      </c>
      <c r="K37" s="216">
        <v>117974</v>
      </c>
      <c r="M37" s="216">
        <f>J37-K37-L37</f>
        <v>-249218</v>
      </c>
      <c r="R37" s="201"/>
      <c r="T37" s="201"/>
      <c r="V37" s="201"/>
      <c r="X37" s="201"/>
      <c r="Z37" s="201"/>
      <c r="AB37" s="201"/>
      <c r="AD37" s="201"/>
      <c r="AF37" s="201"/>
      <c r="AJ37" s="201"/>
    </row>
    <row r="38" spans="1:36" ht="12.75" hidden="1">
      <c r="A38" s="194">
        <v>23</v>
      </c>
      <c r="B38" s="203">
        <v>1994</v>
      </c>
      <c r="C38" s="204">
        <v>2536059</v>
      </c>
      <c r="D38" s="201">
        <v>316352</v>
      </c>
      <c r="E38" s="201">
        <v>1934944</v>
      </c>
      <c r="F38" s="202">
        <v>125396</v>
      </c>
      <c r="G38" s="201">
        <v>197222</v>
      </c>
      <c r="H38" s="201">
        <f>C38-D38-E38-F38-G38</f>
        <v>-37855</v>
      </c>
      <c r="I38" s="201">
        <f>F38</f>
        <v>125396</v>
      </c>
      <c r="J38" s="201">
        <f>H38+I38</f>
        <v>87541</v>
      </c>
      <c r="K38" s="216">
        <v>135018</v>
      </c>
      <c r="M38" s="216">
        <f>J38-K38-L38</f>
        <v>-47477</v>
      </c>
      <c r="R38" s="201"/>
      <c r="T38" s="201"/>
      <c r="V38" s="201"/>
      <c r="X38" s="201"/>
      <c r="Z38" s="201"/>
      <c r="AB38" s="201"/>
      <c r="AD38" s="201"/>
      <c r="AF38" s="201"/>
      <c r="AJ38" s="201"/>
    </row>
    <row r="39" spans="1:36" ht="12.75" hidden="1">
      <c r="A39" s="194">
        <v>24</v>
      </c>
      <c r="B39" s="203">
        <v>1995</v>
      </c>
      <c r="C39" s="204">
        <v>2704285</v>
      </c>
      <c r="D39" s="201">
        <v>327420</v>
      </c>
      <c r="E39" s="201">
        <v>1915529</v>
      </c>
      <c r="F39" s="202">
        <v>141798</v>
      </c>
      <c r="G39" s="201">
        <v>215850</v>
      </c>
      <c r="H39" s="201">
        <f>C39-D39-E39-F39-G39</f>
        <v>103688</v>
      </c>
      <c r="I39" s="201">
        <f>F39</f>
        <v>141798</v>
      </c>
      <c r="J39" s="201">
        <f>H39+I39</f>
        <v>245486</v>
      </c>
      <c r="K39" s="216">
        <v>196544</v>
      </c>
      <c r="M39" s="216">
        <f>J39-K39-L39</f>
        <v>48942</v>
      </c>
      <c r="R39" s="201"/>
      <c r="T39" s="201"/>
      <c r="V39" s="201"/>
      <c r="X39" s="201"/>
      <c r="Z39" s="201"/>
      <c r="AB39" s="201"/>
      <c r="AD39" s="201"/>
      <c r="AF39" s="201"/>
      <c r="AJ39" s="201"/>
    </row>
    <row r="40" spans="1:36" ht="12.75" hidden="1">
      <c r="A40" s="194">
        <v>25</v>
      </c>
      <c r="B40" s="203">
        <v>1996</v>
      </c>
      <c r="C40" s="201">
        <f>1893145+851365</f>
        <v>2744510</v>
      </c>
      <c r="D40" s="201">
        <v>366808</v>
      </c>
      <c r="E40" s="201">
        <v>1959406</v>
      </c>
      <c r="F40" s="201">
        <v>151122</v>
      </c>
      <c r="G40" s="201">
        <v>208509</v>
      </c>
      <c r="H40" s="201">
        <f>C40-D40-E40-F40-G40</f>
        <v>58665</v>
      </c>
      <c r="I40" s="201">
        <f>F40+2902</f>
        <v>154024</v>
      </c>
      <c r="J40" s="201">
        <f>H40+I40-15000</f>
        <v>197689</v>
      </c>
      <c r="K40" s="216">
        <v>135010</v>
      </c>
      <c r="L40" s="216"/>
      <c r="M40" s="216">
        <f>J40-K40-L40</f>
        <v>62679</v>
      </c>
      <c r="R40" s="201"/>
      <c r="T40" s="201"/>
      <c r="V40" s="201"/>
      <c r="X40" s="201"/>
      <c r="Z40" s="201"/>
      <c r="AB40" s="201"/>
      <c r="AD40" s="201"/>
      <c r="AE40" s="198"/>
      <c r="AF40" s="201"/>
      <c r="AJ40" s="201"/>
    </row>
    <row r="41" spans="1:13" ht="12.75" hidden="1">
      <c r="A41" s="194">
        <v>26</v>
      </c>
      <c r="B41" s="203">
        <v>1997</v>
      </c>
      <c r="C41" s="201">
        <f>1996003+436</f>
        <v>1996439</v>
      </c>
      <c r="D41" s="195">
        <f>403212+209749</f>
        <v>612961</v>
      </c>
      <c r="E41" s="195">
        <v>924789</v>
      </c>
      <c r="F41" s="195">
        <f>76910+71305</f>
        <v>148215</v>
      </c>
      <c r="G41" s="195">
        <v>197238</v>
      </c>
      <c r="H41" s="201">
        <f>C41-D41-E41-F41-G41</f>
        <v>113236</v>
      </c>
      <c r="I41" s="201">
        <f>F41-43583+1324</f>
        <v>105956</v>
      </c>
      <c r="J41" s="201">
        <f>H41+I41</f>
        <v>219192</v>
      </c>
      <c r="K41" s="211">
        <f>108114-L41</f>
        <v>82971</v>
      </c>
      <c r="L41" s="216">
        <v>25143</v>
      </c>
      <c r="M41" s="216">
        <f>J41-K41-L41</f>
        <v>111078</v>
      </c>
    </row>
    <row r="42" spans="1:14" ht="12.75" hidden="1">
      <c r="A42" s="194">
        <v>27</v>
      </c>
      <c r="B42" s="205"/>
      <c r="N42" s="217"/>
    </row>
    <row r="43" spans="1:14" ht="12.75" hidden="1">
      <c r="A43" s="194">
        <v>28</v>
      </c>
      <c r="B43" s="203">
        <v>1998</v>
      </c>
      <c r="C43" s="195">
        <f>2056052+4698</f>
        <v>2060750</v>
      </c>
      <c r="D43" s="195">
        <f>420912+244093</f>
        <v>665005</v>
      </c>
      <c r="E43" s="195">
        <v>1091678</v>
      </c>
      <c r="F43" s="195">
        <v>162562</v>
      </c>
      <c r="G43" s="195">
        <f>201930</f>
        <v>201930</v>
      </c>
      <c r="H43" s="201">
        <f>C43-D43-E43-F43-G43</f>
        <v>-60425</v>
      </c>
      <c r="I43" s="201">
        <f>F43-44122+452</f>
        <v>118892</v>
      </c>
      <c r="J43" s="201">
        <f>H43+I43+20000-1655</f>
        <v>76812</v>
      </c>
      <c r="K43" s="211">
        <v>61000</v>
      </c>
      <c r="M43" s="216">
        <f>J43-K43-L43</f>
        <v>15812</v>
      </c>
      <c r="N43" s="215"/>
    </row>
    <row r="44" spans="1:14" ht="12.75" hidden="1">
      <c r="A44" s="194">
        <v>29</v>
      </c>
      <c r="B44" s="203">
        <v>1999</v>
      </c>
      <c r="C44" s="195">
        <v>2366423</v>
      </c>
      <c r="D44" s="195">
        <f>443669+259048</f>
        <v>702717</v>
      </c>
      <c r="E44" s="195">
        <v>1196308</v>
      </c>
      <c r="F44" s="195">
        <v>162008</v>
      </c>
      <c r="G44" s="195">
        <v>182079</v>
      </c>
      <c r="H44" s="201">
        <f>C44-D44-E44-F44-G44</f>
        <v>123311</v>
      </c>
      <c r="I44" s="201">
        <f>F44-44122+1065</f>
        <v>118951</v>
      </c>
      <c r="J44" s="201">
        <f>H44+I44+74000-5179</f>
        <v>311083</v>
      </c>
      <c r="K44" s="211">
        <v>25000</v>
      </c>
      <c r="M44" s="216">
        <f>J44-K44-L44</f>
        <v>286083</v>
      </c>
      <c r="N44" s="215"/>
    </row>
    <row r="45" spans="1:36" ht="12.75" hidden="1">
      <c r="A45" s="194">
        <v>30</v>
      </c>
      <c r="B45" s="203">
        <v>2000</v>
      </c>
      <c r="C45" s="195">
        <v>2720940</v>
      </c>
      <c r="D45" s="195">
        <v>723377</v>
      </c>
      <c r="E45" s="195">
        <v>1410029</v>
      </c>
      <c r="F45" s="195">
        <v>165874</v>
      </c>
      <c r="G45" s="195">
        <v>169320</v>
      </c>
      <c r="H45" s="201">
        <f>C45-D45-E45-F45-G45</f>
        <v>252340</v>
      </c>
      <c r="I45" s="201">
        <f>F45-47755+1065</f>
        <v>119184</v>
      </c>
      <c r="J45" s="201">
        <f>H45+I45-5179</f>
        <v>366345</v>
      </c>
      <c r="K45" s="211">
        <v>175338</v>
      </c>
      <c r="L45" s="216"/>
      <c r="M45" s="216">
        <f>J45-K45-L45</f>
        <v>191007</v>
      </c>
      <c r="R45" s="201"/>
      <c r="T45" s="201"/>
      <c r="V45" s="201"/>
      <c r="X45" s="201"/>
      <c r="Z45" s="201"/>
      <c r="AB45" s="201"/>
      <c r="AD45" s="201"/>
      <c r="AE45" s="198"/>
      <c r="AF45" s="201"/>
      <c r="AH45" s="201"/>
      <c r="AJ45" s="201"/>
    </row>
    <row r="46" spans="1:36" ht="12.75" hidden="1">
      <c r="A46" s="194">
        <v>31</v>
      </c>
      <c r="B46" s="203">
        <v>2001</v>
      </c>
      <c r="C46" s="201">
        <v>3888051</v>
      </c>
      <c r="D46" s="201">
        <v>819270</v>
      </c>
      <c r="E46" s="201">
        <v>2945886</v>
      </c>
      <c r="F46" s="201">
        <v>168433</v>
      </c>
      <c r="G46" s="201">
        <v>166504</v>
      </c>
      <c r="H46" s="201">
        <f>C46-D46-E46-F46-G46</f>
        <v>-212042</v>
      </c>
      <c r="I46" s="201">
        <f>F46-47992+1065</f>
        <v>121506</v>
      </c>
      <c r="J46" s="201">
        <f>H46+I46-53056</f>
        <v>-143592</v>
      </c>
      <c r="K46" s="216">
        <f>167622-L46</f>
        <v>151062</v>
      </c>
      <c r="L46" s="211">
        <v>16560</v>
      </c>
      <c r="M46" s="216">
        <f>J46-K46-L46</f>
        <v>-311214</v>
      </c>
      <c r="O46" s="216"/>
      <c r="P46" s="216"/>
      <c r="R46" s="201"/>
      <c r="T46" s="201"/>
      <c r="V46" s="201"/>
      <c r="X46" s="201"/>
      <c r="Z46" s="201"/>
      <c r="AB46" s="201"/>
      <c r="AD46" s="201"/>
      <c r="AE46" s="198"/>
      <c r="AF46" s="201"/>
      <c r="AH46" s="201"/>
      <c r="AJ46" s="201"/>
    </row>
    <row r="47" spans="1:36" ht="12.75" hidden="1">
      <c r="A47" s="194">
        <v>32</v>
      </c>
      <c r="B47" s="203">
        <f>B46+1</f>
        <v>2002</v>
      </c>
      <c r="C47" s="201">
        <v>3047803</v>
      </c>
      <c r="D47" s="201">
        <v>833606</v>
      </c>
      <c r="E47" s="201">
        <v>1925873</v>
      </c>
      <c r="F47" s="201">
        <v>174164</v>
      </c>
      <c r="G47" s="201">
        <v>201582</v>
      </c>
      <c r="H47" s="201">
        <f>C47-D47-E47-F47-G47</f>
        <v>-87422</v>
      </c>
      <c r="I47" s="201">
        <f>F47-47738+1065</f>
        <v>127491</v>
      </c>
      <c r="J47" s="201">
        <f>H47+I47-43483</f>
        <v>-3414</v>
      </c>
      <c r="K47" s="216">
        <v>373345</v>
      </c>
      <c r="L47" s="216"/>
      <c r="M47" s="216">
        <f>J47-K47-L47</f>
        <v>-376759</v>
      </c>
      <c r="O47" s="216"/>
      <c r="P47" s="216"/>
      <c r="R47" s="201"/>
      <c r="T47" s="201"/>
      <c r="V47" s="201"/>
      <c r="X47" s="201"/>
      <c r="Z47" s="201"/>
      <c r="AB47" s="201"/>
      <c r="AD47" s="201"/>
      <c r="AF47" s="201"/>
      <c r="AH47" s="201"/>
      <c r="AJ47" s="201"/>
    </row>
    <row r="48" spans="1:36" ht="12.75" hidden="1">
      <c r="A48" s="194">
        <v>33</v>
      </c>
      <c r="B48" s="203"/>
      <c r="C48" s="201"/>
      <c r="D48" s="201"/>
      <c r="E48" s="201"/>
      <c r="F48" s="201"/>
      <c r="G48" s="201"/>
      <c r="H48" s="201"/>
      <c r="I48" s="201"/>
      <c r="J48" s="201"/>
      <c r="K48" s="216"/>
      <c r="L48" s="216"/>
      <c r="M48" s="216"/>
      <c r="O48" s="216"/>
      <c r="P48" s="216"/>
      <c r="R48" s="201"/>
      <c r="T48" s="201"/>
      <c r="V48" s="201"/>
      <c r="X48" s="201"/>
      <c r="Z48" s="201"/>
      <c r="AB48" s="201"/>
      <c r="AD48" s="201"/>
      <c r="AF48" s="201"/>
      <c r="AH48" s="201"/>
      <c r="AJ48" s="201"/>
    </row>
    <row r="49" spans="1:36" ht="12.75" hidden="1">
      <c r="A49" s="194">
        <v>1</v>
      </c>
      <c r="B49" s="203">
        <v>2002</v>
      </c>
      <c r="C49" s="201">
        <f aca="true" t="shared" si="0" ref="C49:M49">SUM(C17:C48)</f>
        <v>53734071</v>
      </c>
      <c r="D49" s="201">
        <f t="shared" si="0"/>
        <v>8765016</v>
      </c>
      <c r="E49" s="201">
        <f t="shared" si="0"/>
        <v>36248938</v>
      </c>
      <c r="F49" s="201">
        <f t="shared" si="0"/>
        <v>3428034</v>
      </c>
      <c r="G49" s="201">
        <f t="shared" si="0"/>
        <v>5499734</v>
      </c>
      <c r="H49" s="201">
        <f t="shared" si="0"/>
        <v>-207651</v>
      </c>
      <c r="I49" s="201">
        <f t="shared" si="0"/>
        <v>3436330</v>
      </c>
      <c r="J49" s="201">
        <f t="shared" si="0"/>
        <v>3199127</v>
      </c>
      <c r="K49" s="216">
        <f t="shared" si="0"/>
        <v>2754877</v>
      </c>
      <c r="L49" s="216">
        <f t="shared" si="0"/>
        <v>41703</v>
      </c>
      <c r="M49" s="216">
        <f t="shared" si="0"/>
        <v>402547</v>
      </c>
      <c r="O49" s="216"/>
      <c r="P49" s="216"/>
      <c r="R49" s="201"/>
      <c r="T49" s="201"/>
      <c r="V49" s="201"/>
      <c r="X49" s="201"/>
      <c r="Z49" s="201"/>
      <c r="AB49" s="201"/>
      <c r="AD49" s="201"/>
      <c r="AF49" s="201"/>
      <c r="AH49" s="201"/>
      <c r="AJ49" s="201"/>
    </row>
    <row r="50" spans="1:36" ht="12.75" hidden="1">
      <c r="A50" s="194">
        <v>2</v>
      </c>
      <c r="B50" s="203"/>
      <c r="C50" s="201"/>
      <c r="D50" s="201"/>
      <c r="E50" s="201"/>
      <c r="F50" s="201"/>
      <c r="G50" s="201"/>
      <c r="H50" s="201"/>
      <c r="I50" s="201"/>
      <c r="J50" s="201"/>
      <c r="K50" s="216"/>
      <c r="L50" s="216"/>
      <c r="M50" s="216"/>
      <c r="O50" s="216"/>
      <c r="P50" s="216"/>
      <c r="R50" s="201"/>
      <c r="T50" s="201"/>
      <c r="V50" s="201"/>
      <c r="X50" s="201"/>
      <c r="Z50" s="201"/>
      <c r="AB50" s="201"/>
      <c r="AD50" s="201"/>
      <c r="AF50" s="201"/>
      <c r="AH50" s="201"/>
      <c r="AJ50" s="201"/>
    </row>
    <row r="51" spans="1:36" ht="12.75" hidden="1">
      <c r="A51" s="194">
        <v>3</v>
      </c>
      <c r="C51" s="201"/>
      <c r="D51" s="201"/>
      <c r="E51" s="201"/>
      <c r="F51" s="201"/>
      <c r="G51" s="201"/>
      <c r="H51" s="201"/>
      <c r="I51" s="201"/>
      <c r="J51" s="201"/>
      <c r="K51" s="216"/>
      <c r="L51" s="216"/>
      <c r="M51" s="216"/>
      <c r="O51" s="216"/>
      <c r="P51" s="216"/>
      <c r="R51" s="201"/>
      <c r="T51" s="201"/>
      <c r="V51" s="201"/>
      <c r="X51" s="201"/>
      <c r="Z51" s="201"/>
      <c r="AB51" s="201"/>
      <c r="AD51" s="201"/>
      <c r="AF51" s="201"/>
      <c r="AH51" s="201"/>
      <c r="AJ51" s="201"/>
    </row>
    <row r="52" spans="1:36" ht="12.75" hidden="1">
      <c r="A52" s="194">
        <v>4</v>
      </c>
      <c r="B52" s="203">
        <v>2003</v>
      </c>
      <c r="C52" s="201">
        <v>3144811</v>
      </c>
      <c r="D52" s="201">
        <v>705289</v>
      </c>
      <c r="E52" s="201">
        <v>1841035</v>
      </c>
      <c r="F52" s="201">
        <v>178896</v>
      </c>
      <c r="G52" s="201">
        <v>176595</v>
      </c>
      <c r="H52" s="201">
        <v>242996</v>
      </c>
      <c r="I52" s="201">
        <v>131592</v>
      </c>
      <c r="J52" s="201">
        <v>314144</v>
      </c>
      <c r="K52" s="216">
        <v>73000</v>
      </c>
      <c r="L52" s="216"/>
      <c r="M52" s="216">
        <v>241144</v>
      </c>
      <c r="O52" s="216"/>
      <c r="P52" s="216"/>
      <c r="R52" s="201"/>
      <c r="T52" s="201"/>
      <c r="V52" s="201"/>
      <c r="X52" s="201"/>
      <c r="Z52" s="201"/>
      <c r="AB52" s="201"/>
      <c r="AD52" s="201"/>
      <c r="AF52" s="201"/>
      <c r="AH52" s="201"/>
      <c r="AJ52" s="201"/>
    </row>
    <row r="53" spans="1:36" ht="12.75" hidden="1">
      <c r="A53" s="194">
        <v>5</v>
      </c>
      <c r="B53" s="203">
        <v>2004</v>
      </c>
      <c r="C53" s="201">
        <v>2738898</v>
      </c>
      <c r="D53" s="201">
        <v>713549</v>
      </c>
      <c r="E53" s="201">
        <v>1366265</v>
      </c>
      <c r="F53" s="201">
        <v>177298</v>
      </c>
      <c r="G53" s="201">
        <v>162531</v>
      </c>
      <c r="H53" s="201">
        <v>319255</v>
      </c>
      <c r="I53" s="201">
        <v>129789</v>
      </c>
      <c r="J53" s="201">
        <v>354413</v>
      </c>
      <c r="K53" s="216">
        <v>233000</v>
      </c>
      <c r="L53" s="216">
        <v>739</v>
      </c>
      <c r="M53" s="216">
        <v>120674</v>
      </c>
      <c r="O53" s="216"/>
      <c r="P53" s="216"/>
      <c r="R53" s="201"/>
      <c r="T53" s="201"/>
      <c r="V53" s="201"/>
      <c r="X53" s="201"/>
      <c r="Z53" s="201"/>
      <c r="AB53" s="201"/>
      <c r="AD53" s="201"/>
      <c r="AF53" s="201"/>
      <c r="AH53" s="201"/>
      <c r="AJ53" s="201"/>
    </row>
    <row r="54" spans="1:36" ht="12.75" hidden="1">
      <c r="A54" s="194">
        <v>6</v>
      </c>
      <c r="B54" s="203">
        <v>2005</v>
      </c>
      <c r="C54" s="201">
        <v>2814224</v>
      </c>
      <c r="D54" s="201">
        <v>711713</v>
      </c>
      <c r="E54" s="201">
        <v>1420735</v>
      </c>
      <c r="F54" s="201">
        <v>186099</v>
      </c>
      <c r="G54" s="201">
        <v>166610</v>
      </c>
      <c r="H54" s="201">
        <v>329067</v>
      </c>
      <c r="I54" s="201">
        <v>-98072</v>
      </c>
      <c r="J54" s="201">
        <v>320734</v>
      </c>
      <c r="K54" s="216">
        <v>271301</v>
      </c>
      <c r="L54" s="216"/>
      <c r="M54" s="216">
        <v>49433</v>
      </c>
      <c r="O54" s="216"/>
      <c r="P54" s="216"/>
      <c r="R54" s="201"/>
      <c r="T54" s="201"/>
      <c r="V54" s="201"/>
      <c r="X54" s="201"/>
      <c r="Z54" s="201"/>
      <c r="AB54" s="201"/>
      <c r="AD54" s="201"/>
      <c r="AF54" s="201"/>
      <c r="AH54" s="201"/>
      <c r="AJ54" s="201"/>
    </row>
    <row r="55" spans="1:36" ht="12.75" hidden="1">
      <c r="A55" s="194">
        <v>7</v>
      </c>
      <c r="B55" s="203">
        <v>2006</v>
      </c>
      <c r="C55" s="201">
        <v>2853659</v>
      </c>
      <c r="D55" s="201">
        <v>773510</v>
      </c>
      <c r="E55" s="201">
        <v>1436548</v>
      </c>
      <c r="F55" s="201">
        <v>181878</v>
      </c>
      <c r="G55" s="201">
        <v>157609</v>
      </c>
      <c r="H55" s="201">
        <v>304114</v>
      </c>
      <c r="I55" s="201">
        <v>-84357</v>
      </c>
      <c r="J55" s="201">
        <v>537237</v>
      </c>
      <c r="K55" s="216">
        <v>261276</v>
      </c>
      <c r="M55" s="216">
        <v>275961</v>
      </c>
      <c r="O55" s="216"/>
      <c r="P55" s="216"/>
      <c r="R55" s="201"/>
      <c r="T55" s="201"/>
      <c r="V55" s="201"/>
      <c r="X55" s="201"/>
      <c r="Z55" s="201"/>
      <c r="AB55" s="201"/>
      <c r="AD55" s="201"/>
      <c r="AF55" s="201"/>
      <c r="AH55" s="201"/>
      <c r="AJ55" s="201"/>
    </row>
    <row r="56" spans="1:36" ht="12.75" hidden="1">
      <c r="A56" s="194">
        <v>8</v>
      </c>
      <c r="B56" s="203">
        <f>B55+1</f>
        <v>2007</v>
      </c>
      <c r="C56" s="201">
        <v>2657891</v>
      </c>
      <c r="D56" s="201">
        <v>818494</v>
      </c>
      <c r="E56" s="201">
        <v>1361837</v>
      </c>
      <c r="F56" s="201">
        <v>176204</v>
      </c>
      <c r="G56" s="201">
        <v>145516</v>
      </c>
      <c r="H56" s="201">
        <v>155840</v>
      </c>
      <c r="I56" s="201">
        <v>133875</v>
      </c>
      <c r="J56" s="201">
        <v>289715</v>
      </c>
      <c r="K56" s="216">
        <v>246300</v>
      </c>
      <c r="L56" s="216"/>
      <c r="M56" s="216">
        <v>43415</v>
      </c>
      <c r="O56" s="216"/>
      <c r="P56" s="216"/>
      <c r="R56" s="201"/>
      <c r="T56" s="201"/>
      <c r="V56" s="201"/>
      <c r="X56" s="201"/>
      <c r="Z56" s="201"/>
      <c r="AB56" s="201"/>
      <c r="AD56" s="201"/>
      <c r="AF56" s="201"/>
      <c r="AH56" s="201"/>
      <c r="AJ56" s="201"/>
    </row>
    <row r="57" spans="1:36" ht="12.75" hidden="1">
      <c r="A57" s="194">
        <v>9</v>
      </c>
      <c r="B57" s="203">
        <f>B56+1</f>
        <v>2008</v>
      </c>
      <c r="C57" s="201">
        <v>2383688</v>
      </c>
      <c r="D57" s="201">
        <v>802849</v>
      </c>
      <c r="E57" s="201">
        <v>1224722</v>
      </c>
      <c r="F57" s="201">
        <v>183466</v>
      </c>
      <c r="G57" s="201">
        <v>142746</v>
      </c>
      <c r="H57" s="201">
        <v>29905</v>
      </c>
      <c r="I57" s="201">
        <v>28438</v>
      </c>
      <c r="J57" s="201">
        <v>195087</v>
      </c>
      <c r="K57" s="216">
        <v>277483</v>
      </c>
      <c r="L57" s="211">
        <v>2950</v>
      </c>
      <c r="M57" s="216">
        <v>-85346</v>
      </c>
      <c r="O57" s="216"/>
      <c r="P57" s="216"/>
      <c r="R57" s="201"/>
      <c r="T57" s="201"/>
      <c r="V57" s="201"/>
      <c r="X57" s="201"/>
      <c r="Z57" s="201"/>
      <c r="AB57" s="201"/>
      <c r="AD57" s="201"/>
      <c r="AF57" s="201"/>
      <c r="AH57" s="201"/>
      <c r="AJ57" s="201"/>
    </row>
    <row r="58" spans="1:36" ht="12.75" hidden="1">
      <c r="A58" s="194">
        <v>10</v>
      </c>
      <c r="B58" s="203">
        <f>B57+1</f>
        <v>2009</v>
      </c>
      <c r="C58" s="201">
        <v>2234695</v>
      </c>
      <c r="D58" s="201">
        <v>871705</v>
      </c>
      <c r="E58" s="201">
        <v>1265997</v>
      </c>
      <c r="F58" s="201">
        <v>180788</v>
      </c>
      <c r="G58" s="201">
        <v>151508</v>
      </c>
      <c r="H58" s="201">
        <v>-235303</v>
      </c>
      <c r="I58" s="201">
        <v>166189</v>
      </c>
      <c r="J58" s="201">
        <v>-69114</v>
      </c>
      <c r="K58" s="216">
        <v>219360</v>
      </c>
      <c r="L58" s="216"/>
      <c r="M58" s="216">
        <v>-288474</v>
      </c>
      <c r="O58" s="216"/>
      <c r="P58" s="216"/>
      <c r="R58" s="201"/>
      <c r="T58" s="201"/>
      <c r="V58" s="201"/>
      <c r="X58" s="201"/>
      <c r="Z58" s="201"/>
      <c r="AB58" s="201"/>
      <c r="AD58" s="201"/>
      <c r="AF58" s="201"/>
      <c r="AH58" s="201"/>
      <c r="AJ58" s="201"/>
    </row>
    <row r="59" spans="1:36" ht="12.75" hidden="1">
      <c r="A59" s="194">
        <v>11</v>
      </c>
      <c r="B59" s="206">
        <v>2010</v>
      </c>
      <c r="C59" s="201">
        <v>2385607</v>
      </c>
      <c r="D59" s="201">
        <v>883540</v>
      </c>
      <c r="E59" s="201">
        <v>1393796</v>
      </c>
      <c r="F59" s="201">
        <v>184989</v>
      </c>
      <c r="G59" s="201">
        <v>176928</v>
      </c>
      <c r="H59" s="201">
        <v>-253646</v>
      </c>
      <c r="I59" s="201">
        <v>120913</v>
      </c>
      <c r="J59" s="201">
        <v>-132733</v>
      </c>
      <c r="K59" s="216">
        <v>244673</v>
      </c>
      <c r="L59" s="216"/>
      <c r="M59" s="216">
        <v>-377406</v>
      </c>
      <c r="O59" s="216"/>
      <c r="P59" s="216"/>
      <c r="R59" s="201"/>
      <c r="T59" s="201"/>
      <c r="V59" s="201"/>
      <c r="X59" s="201"/>
      <c r="Z59" s="201"/>
      <c r="AB59" s="201"/>
      <c r="AD59" s="201"/>
      <c r="AF59" s="201"/>
      <c r="AH59" s="201"/>
      <c r="AJ59" s="201"/>
    </row>
    <row r="60" spans="1:36" ht="12.75" hidden="1">
      <c r="A60" s="194">
        <v>12</v>
      </c>
      <c r="B60" s="206">
        <v>2011</v>
      </c>
      <c r="C60" s="201">
        <v>2619038</v>
      </c>
      <c r="D60" s="201">
        <v>934466</v>
      </c>
      <c r="E60" s="201">
        <v>1283304</v>
      </c>
      <c r="F60" s="201">
        <v>201106</v>
      </c>
      <c r="G60" s="201">
        <v>182860</v>
      </c>
      <c r="H60" s="201">
        <v>17302</v>
      </c>
      <c r="I60" s="201">
        <v>155354</v>
      </c>
      <c r="J60" s="201">
        <v>169132</v>
      </c>
      <c r="K60" s="216">
        <v>162163</v>
      </c>
      <c r="L60" s="216"/>
      <c r="M60" s="216">
        <v>6969</v>
      </c>
      <c r="O60" s="216"/>
      <c r="P60" s="216"/>
      <c r="R60" s="201"/>
      <c r="T60" s="201"/>
      <c r="V60" s="201"/>
      <c r="X60" s="201"/>
      <c r="Z60" s="201"/>
      <c r="AB60" s="201"/>
      <c r="AD60" s="201"/>
      <c r="AF60" s="201"/>
      <c r="AH60" s="201"/>
      <c r="AJ60" s="201"/>
    </row>
    <row r="61" spans="1:36" ht="12.75" hidden="1">
      <c r="A61" s="194">
        <v>13</v>
      </c>
      <c r="B61" s="206">
        <v>2012</v>
      </c>
      <c r="C61" s="201">
        <v>2631334</v>
      </c>
      <c r="D61" s="201">
        <v>962711</v>
      </c>
      <c r="E61" s="201">
        <v>1260404</v>
      </c>
      <c r="F61" s="201">
        <v>199286</v>
      </c>
      <c r="G61" s="201">
        <v>169748</v>
      </c>
      <c r="H61" s="201">
        <v>39185</v>
      </c>
      <c r="I61" s="201">
        <v>153534</v>
      </c>
      <c r="J61" s="201">
        <v>174395</v>
      </c>
      <c r="K61" s="216">
        <v>193000</v>
      </c>
      <c r="L61" s="216">
        <v>1182</v>
      </c>
      <c r="M61" s="216">
        <v>-19787</v>
      </c>
      <c r="O61" s="216"/>
      <c r="P61" s="216"/>
      <c r="R61" s="201"/>
      <c r="T61" s="201"/>
      <c r="V61" s="201"/>
      <c r="X61" s="201"/>
      <c r="Z61" s="201"/>
      <c r="AB61" s="201"/>
      <c r="AD61" s="201"/>
      <c r="AF61" s="201"/>
      <c r="AH61" s="201"/>
      <c r="AJ61" s="201"/>
    </row>
    <row r="62" spans="1:36" ht="12.75" hidden="1">
      <c r="A62" s="194">
        <v>14</v>
      </c>
      <c r="B62" s="206">
        <v>2013</v>
      </c>
      <c r="C62" s="201">
        <v>2647095</v>
      </c>
      <c r="D62" s="201">
        <v>1011463</v>
      </c>
      <c r="E62" s="201">
        <v>1260527</v>
      </c>
      <c r="F62" s="201">
        <v>218103</v>
      </c>
      <c r="G62" s="201">
        <v>207798</v>
      </c>
      <c r="H62" s="201">
        <v>-50796</v>
      </c>
      <c r="I62" s="201">
        <v>164704</v>
      </c>
      <c r="J62" s="201">
        <v>110384</v>
      </c>
      <c r="K62" s="216">
        <v>122799</v>
      </c>
      <c r="L62" s="216">
        <v>58823</v>
      </c>
      <c r="M62" s="216">
        <v>-71238</v>
      </c>
      <c r="O62" s="216"/>
      <c r="P62" s="216"/>
      <c r="R62" s="201"/>
      <c r="T62" s="201"/>
      <c r="V62" s="201"/>
      <c r="X62" s="201"/>
      <c r="Z62" s="201"/>
      <c r="AB62" s="201"/>
      <c r="AD62" s="201"/>
      <c r="AF62" s="201"/>
      <c r="AH62" s="201"/>
      <c r="AJ62" s="201"/>
    </row>
    <row r="63" spans="1:36" ht="12.75" hidden="1">
      <c r="A63" s="194">
        <v>15</v>
      </c>
      <c r="B63" s="203">
        <v>2014</v>
      </c>
      <c r="C63" s="220">
        <v>2810919.3256600006</v>
      </c>
      <c r="D63" s="220">
        <v>1017269.02247</v>
      </c>
      <c r="E63" s="220">
        <v>896127.2825199999</v>
      </c>
      <c r="F63" s="220">
        <v>227267.03862</v>
      </c>
      <c r="G63" s="220">
        <v>196360.94574</v>
      </c>
      <c r="H63" s="220">
        <v>473895.0363100007</v>
      </c>
      <c r="I63" s="220">
        <v>143049.12777000002</v>
      </c>
      <c r="J63" s="220">
        <v>596116.3492438365</v>
      </c>
      <c r="K63" s="298">
        <v>462575</v>
      </c>
      <c r="L63" s="298">
        <v>52546.864</v>
      </c>
      <c r="M63" s="299">
        <v>80994.48524383648</v>
      </c>
      <c r="O63" s="216"/>
      <c r="P63" s="216"/>
      <c r="R63" s="201"/>
      <c r="T63" s="201"/>
      <c r="V63" s="201"/>
      <c r="X63" s="201"/>
      <c r="Z63" s="201"/>
      <c r="AB63" s="201"/>
      <c r="AD63" s="201"/>
      <c r="AF63" s="201"/>
      <c r="AH63" s="201"/>
      <c r="AJ63" s="201"/>
    </row>
    <row r="64" spans="2:36" ht="12.75" hidden="1">
      <c r="B64" s="203"/>
      <c r="C64" s="220"/>
      <c r="D64" s="220"/>
      <c r="E64" s="220"/>
      <c r="F64" s="220"/>
      <c r="G64" s="220"/>
      <c r="H64" s="220"/>
      <c r="I64" s="220"/>
      <c r="J64" s="220"/>
      <c r="K64" s="298"/>
      <c r="L64" s="298"/>
      <c r="M64" s="299"/>
      <c r="O64" s="216"/>
      <c r="P64" s="216"/>
      <c r="R64" s="201"/>
      <c r="T64" s="201"/>
      <c r="V64" s="201"/>
      <c r="X64" s="201"/>
      <c r="Z64" s="201"/>
      <c r="AB64" s="201"/>
      <c r="AD64" s="201"/>
      <c r="AF64" s="201"/>
      <c r="AH64" s="201"/>
      <c r="AJ64" s="201"/>
    </row>
    <row r="65" spans="1:36" ht="12.75">
      <c r="A65" s="194">
        <v>1</v>
      </c>
      <c r="B65" s="203">
        <v>2014</v>
      </c>
      <c r="C65" s="220">
        <f>+'Revised Evans Table'!C62</f>
        <v>85655930.32566</v>
      </c>
      <c r="D65" s="220">
        <f>+'Revised Evans Table'!D62</f>
        <v>18971574.02247</v>
      </c>
      <c r="E65" s="220">
        <f>+'Revised Evans Table'!E62</f>
        <v>52260235.282519996</v>
      </c>
      <c r="F65" s="220">
        <f>+'Revised Evans Table'!F62</f>
        <v>5723414.03862</v>
      </c>
      <c r="G65" s="220">
        <f>+'Revised Evans Table'!G62</f>
        <v>7536543.94574</v>
      </c>
      <c r="H65" s="220">
        <f>+'Revised Evans Table'!H62</f>
        <v>1164163.0363100008</v>
      </c>
      <c r="I65" s="220">
        <f>+'Revised Evans Table'!I62</f>
        <v>5120338.12777</v>
      </c>
      <c r="J65" s="220">
        <f>+'Revised Evans Table'!J62</f>
        <v>6283752.164080001</v>
      </c>
      <c r="K65" s="220">
        <f>+'Revised Evans Table'!K62</f>
        <v>5521807</v>
      </c>
      <c r="L65" s="220">
        <f>+'Revised Evans Table'!L62</f>
        <v>157943.864</v>
      </c>
      <c r="M65" s="220">
        <f>+'Revised Evans Table'!M62</f>
        <v>604001.3000800014</v>
      </c>
      <c r="O65" s="216"/>
      <c r="P65" s="216"/>
      <c r="R65" s="201"/>
      <c r="T65" s="201"/>
      <c r="V65" s="201"/>
      <c r="X65" s="201"/>
      <c r="Z65" s="201"/>
      <c r="AB65" s="201"/>
      <c r="AD65" s="201"/>
      <c r="AF65" s="201"/>
      <c r="AH65" s="201"/>
      <c r="AJ65" s="201"/>
    </row>
    <row r="66" spans="1:36" ht="12.75">
      <c r="A66" s="194">
        <v>2</v>
      </c>
      <c r="B66" s="203"/>
      <c r="C66" s="220"/>
      <c r="D66" s="220"/>
      <c r="E66" s="220"/>
      <c r="F66" s="220"/>
      <c r="G66" s="220"/>
      <c r="H66" s="220"/>
      <c r="I66" s="220"/>
      <c r="J66" s="220"/>
      <c r="K66" s="298"/>
      <c r="L66" s="298"/>
      <c r="M66" s="299"/>
      <c r="O66" s="216"/>
      <c r="P66" s="216"/>
      <c r="R66" s="201"/>
      <c r="T66" s="201"/>
      <c r="V66" s="201"/>
      <c r="X66" s="201"/>
      <c r="Z66" s="201"/>
      <c r="AB66" s="201"/>
      <c r="AD66" s="201"/>
      <c r="AF66" s="201"/>
      <c r="AH66" s="201"/>
      <c r="AJ66" s="201"/>
    </row>
    <row r="67" spans="1:36" ht="12.75">
      <c r="A67" s="194">
        <v>3</v>
      </c>
      <c r="B67" s="200" t="s">
        <v>362</v>
      </c>
      <c r="C67" s="220"/>
      <c r="D67" s="220"/>
      <c r="E67" s="220"/>
      <c r="F67" s="220"/>
      <c r="G67" s="220"/>
      <c r="H67" s="220"/>
      <c r="I67" s="220"/>
      <c r="J67" s="220"/>
      <c r="K67" s="298"/>
      <c r="L67" s="298"/>
      <c r="M67" s="299"/>
      <c r="O67" s="216"/>
      <c r="P67" s="216"/>
      <c r="R67" s="201"/>
      <c r="T67" s="201"/>
      <c r="V67" s="201"/>
      <c r="X67" s="201"/>
      <c r="Z67" s="201"/>
      <c r="AB67" s="201"/>
      <c r="AD67" s="201"/>
      <c r="AF67" s="201"/>
      <c r="AH67" s="201"/>
      <c r="AJ67" s="201"/>
    </row>
    <row r="68" spans="1:36" ht="12.75">
      <c r="A68" s="194">
        <v>4</v>
      </c>
      <c r="B68" s="203">
        <v>2015</v>
      </c>
      <c r="C68" s="290">
        <v>2588858.2325999998</v>
      </c>
      <c r="D68" s="290">
        <f>+'Statement E'!H45</f>
        <v>1009924.4493000001</v>
      </c>
      <c r="E68" s="290">
        <f>+'Statement E'!H25</f>
        <v>841782.4264300001</v>
      </c>
      <c r="F68" s="290">
        <v>224188.22295</v>
      </c>
      <c r="G68" s="290">
        <f>+'Statement D Table 1'!U18</f>
        <v>185925.42388000002</v>
      </c>
      <c r="H68" s="220">
        <f>C68-D68-E68-F68-G68</f>
        <v>327037.7100399997</v>
      </c>
      <c r="I68" s="290">
        <f>+F68+'Statement D Table 1'!Q17+'Statement D Table 1'!O17</f>
        <v>192292.23895</v>
      </c>
      <c r="J68" s="220">
        <f>+'Revised Evans Table'!J65</f>
        <v>585597.9489899997</v>
      </c>
      <c r="K68" s="376">
        <f>+'Revised Evans Table'!K65</f>
        <v>402532</v>
      </c>
      <c r="L68" s="376">
        <f>+'Revised Evans Table'!L65</f>
        <v>61066</v>
      </c>
      <c r="M68" s="216">
        <f>J68-K68-L68</f>
        <v>121999.94898999971</v>
      </c>
      <c r="O68" s="216"/>
      <c r="P68" s="216"/>
      <c r="R68" s="201"/>
      <c r="T68" s="201"/>
      <c r="V68" s="201"/>
      <c r="X68" s="201"/>
      <c r="Z68" s="201"/>
      <c r="AB68" s="201"/>
      <c r="AD68" s="201"/>
      <c r="AF68" s="201"/>
      <c r="AH68" s="201"/>
      <c r="AJ68" s="201"/>
    </row>
    <row r="69" spans="1:36" ht="12.75">
      <c r="A69" s="194">
        <v>5</v>
      </c>
      <c r="B69" s="203">
        <v>2016</v>
      </c>
      <c r="C69" s="220">
        <f>+'Revised Evans Table'!C66</f>
        <v>2600726</v>
      </c>
      <c r="D69" s="220">
        <f>+'Revised Evans Table'!D66</f>
        <v>1140373.60079</v>
      </c>
      <c r="E69" s="220">
        <f>+'Revised Evans Table'!E66</f>
        <v>864697.80755</v>
      </c>
      <c r="F69" s="220">
        <f>+'Revised Evans Table'!F66</f>
        <v>222551.42</v>
      </c>
      <c r="G69" s="220">
        <f>+'Revised Evans Table'!G66</f>
        <v>185925.42388000002</v>
      </c>
      <c r="H69" s="220">
        <f>+'Revised Evans Table'!H66</f>
        <v>187177.74777999986</v>
      </c>
      <c r="I69" s="220">
        <f>+'Revised Evans Table'!I66</f>
        <v>731095.26654</v>
      </c>
      <c r="J69" s="220">
        <f>+'Revised Evans Table'!J66</f>
        <v>868830.0143199998</v>
      </c>
      <c r="K69" s="220">
        <f>+'Revised Evans Table'!K66</f>
        <v>1053348</v>
      </c>
      <c r="L69" s="220">
        <f>+'Revised Evans Table'!L66</f>
        <v>51482</v>
      </c>
      <c r="M69" s="299">
        <f>J69-K69-L69</f>
        <v>-235999.98568000016</v>
      </c>
      <c r="O69" s="216"/>
      <c r="P69" s="216"/>
      <c r="R69" s="201"/>
      <c r="T69" s="201"/>
      <c r="V69" s="201"/>
      <c r="X69" s="201"/>
      <c r="Z69" s="201"/>
      <c r="AB69" s="201"/>
      <c r="AD69" s="201"/>
      <c r="AF69" s="201"/>
      <c r="AH69" s="201"/>
      <c r="AJ69" s="201"/>
    </row>
    <row r="70" spans="1:36" ht="12.75">
      <c r="A70" s="194">
        <v>6</v>
      </c>
      <c r="B70" s="207" t="s">
        <v>522</v>
      </c>
      <c r="C70" s="201"/>
      <c r="D70" s="201"/>
      <c r="E70" s="201"/>
      <c r="F70" s="201"/>
      <c r="G70" s="201"/>
      <c r="H70" s="201"/>
      <c r="I70" s="201"/>
      <c r="J70" s="201"/>
      <c r="K70" s="216"/>
      <c r="M70" s="216"/>
      <c r="O70" s="216"/>
      <c r="P70" s="216"/>
      <c r="R70" s="201"/>
      <c r="T70" s="201"/>
      <c r="V70" s="201"/>
      <c r="X70" s="201"/>
      <c r="Z70" s="201"/>
      <c r="AB70" s="201"/>
      <c r="AD70" s="201"/>
      <c r="AF70" s="201"/>
      <c r="AH70" s="201"/>
      <c r="AJ70" s="201"/>
    </row>
    <row r="71" spans="1:36" ht="12.75">
      <c r="A71" s="194">
        <v>7</v>
      </c>
      <c r="B71" s="203" t="s">
        <v>523</v>
      </c>
      <c r="C71" s="220"/>
      <c r="D71" s="220"/>
      <c r="E71" s="220"/>
      <c r="F71" s="220"/>
      <c r="G71" s="220"/>
      <c r="H71" s="220"/>
      <c r="I71" s="220"/>
      <c r="J71" s="220"/>
      <c r="K71" s="299"/>
      <c r="L71" s="298"/>
      <c r="M71" s="299"/>
      <c r="O71" s="216"/>
      <c r="P71" s="216"/>
      <c r="R71" s="201"/>
      <c r="T71" s="201"/>
      <c r="V71" s="201"/>
      <c r="X71" s="201"/>
      <c r="Z71" s="201"/>
      <c r="AB71" s="201"/>
      <c r="AD71" s="201"/>
      <c r="AF71" s="201"/>
      <c r="AH71" s="201"/>
      <c r="AJ71" s="201"/>
    </row>
    <row r="72" spans="1:36" ht="12.75">
      <c r="A72" s="194">
        <v>8</v>
      </c>
      <c r="B72" s="203">
        <v>2017</v>
      </c>
      <c r="C72" s="220">
        <v>2775436</v>
      </c>
      <c r="D72" s="220">
        <v>1119663.630402225</v>
      </c>
      <c r="E72" s="220">
        <v>1376179.8272580793</v>
      </c>
      <c r="F72" s="220">
        <v>228502.4112166667</v>
      </c>
      <c r="G72" s="220">
        <v>195072.14242220027</v>
      </c>
      <c r="H72" s="220">
        <v>-143982.01129917134</v>
      </c>
      <c r="I72" s="220">
        <v>195034.33570740194</v>
      </c>
      <c r="J72" s="220">
        <v>16928.324408230605</v>
      </c>
      <c r="K72" s="298">
        <v>109429</v>
      </c>
      <c r="L72" s="298">
        <v>51481.53</v>
      </c>
      <c r="M72" s="299">
        <v>-143982.2055917694</v>
      </c>
      <c r="O72" s="218"/>
      <c r="P72" s="218"/>
      <c r="R72" s="201"/>
      <c r="T72" s="201"/>
      <c r="V72" s="201"/>
      <c r="X72" s="201"/>
      <c r="Z72" s="201"/>
      <c r="AB72" s="201"/>
      <c r="AD72" s="201"/>
      <c r="AF72" s="201"/>
      <c r="AH72" s="201"/>
      <c r="AJ72" s="201"/>
    </row>
    <row r="73" spans="1:36" ht="12.75">
      <c r="A73" s="194">
        <v>9</v>
      </c>
      <c r="B73" s="207" t="s">
        <v>524</v>
      </c>
      <c r="K73" s="195"/>
      <c r="L73" s="195"/>
      <c r="M73" s="195"/>
      <c r="O73" s="218"/>
      <c r="P73" s="218"/>
      <c r="R73" s="201"/>
      <c r="T73" s="201"/>
      <c r="V73" s="201"/>
      <c r="X73" s="201"/>
      <c r="Z73" s="201"/>
      <c r="AB73" s="201"/>
      <c r="AD73" s="201"/>
      <c r="AF73" s="201"/>
      <c r="AH73" s="201"/>
      <c r="AJ73" s="201"/>
    </row>
    <row r="74" spans="1:36" ht="12.75">
      <c r="A74" s="194">
        <v>10</v>
      </c>
      <c r="B74" s="203" t="s">
        <v>523</v>
      </c>
      <c r="K74" s="195"/>
      <c r="L74" s="195"/>
      <c r="M74" s="195"/>
      <c r="O74" s="218"/>
      <c r="P74" s="218"/>
      <c r="R74" s="201"/>
      <c r="T74" s="201"/>
      <c r="V74" s="201"/>
      <c r="X74" s="201"/>
      <c r="Z74" s="201"/>
      <c r="AB74" s="201"/>
      <c r="AD74" s="201"/>
      <c r="AF74" s="201"/>
      <c r="AH74" s="201"/>
      <c r="AJ74" s="201"/>
    </row>
    <row r="75" spans="1:36" ht="12.75">
      <c r="A75" s="194">
        <v>11</v>
      </c>
      <c r="B75" s="203">
        <v>2018</v>
      </c>
      <c r="C75" s="201">
        <f>+'Modeling results'!B2</f>
        <v>2814294</v>
      </c>
      <c r="D75" s="201">
        <f>+'Statement E'!K45</f>
        <v>1147446.8238757253</v>
      </c>
      <c r="E75" s="220">
        <f>+'Statement E'!K25</f>
        <v>1231670.9809900278</v>
      </c>
      <c r="F75" s="201">
        <f>+'Income Statement Cash Flows'!E23+'Income Statement Cash Flows'!E24</f>
        <v>230887.74216833335</v>
      </c>
      <c r="G75" s="201">
        <f>+'Current Revenue Test'!E38</f>
        <v>95794.3897564619</v>
      </c>
      <c r="H75" s="201">
        <f>C75-D75-E75-F75-G75</f>
        <v>108494.0632094517</v>
      </c>
      <c r="I75" s="201">
        <f>+F75+'Income Statement Cash Flows'!E63+'Income Statement Cash Flows'!E33+'Current Revenue Test'!E82</f>
        <v>-23673.543750204757</v>
      </c>
      <c r="J75" s="201">
        <f>H75+I75-'cost table'!D109-'cost table'!D111</f>
        <v>50696.51945924695</v>
      </c>
      <c r="K75" s="210">
        <f>+'Inputs for Evans Tables'!G7</f>
        <v>113220</v>
      </c>
      <c r="L75" s="210">
        <f>+'Inputs for Evans Tables'!J7</f>
        <v>27234.291</v>
      </c>
      <c r="M75" s="216">
        <f>J75-K75-L75</f>
        <v>-89757.77154075305</v>
      </c>
      <c r="O75" s="210"/>
      <c r="P75" s="210"/>
      <c r="R75" s="201"/>
      <c r="T75" s="201"/>
      <c r="V75" s="201"/>
      <c r="X75" s="201"/>
      <c r="Z75" s="201"/>
      <c r="AB75" s="201"/>
      <c r="AD75" s="201"/>
      <c r="AF75" s="201"/>
      <c r="AH75" s="201"/>
      <c r="AJ75" s="201"/>
    </row>
    <row r="76" spans="1:36" ht="12.75">
      <c r="A76" s="194">
        <v>12</v>
      </c>
      <c r="B76" s="203">
        <f>B75+1</f>
        <v>2019</v>
      </c>
      <c r="C76" s="201">
        <f>+'Modeling results'!C2</f>
        <v>2810109</v>
      </c>
      <c r="D76" s="201">
        <f>+'Statement E'!L45</f>
        <v>1203172.821931025</v>
      </c>
      <c r="E76" s="220">
        <f>+'Statement E'!L25</f>
        <v>1232097.9070086055</v>
      </c>
      <c r="F76" s="201">
        <f>+'Income Statement Cash Flows'!F24+'Income Statement Cash Flows'!F23</f>
        <v>231523.75265333333</v>
      </c>
      <c r="G76" s="201">
        <f>+'Current Revenue Test'!F38</f>
        <v>100996.03144684213</v>
      </c>
      <c r="H76" s="201">
        <f>C76-D76-E76-F76-G76</f>
        <v>42318.486960193986</v>
      </c>
      <c r="I76" s="201">
        <f>+F76+'Income Statement Cash Flows'!F33+'Income Statement Cash Flows'!F63</f>
        <v>196334.22060017544</v>
      </c>
      <c r="J76" s="201">
        <f>H76+I76-'cost table'!E109-'cost table'!E111</f>
        <v>204528.70756036942</v>
      </c>
      <c r="K76" s="210">
        <f>+'Inputs for Evans Tables'!G8</f>
        <v>195622</v>
      </c>
      <c r="L76" s="210">
        <f>+'Inputs for Evans Tables'!J8</f>
        <v>56572.665</v>
      </c>
      <c r="M76" s="216">
        <f>J76-K76-L76</f>
        <v>-47665.957439630576</v>
      </c>
      <c r="O76" s="210"/>
      <c r="P76" s="210"/>
      <c r="R76" s="201"/>
      <c r="T76" s="201"/>
      <c r="V76" s="201"/>
      <c r="X76" s="201"/>
      <c r="Z76" s="201"/>
      <c r="AB76" s="201"/>
      <c r="AD76" s="201"/>
      <c r="AF76" s="201"/>
      <c r="AH76" s="201"/>
      <c r="AJ76" s="201"/>
    </row>
    <row r="77" spans="1:36" ht="12.75">
      <c r="A77" s="194">
        <v>13</v>
      </c>
      <c r="B77" s="207" t="s">
        <v>525</v>
      </c>
      <c r="C77" s="201"/>
      <c r="D77" s="201"/>
      <c r="E77" s="201"/>
      <c r="F77" s="201"/>
      <c r="G77" s="201"/>
      <c r="H77" s="201"/>
      <c r="I77" s="201"/>
      <c r="J77" s="201"/>
      <c r="K77" s="210"/>
      <c r="L77" s="210"/>
      <c r="M77" s="216"/>
      <c r="O77" s="210"/>
      <c r="P77" s="210"/>
      <c r="R77" s="201"/>
      <c r="T77" s="201"/>
      <c r="V77" s="201"/>
      <c r="X77" s="201"/>
      <c r="Z77" s="201"/>
      <c r="AB77" s="201"/>
      <c r="AD77" s="201"/>
      <c r="AF77" s="201"/>
      <c r="AH77" s="201"/>
      <c r="AJ77" s="201"/>
    </row>
    <row r="78" spans="1:36" ht="12.75">
      <c r="A78" s="194">
        <v>14</v>
      </c>
      <c r="B78" s="203" t="s">
        <v>523</v>
      </c>
      <c r="C78" s="201"/>
      <c r="D78" s="201"/>
      <c r="E78" s="201"/>
      <c r="F78" s="201"/>
      <c r="G78" s="201"/>
      <c r="H78" s="201"/>
      <c r="I78" s="201"/>
      <c r="J78" s="201"/>
      <c r="K78" s="210"/>
      <c r="L78" s="210"/>
      <c r="M78" s="216"/>
      <c r="O78" s="210"/>
      <c r="P78" s="210"/>
      <c r="R78" s="201"/>
      <c r="T78" s="201"/>
      <c r="V78" s="201"/>
      <c r="X78" s="201"/>
      <c r="Z78" s="201"/>
      <c r="AB78" s="201"/>
      <c r="AD78" s="201"/>
      <c r="AF78" s="201"/>
      <c r="AH78" s="201"/>
      <c r="AJ78" s="201"/>
    </row>
    <row r="79" spans="1:36" ht="12.75">
      <c r="A79" s="194">
        <v>15</v>
      </c>
      <c r="B79" s="203">
        <f>B76+1</f>
        <v>2020</v>
      </c>
      <c r="C79" s="201">
        <f>+C76</f>
        <v>2810109</v>
      </c>
      <c r="D79" s="201">
        <f>+$D$76</f>
        <v>1203172.821931025</v>
      </c>
      <c r="E79" s="201">
        <f>'Inputs for Evans Tables'!M9+$E$151</f>
        <v>1167089.2150086055</v>
      </c>
      <c r="F79" s="201">
        <f>+$F$76</f>
        <v>231523.75265333333</v>
      </c>
      <c r="G79" s="201">
        <f>'Inputs for Evans Tables'!N9+$G$151+$G$152+$G$153+'Statement D Table 1'!O25</f>
        <v>119140.34208146192</v>
      </c>
      <c r="H79" s="201">
        <f aca="true" t="shared" si="1" ref="H79:H110">C79-D79-E79-F79-G79</f>
        <v>89182.86832557424</v>
      </c>
      <c r="I79" s="201">
        <f>F79+$G$153+$G$154</f>
        <v>196334.22060017544</v>
      </c>
      <c r="J79" s="201">
        <f aca="true" t="shared" si="2" ref="J79:J110">H79+I79-3524-30600</f>
        <v>251393.08892574965</v>
      </c>
      <c r="K79" s="210">
        <f>+'Inputs for Evans Tables'!G9</f>
        <v>167935.918</v>
      </c>
      <c r="L79" s="210">
        <f>+'Inputs for Evans Tables'!J9</f>
        <v>24317.301</v>
      </c>
      <c r="M79" s="216">
        <f aca="true" t="shared" si="3" ref="M79:M109">J79-K79-L79</f>
        <v>59139.86992574964</v>
      </c>
      <c r="O79" s="210"/>
      <c r="P79" s="210"/>
      <c r="R79" s="201"/>
      <c r="T79" s="201"/>
      <c r="V79" s="201"/>
      <c r="X79" s="201"/>
      <c r="Z79" s="201"/>
      <c r="AB79" s="201"/>
      <c r="AD79" s="201"/>
      <c r="AF79" s="201"/>
      <c r="AH79" s="201"/>
      <c r="AJ79" s="201"/>
    </row>
    <row r="80" spans="1:36" ht="12.75">
      <c r="A80" s="194">
        <v>16</v>
      </c>
      <c r="B80" s="203">
        <f aca="true" t="shared" si="4" ref="B80:B128">B79+1</f>
        <v>2021</v>
      </c>
      <c r="C80" s="201">
        <f>+C79</f>
        <v>2810109</v>
      </c>
      <c r="D80" s="201">
        <f aca="true" t="shared" si="5" ref="D80:D128">+$D$76</f>
        <v>1203172.821931025</v>
      </c>
      <c r="E80" s="201">
        <f>'Inputs for Evans Tables'!M10+$E$151</f>
        <v>1154154.2480086056</v>
      </c>
      <c r="F80" s="201">
        <f aca="true" t="shared" si="6" ref="F80:F128">+$F$76</f>
        <v>231523.75265333333</v>
      </c>
      <c r="G80" s="201">
        <f>'Inputs for Evans Tables'!N10+$G$151+$G$152+$G$153+'Statement D Table 1'!O26</f>
        <v>123900.25594684212</v>
      </c>
      <c r="H80" s="201">
        <f t="shared" si="1"/>
        <v>97357.92146019397</v>
      </c>
      <c r="I80" s="201">
        <f>F80+$G$153+$G$154</f>
        <v>196334.22060017544</v>
      </c>
      <c r="J80" s="201">
        <f t="shared" si="2"/>
        <v>259568.14206036943</v>
      </c>
      <c r="K80" s="210">
        <f>+'Inputs for Evans Tables'!G10</f>
        <v>184801.481</v>
      </c>
      <c r="L80" s="210">
        <f>+'Inputs for Evans Tables'!J10</f>
        <v>14746.543</v>
      </c>
      <c r="M80" s="216">
        <f t="shared" si="3"/>
        <v>60020.11806036943</v>
      </c>
      <c r="O80" s="210"/>
      <c r="P80" s="210"/>
      <c r="R80" s="201"/>
      <c r="T80" s="201"/>
      <c r="V80" s="201"/>
      <c r="X80" s="201"/>
      <c r="Z80" s="201"/>
      <c r="AB80" s="201"/>
      <c r="AD80" s="201"/>
      <c r="AF80" s="201"/>
      <c r="AH80" s="201"/>
      <c r="AJ80" s="201"/>
    </row>
    <row r="81" spans="1:36" ht="12.75">
      <c r="A81" s="194">
        <v>17</v>
      </c>
      <c r="B81" s="203">
        <f>B80+1</f>
        <v>2022</v>
      </c>
      <c r="C81" s="201">
        <f>+C80</f>
        <v>2810109</v>
      </c>
      <c r="D81" s="201">
        <f t="shared" si="5"/>
        <v>1203172.821931025</v>
      </c>
      <c r="E81" s="201">
        <f>'Inputs for Evans Tables'!M11+$E$151</f>
        <v>1182945.6290086056</v>
      </c>
      <c r="F81" s="201">
        <f t="shared" si="6"/>
        <v>231523.75265333333</v>
      </c>
      <c r="G81" s="201">
        <f>'Inputs for Evans Tables'!N11+$G$151+$G$152+$G$153+'Statement D Table 1'!O27</f>
        <v>128064.61736453536</v>
      </c>
      <c r="H81" s="201">
        <f t="shared" si="1"/>
        <v>64402.17904250069</v>
      </c>
      <c r="I81" s="201">
        <f aca="true" t="shared" si="7" ref="I81:I110">F81+$G$153+$G$154</f>
        <v>196334.22060017544</v>
      </c>
      <c r="J81" s="201">
        <f t="shared" si="2"/>
        <v>226612.39964267612</v>
      </c>
      <c r="K81" s="210">
        <f>+'Inputs for Evans Tables'!G11</f>
        <v>149611.311</v>
      </c>
      <c r="L81" s="210">
        <f>+'Inputs for Evans Tables'!J11</f>
        <v>16059.879</v>
      </c>
      <c r="M81" s="216">
        <f t="shared" si="3"/>
        <v>60941.20964267613</v>
      </c>
      <c r="O81" s="210"/>
      <c r="P81" s="210"/>
      <c r="R81" s="201"/>
      <c r="T81" s="201"/>
      <c r="V81" s="201"/>
      <c r="X81" s="201"/>
      <c r="Z81" s="201"/>
      <c r="AB81" s="201"/>
      <c r="AD81" s="201"/>
      <c r="AF81" s="201"/>
      <c r="AH81" s="201"/>
      <c r="AJ81" s="201"/>
    </row>
    <row r="82" spans="1:36" ht="12.75">
      <c r="A82" s="194">
        <v>18</v>
      </c>
      <c r="B82" s="203">
        <f t="shared" si="4"/>
        <v>2023</v>
      </c>
      <c r="C82" s="201">
        <f aca="true" t="shared" si="8" ref="C82:C128">+C81</f>
        <v>2810109</v>
      </c>
      <c r="D82" s="201">
        <f t="shared" si="5"/>
        <v>1203172.821931025</v>
      </c>
      <c r="E82" s="201">
        <f>'Inputs for Evans Tables'!M12+$E$151</f>
        <v>1155933.0050086055</v>
      </c>
      <c r="F82" s="201">
        <f t="shared" si="6"/>
        <v>231523.75265333333</v>
      </c>
      <c r="G82" s="201">
        <f>'Inputs for Evans Tables'!N12+$G$151+$G$152+$G$153+'Statement D Table 1'!O28</f>
        <v>129439.8105136916</v>
      </c>
      <c r="H82" s="201">
        <f t="shared" si="1"/>
        <v>90039.60989334452</v>
      </c>
      <c r="I82" s="201">
        <f t="shared" si="7"/>
        <v>196334.22060017544</v>
      </c>
      <c r="J82" s="201">
        <f t="shared" si="2"/>
        <v>252249.83049351996</v>
      </c>
      <c r="K82" s="210">
        <f>+'Inputs for Evans Tables'!G12</f>
        <v>177498.79</v>
      </c>
      <c r="L82" s="210">
        <f>+'Inputs for Evans Tables'!J12</f>
        <v>12845.994</v>
      </c>
      <c r="M82" s="216">
        <f t="shared" si="3"/>
        <v>61905.04649351995</v>
      </c>
      <c r="O82" s="210"/>
      <c r="P82" s="210"/>
      <c r="R82" s="201"/>
      <c r="T82" s="201"/>
      <c r="V82" s="201"/>
      <c r="X82" s="201"/>
      <c r="Z82" s="201"/>
      <c r="AB82" s="201"/>
      <c r="AD82" s="201"/>
      <c r="AF82" s="201"/>
      <c r="AH82" s="201"/>
      <c r="AJ82" s="201"/>
    </row>
    <row r="83" spans="1:36" ht="12.75">
      <c r="A83" s="194">
        <v>19</v>
      </c>
      <c r="B83" s="203">
        <f t="shared" si="4"/>
        <v>2024</v>
      </c>
      <c r="C83" s="201">
        <f t="shared" si="8"/>
        <v>2810109</v>
      </c>
      <c r="D83" s="201">
        <f t="shared" si="5"/>
        <v>1203172.821931025</v>
      </c>
      <c r="E83" s="201">
        <f>'Inputs for Evans Tables'!M13+$E$151</f>
        <v>1161351.0820086054</v>
      </c>
      <c r="F83" s="201">
        <f t="shared" si="6"/>
        <v>231523.75265333333</v>
      </c>
      <c r="G83" s="201">
        <f>'Inputs for Evans Tables'!N13+$G$151+$G$152+$G$153+'Statement D Table 1'!O29</f>
        <v>131943.30757060827</v>
      </c>
      <c r="H83" s="201">
        <f t="shared" si="1"/>
        <v>82118.03583642803</v>
      </c>
      <c r="I83" s="201">
        <f t="shared" si="7"/>
        <v>196334.22060017544</v>
      </c>
      <c r="J83" s="201">
        <f t="shared" si="2"/>
        <v>244328.2564366035</v>
      </c>
      <c r="K83" s="210">
        <f>+'Inputs for Evans Tables'!G13</f>
        <v>166297.606</v>
      </c>
      <c r="L83" s="210">
        <f>+'Inputs for Evans Tables'!J13</f>
        <v>15117.04</v>
      </c>
      <c r="M83" s="216">
        <f t="shared" si="3"/>
        <v>62913.61043660349</v>
      </c>
      <c r="O83" s="210"/>
      <c r="P83" s="210"/>
      <c r="R83" s="201"/>
      <c r="T83" s="201"/>
      <c r="V83" s="201"/>
      <c r="X83" s="201"/>
      <c r="Z83" s="201"/>
      <c r="AB83" s="201"/>
      <c r="AD83" s="201"/>
      <c r="AF83" s="201"/>
      <c r="AH83" s="201"/>
      <c r="AJ83" s="201"/>
    </row>
    <row r="84" spans="1:36" ht="12.75">
      <c r="A84" s="194">
        <v>20</v>
      </c>
      <c r="B84" s="203">
        <f t="shared" si="4"/>
        <v>2025</v>
      </c>
      <c r="C84" s="201">
        <f t="shared" si="8"/>
        <v>2810109</v>
      </c>
      <c r="D84" s="201">
        <f t="shared" si="5"/>
        <v>1203172.821931025</v>
      </c>
      <c r="E84" s="201">
        <f>'Inputs for Evans Tables'!M14+$E$151</f>
        <v>1188962.7410086053</v>
      </c>
      <c r="F84" s="201">
        <f t="shared" si="6"/>
        <v>231523.75265333333</v>
      </c>
      <c r="G84" s="201">
        <f>'Inputs for Evans Tables'!N14+$G$151+$G$152+$G$153+'Statement D Table 1'!O30</f>
        <v>138379.14962309998</v>
      </c>
      <c r="H84" s="201">
        <f t="shared" si="1"/>
        <v>48070.53478393634</v>
      </c>
      <c r="I84" s="201">
        <f t="shared" si="7"/>
        <v>196334.22060017544</v>
      </c>
      <c r="J84" s="201">
        <f t="shared" si="2"/>
        <v>210280.75538411178</v>
      </c>
      <c r="K84" s="210">
        <f>+'Inputs for Evans Tables'!G14</f>
        <v>132769.187</v>
      </c>
      <c r="L84" s="210">
        <f>+'Inputs for Evans Tables'!J14</f>
        <v>13542.591</v>
      </c>
      <c r="M84" s="216">
        <f t="shared" si="3"/>
        <v>63968.97738411177</v>
      </c>
      <c r="O84" s="210"/>
      <c r="P84" s="210"/>
      <c r="R84" s="201"/>
      <c r="T84" s="201"/>
      <c r="V84" s="201"/>
      <c r="X84" s="201"/>
      <c r="Z84" s="201"/>
      <c r="AB84" s="201"/>
      <c r="AD84" s="201"/>
      <c r="AF84" s="201"/>
      <c r="AH84" s="201"/>
      <c r="AJ84" s="201"/>
    </row>
    <row r="85" spans="1:36" ht="12.75">
      <c r="A85" s="194">
        <v>21</v>
      </c>
      <c r="B85" s="203">
        <f t="shared" si="4"/>
        <v>2026</v>
      </c>
      <c r="C85" s="201">
        <f t="shared" si="8"/>
        <v>2810109</v>
      </c>
      <c r="D85" s="201">
        <f t="shared" si="5"/>
        <v>1203172.821931025</v>
      </c>
      <c r="E85" s="201">
        <f>'Inputs for Evans Tables'!M15+$E$151</f>
        <v>1161020.0930086055</v>
      </c>
      <c r="F85" s="201">
        <f t="shared" si="6"/>
        <v>231523.75265333333</v>
      </c>
      <c r="G85" s="201">
        <f>'Inputs for Evans Tables'!N15+$G$151+$G$152+$G$153+'Statement D Table 1'!O31</f>
        <v>139480.15439516227</v>
      </c>
      <c r="H85" s="201">
        <f t="shared" si="1"/>
        <v>74912.17801187385</v>
      </c>
      <c r="I85" s="201">
        <f t="shared" si="7"/>
        <v>196334.22060017544</v>
      </c>
      <c r="J85" s="201">
        <f t="shared" si="2"/>
        <v>237122.3986120493</v>
      </c>
      <c r="K85" s="210">
        <f>+'Inputs for Evans Tables'!G15</f>
        <v>151294.171</v>
      </c>
      <c r="L85" s="210">
        <f>+'Inputs for Evans Tables'!J15</f>
        <v>20754.908</v>
      </c>
      <c r="M85" s="216">
        <f t="shared" si="3"/>
        <v>65073.319612049294</v>
      </c>
      <c r="O85" s="210"/>
      <c r="P85" s="210"/>
      <c r="R85" s="201"/>
      <c r="T85" s="201"/>
      <c r="V85" s="201"/>
      <c r="X85" s="201"/>
      <c r="Z85" s="201"/>
      <c r="AB85" s="201"/>
      <c r="AD85" s="201"/>
      <c r="AF85" s="201"/>
      <c r="AH85" s="201"/>
      <c r="AJ85" s="201"/>
    </row>
    <row r="86" spans="1:36" ht="12.75">
      <c r="A86" s="194">
        <v>22</v>
      </c>
      <c r="B86" s="203">
        <f t="shared" si="4"/>
        <v>2027</v>
      </c>
      <c r="C86" s="201">
        <f t="shared" si="8"/>
        <v>2810109</v>
      </c>
      <c r="D86" s="201">
        <f t="shared" si="5"/>
        <v>1203172.821931025</v>
      </c>
      <c r="E86" s="201">
        <f>'Inputs for Evans Tables'!M16+$E$151</f>
        <v>1169785.1630086056</v>
      </c>
      <c r="F86" s="201">
        <f t="shared" si="6"/>
        <v>231523.75265333333</v>
      </c>
      <c r="G86" s="201">
        <f>'Inputs for Evans Tables'!N16+$G$151+$G$152+$G$153+'Statement D Table 1'!O32</f>
        <v>143207.31277312085</v>
      </c>
      <c r="H86" s="201">
        <f t="shared" si="1"/>
        <v>62419.94963391521</v>
      </c>
      <c r="I86" s="201">
        <f t="shared" si="7"/>
        <v>196334.22060017544</v>
      </c>
      <c r="J86" s="201">
        <f t="shared" si="2"/>
        <v>224630.17023409065</v>
      </c>
      <c r="K86" s="210">
        <f>+'Inputs for Evans Tables'!G16</f>
        <v>152283.059</v>
      </c>
      <c r="L86" s="210">
        <f>+'Inputs for Evans Tables'!J16</f>
        <v>6118.201</v>
      </c>
      <c r="M86" s="216">
        <f t="shared" si="3"/>
        <v>66228.91023409064</v>
      </c>
      <c r="O86" s="210"/>
      <c r="P86" s="210"/>
      <c r="R86" s="201"/>
      <c r="T86" s="201"/>
      <c r="V86" s="201"/>
      <c r="X86" s="201"/>
      <c r="Z86" s="201"/>
      <c r="AB86" s="201"/>
      <c r="AD86" s="201"/>
      <c r="AF86" s="201"/>
      <c r="AH86" s="201"/>
      <c r="AJ86" s="201"/>
    </row>
    <row r="87" spans="1:36" ht="12.75">
      <c r="A87" s="194">
        <v>23</v>
      </c>
      <c r="B87" s="203">
        <f t="shared" si="4"/>
        <v>2028</v>
      </c>
      <c r="C87" s="201">
        <f t="shared" si="8"/>
        <v>2810109</v>
      </c>
      <c r="D87" s="201">
        <f t="shared" si="5"/>
        <v>1203172.821931025</v>
      </c>
      <c r="E87" s="201">
        <f>'Inputs for Evans Tables'!M17+$E$151</f>
        <v>1197081.6510086055</v>
      </c>
      <c r="F87" s="201">
        <f t="shared" si="6"/>
        <v>231523.75265333333</v>
      </c>
      <c r="G87" s="201">
        <f>'Inputs for Evans Tables'!N17+$G$151+$G$152+$G$153+'Statement D Table 1'!O33</f>
        <v>146274.82212404598</v>
      </c>
      <c r="H87" s="201">
        <f t="shared" si="1"/>
        <v>32055.952282990183</v>
      </c>
      <c r="I87" s="201">
        <f t="shared" si="7"/>
        <v>196334.22060017544</v>
      </c>
      <c r="J87" s="201">
        <f t="shared" si="2"/>
        <v>194266.17288316562</v>
      </c>
      <c r="K87" s="210">
        <f>+'Inputs for Evans Tables'!G17</f>
        <v>115641.559</v>
      </c>
      <c r="L87" s="210">
        <f>+'Inputs for Evans Tables'!J17</f>
        <v>11186.486</v>
      </c>
      <c r="M87" s="216">
        <f t="shared" si="3"/>
        <v>67438.12788316562</v>
      </c>
      <c r="O87" s="210"/>
      <c r="P87" s="210"/>
      <c r="R87" s="201"/>
      <c r="T87" s="201"/>
      <c r="V87" s="201"/>
      <c r="X87" s="201"/>
      <c r="Z87" s="201"/>
      <c r="AB87" s="201"/>
      <c r="AD87" s="201"/>
      <c r="AF87" s="201"/>
      <c r="AH87" s="201"/>
      <c r="AJ87" s="201"/>
    </row>
    <row r="88" spans="1:36" ht="12.75">
      <c r="A88" s="194">
        <v>24</v>
      </c>
      <c r="B88" s="203">
        <f t="shared" si="4"/>
        <v>2029</v>
      </c>
      <c r="C88" s="201">
        <f t="shared" si="8"/>
        <v>2810109</v>
      </c>
      <c r="D88" s="201">
        <f t="shared" si="5"/>
        <v>1203172.821931025</v>
      </c>
      <c r="E88" s="201">
        <f>'Inputs for Evans Tables'!M18+$E$151</f>
        <v>868534.0872586055</v>
      </c>
      <c r="F88" s="201">
        <f t="shared" si="6"/>
        <v>231523.75265333333</v>
      </c>
      <c r="G88" s="201">
        <f>'Inputs for Evans Tables'!N18+$G$151+$G$152+$G$153+'Statement D Table 1'!O34</f>
        <v>153521.8613967867</v>
      </c>
      <c r="H88" s="201">
        <f t="shared" si="1"/>
        <v>353356.4767602494</v>
      </c>
      <c r="I88" s="201">
        <f t="shared" si="7"/>
        <v>196334.22060017544</v>
      </c>
      <c r="J88" s="201">
        <f t="shared" si="2"/>
        <v>515566.6973604248</v>
      </c>
      <c r="K88" s="210">
        <f>+'Inputs for Evans Tables'!G18</f>
        <v>442798.601</v>
      </c>
      <c r="L88" s="210">
        <f>+'Inputs for Evans Tables'!J18</f>
        <v>4064.635</v>
      </c>
      <c r="M88" s="216">
        <f t="shared" si="3"/>
        <v>68703.46136042477</v>
      </c>
      <c r="O88" s="210"/>
      <c r="P88" s="210"/>
      <c r="R88" s="201"/>
      <c r="T88" s="201"/>
      <c r="V88" s="201"/>
      <c r="X88" s="201"/>
      <c r="Z88" s="201"/>
      <c r="AB88" s="201"/>
      <c r="AD88" s="201"/>
      <c r="AF88" s="201"/>
      <c r="AH88" s="201"/>
      <c r="AJ88" s="201"/>
    </row>
    <row r="89" spans="1:36" ht="12.75">
      <c r="A89" s="194">
        <v>25</v>
      </c>
      <c r="B89" s="203">
        <f>B88+1</f>
        <v>2030</v>
      </c>
      <c r="C89" s="201">
        <f t="shared" si="8"/>
        <v>2810109</v>
      </c>
      <c r="D89" s="201">
        <f t="shared" si="5"/>
        <v>1203172.821931025</v>
      </c>
      <c r="E89" s="201">
        <f>'Inputs for Evans Tables'!M19+$E$151</f>
        <v>949979.0677586055</v>
      </c>
      <c r="F89" s="201">
        <f t="shared" si="6"/>
        <v>231523.75265333333</v>
      </c>
      <c r="G89" s="201">
        <f>'Inputs for Evans Tables'!N19+$G$151+$G$152+$G$153+'Statement D Table 1'!O35</f>
        <v>138508.39799552842</v>
      </c>
      <c r="H89" s="201">
        <f t="shared" si="1"/>
        <v>286924.95966150775</v>
      </c>
      <c r="I89" s="201">
        <f t="shared" si="7"/>
        <v>196334.22060017544</v>
      </c>
      <c r="J89" s="201">
        <f t="shared" si="2"/>
        <v>449135.1802616832</v>
      </c>
      <c r="K89" s="210">
        <f>+'Inputs for Evans Tables'!G19</f>
        <v>377111.931</v>
      </c>
      <c r="L89" s="210">
        <f>+'Inputs for Evans Tables'!J19</f>
        <v>1995.733</v>
      </c>
      <c r="M89" s="216">
        <f t="shared" si="3"/>
        <v>70027.51626168321</v>
      </c>
      <c r="O89" s="210"/>
      <c r="P89" s="210"/>
      <c r="R89" s="201"/>
      <c r="T89" s="201"/>
      <c r="V89" s="201"/>
      <c r="X89" s="201"/>
      <c r="Z89" s="201"/>
      <c r="AB89" s="201"/>
      <c r="AD89" s="201"/>
      <c r="AF89" s="201"/>
      <c r="AH89" s="201"/>
      <c r="AJ89" s="201"/>
    </row>
    <row r="90" spans="1:36" ht="12.75">
      <c r="A90" s="194">
        <v>26</v>
      </c>
      <c r="B90" s="203">
        <f t="shared" si="4"/>
        <v>2031</v>
      </c>
      <c r="C90" s="201">
        <f t="shared" si="8"/>
        <v>2810109</v>
      </c>
      <c r="D90" s="201">
        <f t="shared" si="5"/>
        <v>1203172.821931025</v>
      </c>
      <c r="E90" s="201">
        <f>'Inputs for Evans Tables'!M20+$E$151</f>
        <v>917652.2750086054</v>
      </c>
      <c r="F90" s="201">
        <f t="shared" si="6"/>
        <v>231523.75265333333</v>
      </c>
      <c r="G90" s="201">
        <f>'Inputs for Evans Tables'!N20+$G$151+$G$152+$G$153+'Statement D Table 1'!O36</f>
        <v>134033.0063532952</v>
      </c>
      <c r="H90" s="201">
        <f t="shared" si="1"/>
        <v>323727.144053741</v>
      </c>
      <c r="I90" s="201">
        <f t="shared" si="7"/>
        <v>196334.22060017544</v>
      </c>
      <c r="J90" s="201">
        <f t="shared" si="2"/>
        <v>485937.36465391645</v>
      </c>
      <c r="K90" s="210">
        <f>+'Inputs for Evans Tables'!G20</f>
        <v>406583.896</v>
      </c>
      <c r="L90" s="210">
        <f>+'Inputs for Evans Tables'!J20</f>
        <v>10523.699</v>
      </c>
      <c r="M90" s="216">
        <f t="shared" si="3"/>
        <v>68829.76965391645</v>
      </c>
      <c r="O90" s="210"/>
      <c r="P90" s="210"/>
      <c r="R90" s="201"/>
      <c r="T90" s="201"/>
      <c r="V90" s="201"/>
      <c r="X90" s="201"/>
      <c r="Z90" s="201"/>
      <c r="AB90" s="201"/>
      <c r="AD90" s="201"/>
      <c r="AF90" s="201"/>
      <c r="AH90" s="201"/>
      <c r="AJ90" s="201"/>
    </row>
    <row r="91" spans="1:36" ht="12.75">
      <c r="A91" s="194">
        <v>27</v>
      </c>
      <c r="B91" s="203">
        <f t="shared" si="4"/>
        <v>2032</v>
      </c>
      <c r="C91" s="201">
        <f t="shared" si="8"/>
        <v>2810109</v>
      </c>
      <c r="D91" s="201">
        <f t="shared" si="5"/>
        <v>1203172.821931025</v>
      </c>
      <c r="E91" s="201">
        <f>'Inputs for Evans Tables'!M21+$E$151</f>
        <v>812793.0585086055</v>
      </c>
      <c r="F91" s="201">
        <f t="shared" si="6"/>
        <v>231523.75265333333</v>
      </c>
      <c r="G91" s="201">
        <f>'Inputs for Evans Tables'!N21+$G$151+$G$152+$G$153+'Statement D Table 1'!O37</f>
        <v>120112.82885982934</v>
      </c>
      <c r="H91" s="201">
        <f t="shared" si="1"/>
        <v>442506.5380472068</v>
      </c>
      <c r="I91" s="201">
        <f t="shared" si="7"/>
        <v>196334.22060017544</v>
      </c>
      <c r="J91" s="201">
        <f t="shared" si="2"/>
        <v>604716.7586473823</v>
      </c>
      <c r="K91" s="210">
        <f>+'Inputs for Evans Tables'!G21</f>
        <v>534643.072</v>
      </c>
      <c r="L91" s="210">
        <f>+'Inputs for Evans Tables'!J21</f>
        <v>0</v>
      </c>
      <c r="M91" s="216">
        <f t="shared" si="3"/>
        <v>70073.68664738222</v>
      </c>
      <c r="O91" s="210"/>
      <c r="P91" s="210"/>
      <c r="R91" s="201"/>
      <c r="T91" s="201"/>
      <c r="V91" s="201"/>
      <c r="X91" s="201"/>
      <c r="Z91" s="201"/>
      <c r="AB91" s="201"/>
      <c r="AD91" s="201"/>
      <c r="AF91" s="201"/>
      <c r="AH91" s="201"/>
      <c r="AJ91" s="201"/>
    </row>
    <row r="92" spans="1:36" ht="12.75">
      <c r="A92" s="194">
        <v>28</v>
      </c>
      <c r="B92" s="203">
        <f t="shared" si="4"/>
        <v>2033</v>
      </c>
      <c r="C92" s="201">
        <f t="shared" si="8"/>
        <v>2810109</v>
      </c>
      <c r="D92" s="201">
        <f t="shared" si="5"/>
        <v>1203172.821931025</v>
      </c>
      <c r="E92" s="201">
        <f>'Inputs for Evans Tables'!M22+$E$151</f>
        <v>804648.0445086055</v>
      </c>
      <c r="F92" s="201">
        <f t="shared" si="6"/>
        <v>231523.75265333333</v>
      </c>
      <c r="G92" s="201">
        <f>'Inputs for Evans Tables'!N22+$G$151+$G$152+$G$153+'Statement D Table 1'!O38</f>
        <v>116937.793</v>
      </c>
      <c r="H92" s="201">
        <f t="shared" si="1"/>
        <v>453826.5879070361</v>
      </c>
      <c r="I92" s="201">
        <f t="shared" si="7"/>
        <v>196334.22060017544</v>
      </c>
      <c r="J92" s="201">
        <f t="shared" si="2"/>
        <v>616036.8085072115</v>
      </c>
      <c r="K92" s="210">
        <f>+'Inputs for Evans Tables'!G22</f>
        <v>540922.29</v>
      </c>
      <c r="L92" s="210">
        <f>+'Inputs for Evans Tables'!J22</f>
        <v>4346.935</v>
      </c>
      <c r="M92" s="216">
        <f t="shared" si="3"/>
        <v>70767.58350721147</v>
      </c>
      <c r="O92" s="210"/>
      <c r="P92" s="210"/>
      <c r="R92" s="201"/>
      <c r="T92" s="201"/>
      <c r="V92" s="201"/>
      <c r="X92" s="201"/>
      <c r="Z92" s="201"/>
      <c r="AB92" s="201"/>
      <c r="AD92" s="201"/>
      <c r="AF92" s="201"/>
      <c r="AH92" s="201"/>
      <c r="AJ92" s="201"/>
    </row>
    <row r="93" spans="1:36" ht="12.75">
      <c r="A93" s="194">
        <v>29</v>
      </c>
      <c r="B93" s="203">
        <f t="shared" si="4"/>
        <v>2034</v>
      </c>
      <c r="C93" s="201">
        <f t="shared" si="8"/>
        <v>2810109</v>
      </c>
      <c r="D93" s="201">
        <f t="shared" si="5"/>
        <v>1203172.821931025</v>
      </c>
      <c r="E93" s="201">
        <f>'Inputs for Evans Tables'!M23+$E$151</f>
        <v>809582.7627586055</v>
      </c>
      <c r="F93" s="201">
        <f t="shared" si="6"/>
        <v>231523.75265333333</v>
      </c>
      <c r="G93" s="201">
        <f>'Inputs for Evans Tables'!N23+$G$151+$G$152+$G$153+'Statement D Table 1'!O39</f>
        <v>107329.312</v>
      </c>
      <c r="H93" s="201">
        <f t="shared" si="1"/>
        <v>458500.35065703606</v>
      </c>
      <c r="I93" s="201">
        <f t="shared" si="7"/>
        <v>196334.22060017544</v>
      </c>
      <c r="J93" s="201">
        <f t="shared" si="2"/>
        <v>620710.5712572115</v>
      </c>
      <c r="K93" s="210">
        <f>+'Inputs for Evans Tables'!G23</f>
        <v>549942.987</v>
      </c>
      <c r="L93" s="210">
        <f>+'Inputs for Evans Tables'!J23</f>
        <v>0</v>
      </c>
      <c r="M93" s="216">
        <f t="shared" si="3"/>
        <v>70767.58425721154</v>
      </c>
      <c r="O93" s="210"/>
      <c r="P93" s="210"/>
      <c r="R93" s="201"/>
      <c r="T93" s="201"/>
      <c r="V93" s="201"/>
      <c r="X93" s="201"/>
      <c r="Z93" s="201"/>
      <c r="AB93" s="201"/>
      <c r="AD93" s="201"/>
      <c r="AF93" s="201"/>
      <c r="AH93" s="201"/>
      <c r="AJ93" s="201"/>
    </row>
    <row r="94" spans="1:36" ht="12.75">
      <c r="A94" s="194">
        <v>30</v>
      </c>
      <c r="B94" s="203">
        <f>B93+1</f>
        <v>2035</v>
      </c>
      <c r="C94" s="201">
        <f t="shared" si="8"/>
        <v>2810109</v>
      </c>
      <c r="D94" s="201">
        <f t="shared" si="5"/>
        <v>1203172.821931025</v>
      </c>
      <c r="E94" s="201">
        <f>'Inputs for Evans Tables'!M24+$E$151</f>
        <v>799832.6467586055</v>
      </c>
      <c r="F94" s="201">
        <f t="shared" si="6"/>
        <v>231523.75265333333</v>
      </c>
      <c r="G94" s="201">
        <f>'Inputs for Evans Tables'!N24+$G$151+$G$152+$G$153+'Statement D Table 1'!O40</f>
        <v>90280.77600000001</v>
      </c>
      <c r="H94" s="201">
        <f t="shared" si="1"/>
        <v>485299.0026570361</v>
      </c>
      <c r="I94" s="201">
        <f t="shared" si="7"/>
        <v>196334.22060017544</v>
      </c>
      <c r="J94" s="201">
        <f t="shared" si="2"/>
        <v>647509.2232572115</v>
      </c>
      <c r="K94" s="210">
        <f>+'Inputs for Evans Tables'!G24</f>
        <v>568980.33362</v>
      </c>
      <c r="L94" s="210">
        <f>+'Inputs for Evans Tables'!J24</f>
        <v>7761.305</v>
      </c>
      <c r="M94" s="216">
        <f t="shared" si="3"/>
        <v>70767.58463721146</v>
      </c>
      <c r="O94" s="210"/>
      <c r="P94" s="210"/>
      <c r="R94" s="201"/>
      <c r="T94" s="201"/>
      <c r="V94" s="201"/>
      <c r="X94" s="201"/>
      <c r="Z94" s="201"/>
      <c r="AB94" s="201"/>
      <c r="AD94" s="201"/>
      <c r="AF94" s="201"/>
      <c r="AH94" s="201"/>
      <c r="AJ94" s="201"/>
    </row>
    <row r="95" spans="1:36" ht="12.75">
      <c r="A95" s="194">
        <v>31</v>
      </c>
      <c r="B95" s="203">
        <f t="shared" si="4"/>
        <v>2036</v>
      </c>
      <c r="C95" s="201">
        <f t="shared" si="8"/>
        <v>2810109</v>
      </c>
      <c r="D95" s="201">
        <f t="shared" si="5"/>
        <v>1203172.821931025</v>
      </c>
      <c r="E95" s="201">
        <f>'Inputs for Evans Tables'!M25+$E$151</f>
        <v>770584.7537586055</v>
      </c>
      <c r="F95" s="201">
        <f t="shared" si="6"/>
        <v>231523.75265333333</v>
      </c>
      <c r="G95" s="201">
        <f>'Inputs for Evans Tables'!N25+$G$151+$G$152+$G$153+'Statement D Table 1'!O41</f>
        <v>78013.30600000001</v>
      </c>
      <c r="H95" s="201">
        <f t="shared" si="1"/>
        <v>526814.3656570362</v>
      </c>
      <c r="I95" s="201">
        <f t="shared" si="7"/>
        <v>196334.22060017544</v>
      </c>
      <c r="J95" s="201">
        <f t="shared" si="2"/>
        <v>689024.5862572116</v>
      </c>
      <c r="K95" s="210">
        <f>+'Inputs for Evans Tables'!G25</f>
        <v>589336.55286</v>
      </c>
      <c r="L95" s="210">
        <f>+'Inputs for Evans Tables'!J25</f>
        <v>28920.449</v>
      </c>
      <c r="M95" s="216">
        <f t="shared" si="3"/>
        <v>70767.58439721158</v>
      </c>
      <c r="O95" s="210"/>
      <c r="P95" s="210"/>
      <c r="R95" s="201"/>
      <c r="T95" s="201"/>
      <c r="V95" s="201"/>
      <c r="X95" s="201"/>
      <c r="Z95" s="201"/>
      <c r="AB95" s="201"/>
      <c r="AD95" s="201"/>
      <c r="AF95" s="201"/>
      <c r="AH95" s="201"/>
      <c r="AJ95" s="201"/>
    </row>
    <row r="96" spans="1:36" ht="12.75">
      <c r="A96" s="194">
        <v>32</v>
      </c>
      <c r="B96" s="203">
        <f t="shared" si="4"/>
        <v>2037</v>
      </c>
      <c r="C96" s="201">
        <f t="shared" si="8"/>
        <v>2810109</v>
      </c>
      <c r="D96" s="201">
        <f t="shared" si="5"/>
        <v>1203172.821931025</v>
      </c>
      <c r="E96" s="201">
        <f>'Inputs for Evans Tables'!M26+$E$151</f>
        <v>769942.2275086055</v>
      </c>
      <c r="F96" s="201">
        <f t="shared" si="6"/>
        <v>231523.75265333333</v>
      </c>
      <c r="G96" s="201">
        <f>'Inputs for Evans Tables'!N26+$G$151+$G$152+$G$153+'Statement D Table 1'!O42</f>
        <v>60867.905</v>
      </c>
      <c r="H96" s="201">
        <f t="shared" si="1"/>
        <v>544602.2929070361</v>
      </c>
      <c r="I96" s="201">
        <f t="shared" si="7"/>
        <v>196334.22060017544</v>
      </c>
      <c r="J96" s="201">
        <f t="shared" si="2"/>
        <v>706812.5135072116</v>
      </c>
      <c r="K96" s="210">
        <f>+'Inputs for Evans Tables'!G26</f>
        <v>620267.35186</v>
      </c>
      <c r="L96" s="210">
        <f>+'Inputs for Evans Tables'!J26</f>
        <v>15777.577</v>
      </c>
      <c r="M96" s="216">
        <f t="shared" si="3"/>
        <v>70767.58464721152</v>
      </c>
      <c r="O96" s="210"/>
      <c r="P96" s="210"/>
      <c r="R96" s="201"/>
      <c r="T96" s="201"/>
      <c r="V96" s="201"/>
      <c r="X96" s="201"/>
      <c r="Z96" s="201"/>
      <c r="AB96" s="201"/>
      <c r="AD96" s="201"/>
      <c r="AF96" s="201"/>
      <c r="AH96" s="201"/>
      <c r="AJ96" s="201"/>
    </row>
    <row r="97" spans="1:36" ht="12.75">
      <c r="A97" s="194">
        <v>33</v>
      </c>
      <c r="B97" s="203">
        <f t="shared" si="4"/>
        <v>2038</v>
      </c>
      <c r="C97" s="201">
        <f t="shared" si="8"/>
        <v>2810109</v>
      </c>
      <c r="D97" s="201">
        <f t="shared" si="5"/>
        <v>1203172.821931025</v>
      </c>
      <c r="E97" s="201">
        <f>'Inputs for Evans Tables'!M27+$E$151</f>
        <v>759919.7225086055</v>
      </c>
      <c r="F97" s="201">
        <f t="shared" si="6"/>
        <v>231523.75265333333</v>
      </c>
      <c r="G97" s="201">
        <f>'Inputs for Evans Tables'!N27+$G$151+$G$152+$G$153+'Statement D Table 1'!O43</f>
        <v>42014.956000000006</v>
      </c>
      <c r="H97" s="201">
        <f t="shared" si="1"/>
        <v>573477.7469070362</v>
      </c>
      <c r="I97" s="201">
        <f t="shared" si="7"/>
        <v>196334.22060017544</v>
      </c>
      <c r="J97" s="201">
        <f t="shared" si="2"/>
        <v>735687.9675072116</v>
      </c>
      <c r="K97" s="210">
        <f>+'Inputs for Evans Tables'!G27</f>
        <v>664920.38386</v>
      </c>
      <c r="L97" s="210">
        <f>+'Inputs for Evans Tables'!J27</f>
        <v>0</v>
      </c>
      <c r="M97" s="216">
        <f t="shared" si="3"/>
        <v>70767.58364721166</v>
      </c>
      <c r="O97" s="210"/>
      <c r="P97" s="210"/>
      <c r="R97" s="201"/>
      <c r="T97" s="201"/>
      <c r="V97" s="201"/>
      <c r="X97" s="201"/>
      <c r="Z97" s="201"/>
      <c r="AB97" s="201"/>
      <c r="AD97" s="201"/>
      <c r="AF97" s="201"/>
      <c r="AH97" s="201"/>
      <c r="AJ97" s="201"/>
    </row>
    <row r="98" spans="1:36" ht="12.75">
      <c r="A98" s="194">
        <v>34</v>
      </c>
      <c r="B98" s="203">
        <f t="shared" si="4"/>
        <v>2039</v>
      </c>
      <c r="C98" s="201">
        <f t="shared" si="8"/>
        <v>2810109</v>
      </c>
      <c r="D98" s="201">
        <f t="shared" si="5"/>
        <v>1203172.821931025</v>
      </c>
      <c r="E98" s="201">
        <f>'Inputs for Evans Tables'!M28+$E$151</f>
        <v>727686.4702586054</v>
      </c>
      <c r="F98" s="201">
        <f t="shared" si="6"/>
        <v>231523.75265333333</v>
      </c>
      <c r="G98" s="201">
        <f>'Inputs for Evans Tables'!N28+$G$151+$G$152+$G$153+'Statement D Table 1'!O44</f>
        <v>21235.933000000005</v>
      </c>
      <c r="H98" s="201">
        <f t="shared" si="1"/>
        <v>626490.0221570362</v>
      </c>
      <c r="I98" s="201">
        <f t="shared" si="7"/>
        <v>196334.22060017544</v>
      </c>
      <c r="J98" s="201">
        <f t="shared" si="2"/>
        <v>788700.2427572117</v>
      </c>
      <c r="K98" s="210">
        <f>+'Inputs for Evans Tables'!G28</f>
        <v>703751.22086</v>
      </c>
      <c r="L98" s="210">
        <f>+'Inputs for Evans Tables'!J28</f>
        <v>14181.438</v>
      </c>
      <c r="M98" s="216">
        <f t="shared" si="3"/>
        <v>70767.58389721168</v>
      </c>
      <c r="O98" s="210"/>
      <c r="P98" s="210"/>
      <c r="R98" s="201"/>
      <c r="T98" s="201"/>
      <c r="V98" s="201"/>
      <c r="X98" s="201"/>
      <c r="Z98" s="201"/>
      <c r="AB98" s="201"/>
      <c r="AD98" s="201"/>
      <c r="AF98" s="201"/>
      <c r="AH98" s="201"/>
      <c r="AJ98" s="201"/>
    </row>
    <row r="99" spans="1:36" ht="12.75">
      <c r="A99" s="194">
        <v>35</v>
      </c>
      <c r="B99" s="203">
        <f>B98+1</f>
        <v>2040</v>
      </c>
      <c r="C99" s="201">
        <f t="shared" si="8"/>
        <v>2810109</v>
      </c>
      <c r="D99" s="201">
        <f t="shared" si="5"/>
        <v>1203172.821931025</v>
      </c>
      <c r="E99" s="201">
        <f>'Inputs for Evans Tables'!M29+$E$151</f>
        <v>725377.3597586055</v>
      </c>
      <c r="F99" s="201">
        <f t="shared" si="6"/>
        <v>231523.75265333333</v>
      </c>
      <c r="G99" s="201">
        <f>'Inputs for Evans Tables'!N29+$G$151+$G$152+$G$153+'Statement D Table 1'!O45</f>
        <v>-1168.3689999999988</v>
      </c>
      <c r="H99" s="201">
        <f t="shared" si="1"/>
        <v>651203.4346570361</v>
      </c>
      <c r="I99" s="201">
        <f t="shared" si="7"/>
        <v>196334.22060017544</v>
      </c>
      <c r="J99" s="201">
        <f t="shared" si="2"/>
        <v>813413.6552572115</v>
      </c>
      <c r="K99" s="210">
        <f>+'Inputs for Evans Tables'!G29</f>
        <v>742646.07086</v>
      </c>
      <c r="L99" s="210">
        <f>+'Inputs for Evans Tables'!J29</f>
        <v>0</v>
      </c>
      <c r="M99" s="216">
        <f t="shared" si="3"/>
        <v>70767.58439721155</v>
      </c>
      <c r="O99" s="210"/>
      <c r="P99" s="210"/>
      <c r="R99" s="201"/>
      <c r="T99" s="201"/>
      <c r="V99" s="201"/>
      <c r="X99" s="201"/>
      <c r="Z99" s="201"/>
      <c r="AB99" s="201"/>
      <c r="AD99" s="201"/>
      <c r="AF99" s="201"/>
      <c r="AH99" s="201"/>
      <c r="AJ99" s="201"/>
    </row>
    <row r="100" spans="1:36" ht="12.75">
      <c r="A100" s="194">
        <v>36</v>
      </c>
      <c r="B100" s="203">
        <f t="shared" si="4"/>
        <v>2041</v>
      </c>
      <c r="C100" s="201">
        <f t="shared" si="8"/>
        <v>2810109</v>
      </c>
      <c r="D100" s="201">
        <f t="shared" si="5"/>
        <v>1203172.821931025</v>
      </c>
      <c r="E100" s="201">
        <f>'Inputs for Evans Tables'!M30+$E$151</f>
        <v>718444.1037586055</v>
      </c>
      <c r="F100" s="201">
        <f t="shared" si="6"/>
        <v>231523.75265333333</v>
      </c>
      <c r="G100" s="201">
        <f>'Inputs for Evans Tables'!N30+$G$151+$G$152+$G$153+'Statement D Table 1'!O46</f>
        <v>-25136.849000000002</v>
      </c>
      <c r="H100" s="201">
        <f t="shared" si="1"/>
        <v>682105.1706570361</v>
      </c>
      <c r="I100" s="201">
        <f t="shared" si="7"/>
        <v>196334.22060017544</v>
      </c>
      <c r="J100" s="201">
        <f t="shared" si="2"/>
        <v>844315.3912572116</v>
      </c>
      <c r="K100" s="210">
        <f>+'Inputs for Evans Tables'!G30</f>
        <v>773547.80648</v>
      </c>
      <c r="L100" s="210">
        <f>+'Inputs for Evans Tables'!J30</f>
        <v>0</v>
      </c>
      <c r="M100" s="216">
        <f t="shared" si="3"/>
        <v>70767.58477721154</v>
      </c>
      <c r="O100" s="210"/>
      <c r="P100" s="210"/>
      <c r="R100" s="201"/>
      <c r="T100" s="201"/>
      <c r="V100" s="201"/>
      <c r="X100" s="201"/>
      <c r="Z100" s="201"/>
      <c r="AB100" s="201"/>
      <c r="AD100" s="201"/>
      <c r="AF100" s="201"/>
      <c r="AH100" s="201"/>
      <c r="AJ100" s="201"/>
    </row>
    <row r="101" spans="1:36" ht="12.75">
      <c r="A101" s="194">
        <v>37</v>
      </c>
      <c r="B101" s="203">
        <f t="shared" si="4"/>
        <v>2042</v>
      </c>
      <c r="C101" s="201">
        <f t="shared" si="8"/>
        <v>2810109</v>
      </c>
      <c r="D101" s="201">
        <f t="shared" si="5"/>
        <v>1203172.821931025</v>
      </c>
      <c r="E101" s="201">
        <f>'Inputs for Evans Tables'!M31+$E$151</f>
        <v>718443.1807586055</v>
      </c>
      <c r="F101" s="201">
        <f t="shared" si="6"/>
        <v>231523.75265333333</v>
      </c>
      <c r="G101" s="201">
        <f>'Inputs for Evans Tables'!N31+$G$151+$G$152+$G$153+'Statement D Table 1'!O47</f>
        <v>-40779.102</v>
      </c>
      <c r="H101" s="201">
        <f t="shared" si="1"/>
        <v>697748.3466570361</v>
      </c>
      <c r="I101" s="201">
        <f t="shared" si="7"/>
        <v>196334.22060017544</v>
      </c>
      <c r="J101" s="201">
        <f t="shared" si="2"/>
        <v>859958.5672572115</v>
      </c>
      <c r="K101" s="210">
        <f>+'Inputs for Evans Tables'!G31</f>
        <v>367679.24224</v>
      </c>
      <c r="L101" s="210">
        <f>+'Inputs for Evans Tables'!J31</f>
        <v>73659</v>
      </c>
      <c r="M101" s="216">
        <f t="shared" si="3"/>
        <v>418620.32501721155</v>
      </c>
      <c r="O101" s="210"/>
      <c r="P101" s="210"/>
      <c r="R101" s="201"/>
      <c r="T101" s="201"/>
      <c r="V101" s="201"/>
      <c r="X101" s="201"/>
      <c r="Z101" s="201"/>
      <c r="AB101" s="201"/>
      <c r="AD101" s="201"/>
      <c r="AF101" s="201"/>
      <c r="AH101" s="201"/>
      <c r="AJ101" s="201"/>
    </row>
    <row r="102" spans="1:36" ht="12.75">
      <c r="A102" s="194">
        <v>38</v>
      </c>
      <c r="B102" s="203">
        <f t="shared" si="4"/>
        <v>2043</v>
      </c>
      <c r="C102" s="201">
        <f t="shared" si="8"/>
        <v>2810109</v>
      </c>
      <c r="D102" s="201">
        <f t="shared" si="5"/>
        <v>1203172.821931025</v>
      </c>
      <c r="E102" s="201">
        <f>'Inputs for Evans Tables'!M32+$E$151</f>
        <v>718440.8022586055</v>
      </c>
      <c r="F102" s="201">
        <f t="shared" si="6"/>
        <v>231523.75265333333</v>
      </c>
      <c r="G102" s="201">
        <f>'Inputs for Evans Tables'!N32+$G$151+$G$152+$G$153+'Statement D Table 1'!O48</f>
        <v>-44095.82</v>
      </c>
      <c r="H102" s="201">
        <f t="shared" si="1"/>
        <v>701067.4431570361</v>
      </c>
      <c r="I102" s="201">
        <f t="shared" si="7"/>
        <v>196334.22060017544</v>
      </c>
      <c r="J102" s="201">
        <f t="shared" si="2"/>
        <v>863277.6637572115</v>
      </c>
      <c r="K102" s="210">
        <f>+'Inputs for Evans Tables'!G32</f>
        <v>218435.40562</v>
      </c>
      <c r="L102" s="210">
        <f>+'Inputs for Evans Tables'!J32</f>
        <v>0</v>
      </c>
      <c r="M102" s="216">
        <f t="shared" si="3"/>
        <v>644842.2581372116</v>
      </c>
      <c r="O102" s="210"/>
      <c r="P102" s="210"/>
      <c r="R102" s="201"/>
      <c r="T102" s="201"/>
      <c r="V102" s="201"/>
      <c r="X102" s="201"/>
      <c r="Z102" s="201"/>
      <c r="AB102" s="201"/>
      <c r="AD102" s="201"/>
      <c r="AF102" s="201"/>
      <c r="AH102" s="201"/>
      <c r="AJ102" s="201"/>
    </row>
    <row r="103" spans="1:36" ht="12.75">
      <c r="A103" s="194">
        <v>39</v>
      </c>
      <c r="B103" s="203">
        <f t="shared" si="4"/>
        <v>2044</v>
      </c>
      <c r="C103" s="201">
        <f t="shared" si="8"/>
        <v>2810109</v>
      </c>
      <c r="D103" s="201">
        <f t="shared" si="5"/>
        <v>1203172.821931025</v>
      </c>
      <c r="E103" s="201">
        <f>'Inputs for Evans Tables'!M33+$E$151</f>
        <v>836739.4745086054</v>
      </c>
      <c r="F103" s="201">
        <f t="shared" si="6"/>
        <v>231523.75265333333</v>
      </c>
      <c r="G103" s="201">
        <f>'Inputs for Evans Tables'!N33+$G$151+$G$152+$G$153+'Statement D Table 1'!O49</f>
        <v>-43703.659</v>
      </c>
      <c r="H103" s="201">
        <f t="shared" si="1"/>
        <v>582376.6099070362</v>
      </c>
      <c r="I103" s="201">
        <f t="shared" si="7"/>
        <v>196334.22060017544</v>
      </c>
      <c r="J103" s="201">
        <f t="shared" si="2"/>
        <v>744586.8305072116</v>
      </c>
      <c r="K103" s="210">
        <f>+'Inputs for Evans Tables'!G33</f>
        <v>218435.40562</v>
      </c>
      <c r="L103" s="210">
        <f>+'Inputs for Evans Tables'!J33</f>
        <v>0</v>
      </c>
      <c r="M103" s="216">
        <f t="shared" si="3"/>
        <v>526151.4248872116</v>
      </c>
      <c r="O103" s="210"/>
      <c r="P103" s="210"/>
      <c r="R103" s="201"/>
      <c r="T103" s="201"/>
      <c r="V103" s="201"/>
      <c r="X103" s="201"/>
      <c r="Z103" s="201"/>
      <c r="AB103" s="201"/>
      <c r="AD103" s="201"/>
      <c r="AF103" s="201"/>
      <c r="AH103" s="201"/>
      <c r="AJ103" s="201"/>
    </row>
    <row r="104" spans="1:36" ht="12.75">
      <c r="A104" s="194">
        <v>40</v>
      </c>
      <c r="B104" s="203">
        <f>B103+1</f>
        <v>2045</v>
      </c>
      <c r="C104" s="201">
        <f t="shared" si="8"/>
        <v>2810109</v>
      </c>
      <c r="D104" s="201">
        <f t="shared" si="5"/>
        <v>1203172.821931025</v>
      </c>
      <c r="E104" s="201">
        <f>'Inputs for Evans Tables'!M34+$E$151</f>
        <v>1188787.3195086056</v>
      </c>
      <c r="F104" s="201">
        <f t="shared" si="6"/>
        <v>231523.75265333333</v>
      </c>
      <c r="G104" s="201">
        <f>'Inputs for Evans Tables'!N34+$G$151+$G$152+$G$153+'Statement D Table 1'!O50</f>
        <v>-42536.621</v>
      </c>
      <c r="H104" s="201">
        <f t="shared" si="1"/>
        <v>229161.72690703603</v>
      </c>
      <c r="I104" s="201">
        <f t="shared" si="7"/>
        <v>196334.22060017544</v>
      </c>
      <c r="J104" s="201">
        <f t="shared" si="2"/>
        <v>391371.9475072115</v>
      </c>
      <c r="K104" s="210">
        <f>+'Inputs for Evans Tables'!G34</f>
        <v>218435.40562</v>
      </c>
      <c r="L104" s="210">
        <f>+'Inputs for Evans Tables'!J34</f>
        <v>11578.995</v>
      </c>
      <c r="M104" s="216">
        <f t="shared" si="3"/>
        <v>161357.54688721147</v>
      </c>
      <c r="O104" s="210"/>
      <c r="P104" s="210"/>
      <c r="R104" s="201"/>
      <c r="T104" s="201"/>
      <c r="V104" s="201"/>
      <c r="X104" s="201"/>
      <c r="Z104" s="201"/>
      <c r="AB104" s="201"/>
      <c r="AD104" s="201"/>
      <c r="AF104" s="201"/>
      <c r="AH104" s="201"/>
      <c r="AJ104" s="201"/>
    </row>
    <row r="105" spans="1:36" ht="12.75">
      <c r="A105" s="194">
        <v>41</v>
      </c>
      <c r="B105" s="203">
        <f t="shared" si="4"/>
        <v>2046</v>
      </c>
      <c r="C105" s="201">
        <f t="shared" si="8"/>
        <v>2810109</v>
      </c>
      <c r="D105" s="201">
        <f t="shared" si="5"/>
        <v>1203172.821931025</v>
      </c>
      <c r="E105" s="201">
        <f>'Inputs for Evans Tables'!M35+$E$151</f>
        <v>1188786.3895086055</v>
      </c>
      <c r="F105" s="201">
        <f t="shared" si="6"/>
        <v>231523.75265333333</v>
      </c>
      <c r="G105" s="201">
        <f>'Inputs for Evans Tables'!N35+$G$151+$G$152+$G$153+'Statement D Table 1'!O51</f>
        <v>-42536.623999999996</v>
      </c>
      <c r="H105" s="201">
        <f t="shared" si="1"/>
        <v>229162.65990703617</v>
      </c>
      <c r="I105" s="201">
        <f t="shared" si="7"/>
        <v>196334.22060017544</v>
      </c>
      <c r="J105" s="201">
        <f t="shared" si="2"/>
        <v>391372.8805072116</v>
      </c>
      <c r="K105" s="210">
        <f>+'Inputs for Evans Tables'!G35</f>
        <v>218435.40562</v>
      </c>
      <c r="L105" s="210">
        <f>+'Inputs for Evans Tables'!J35</f>
        <v>0</v>
      </c>
      <c r="M105" s="216">
        <f t="shared" si="3"/>
        <v>172937.4748872116</v>
      </c>
      <c r="O105" s="210"/>
      <c r="P105" s="210"/>
      <c r="R105" s="201"/>
      <c r="T105" s="201"/>
      <c r="V105" s="201"/>
      <c r="X105" s="201"/>
      <c r="Z105" s="201"/>
      <c r="AB105" s="201"/>
      <c r="AD105" s="201"/>
      <c r="AF105" s="201"/>
      <c r="AH105" s="201"/>
      <c r="AJ105" s="201"/>
    </row>
    <row r="106" spans="1:36" ht="12.75">
      <c r="A106" s="194">
        <v>42</v>
      </c>
      <c r="B106" s="203">
        <f t="shared" si="4"/>
        <v>2047</v>
      </c>
      <c r="C106" s="201">
        <f t="shared" si="8"/>
        <v>2810109</v>
      </c>
      <c r="D106" s="201">
        <f t="shared" si="5"/>
        <v>1203172.821931025</v>
      </c>
      <c r="E106" s="201">
        <f>'Inputs for Evans Tables'!M36+$E$151</f>
        <v>1188788.5320086055</v>
      </c>
      <c r="F106" s="201">
        <f t="shared" si="6"/>
        <v>231523.75265333333</v>
      </c>
      <c r="G106" s="201">
        <f>'Inputs for Evans Tables'!N36+$G$151+$G$152+$G$153+'Statement D Table 1'!O52</f>
        <v>-42536.617</v>
      </c>
      <c r="H106" s="201">
        <f t="shared" si="1"/>
        <v>229160.5104070361</v>
      </c>
      <c r="I106" s="201">
        <f t="shared" si="7"/>
        <v>196334.22060017544</v>
      </c>
      <c r="J106" s="201">
        <f t="shared" si="2"/>
        <v>391370.73100721155</v>
      </c>
      <c r="K106" s="210">
        <f>+'Inputs for Evans Tables'!G36</f>
        <v>218435.40562</v>
      </c>
      <c r="L106" s="210">
        <f>+'Inputs for Evans Tables'!J36</f>
        <v>0</v>
      </c>
      <c r="M106" s="216">
        <f t="shared" si="3"/>
        <v>172935.32538721155</v>
      </c>
      <c r="O106" s="210"/>
      <c r="P106" s="210"/>
      <c r="R106" s="201"/>
      <c r="T106" s="201"/>
      <c r="V106" s="201"/>
      <c r="X106" s="201"/>
      <c r="Z106" s="201"/>
      <c r="AB106" s="201"/>
      <c r="AD106" s="201"/>
      <c r="AF106" s="201"/>
      <c r="AH106" s="201"/>
      <c r="AJ106" s="201"/>
    </row>
    <row r="107" spans="1:36" ht="12.75">
      <c r="A107" s="194">
        <v>43</v>
      </c>
      <c r="B107" s="203">
        <f t="shared" si="4"/>
        <v>2048</v>
      </c>
      <c r="C107" s="201">
        <f t="shared" si="8"/>
        <v>2810109</v>
      </c>
      <c r="D107" s="201">
        <f t="shared" si="5"/>
        <v>1203172.821931025</v>
      </c>
      <c r="E107" s="201">
        <f>'Inputs for Evans Tables'!M37+$E$151</f>
        <v>1188786.3670086055</v>
      </c>
      <c r="F107" s="201">
        <f t="shared" si="6"/>
        <v>231523.75265333333</v>
      </c>
      <c r="G107" s="201">
        <f>'Inputs for Evans Tables'!N37+$G$151+$G$152+$G$153+'Statement D Table 1'!O53</f>
        <v>-42536.623999999996</v>
      </c>
      <c r="H107" s="201">
        <f t="shared" si="1"/>
        <v>229162.68240703613</v>
      </c>
      <c r="I107" s="201">
        <f t="shared" si="7"/>
        <v>196334.22060017544</v>
      </c>
      <c r="J107" s="201">
        <f t="shared" si="2"/>
        <v>391372.9030072116</v>
      </c>
      <c r="K107" s="210">
        <f>+'Inputs for Evans Tables'!G37</f>
        <v>218435.40562</v>
      </c>
      <c r="L107" s="210">
        <f>+'Inputs for Evans Tables'!J37</f>
        <v>0</v>
      </c>
      <c r="M107" s="216">
        <f t="shared" si="3"/>
        <v>172937.49738721157</v>
      </c>
      <c r="O107" s="210"/>
      <c r="P107" s="210"/>
      <c r="R107" s="201"/>
      <c r="T107" s="201"/>
      <c r="V107" s="201"/>
      <c r="X107" s="201"/>
      <c r="Z107" s="201"/>
      <c r="AB107" s="201"/>
      <c r="AD107" s="201"/>
      <c r="AF107" s="201"/>
      <c r="AH107" s="201"/>
      <c r="AJ107" s="201"/>
    </row>
    <row r="108" spans="1:36" ht="12.75">
      <c r="A108" s="194">
        <v>44</v>
      </c>
      <c r="B108" s="203">
        <f t="shared" si="4"/>
        <v>2049</v>
      </c>
      <c r="C108" s="201">
        <f t="shared" si="8"/>
        <v>2810109</v>
      </c>
      <c r="D108" s="201">
        <f t="shared" si="5"/>
        <v>1203172.821931025</v>
      </c>
      <c r="E108" s="201">
        <f>'Inputs for Evans Tables'!M38+$E$151</f>
        <v>1188787.1520086054</v>
      </c>
      <c r="F108" s="201">
        <f t="shared" si="6"/>
        <v>231523.75265333333</v>
      </c>
      <c r="G108" s="201">
        <f>'Inputs for Evans Tables'!N38+$G$151+$G$152+$G$153+'Statement D Table 1'!O54</f>
        <v>-42536.621</v>
      </c>
      <c r="H108" s="201">
        <f t="shared" si="1"/>
        <v>229161.89440703625</v>
      </c>
      <c r="I108" s="201">
        <f t="shared" si="7"/>
        <v>196334.22060017544</v>
      </c>
      <c r="J108" s="201">
        <f t="shared" si="2"/>
        <v>391372.1150072117</v>
      </c>
      <c r="K108" s="210">
        <f>+'Inputs for Evans Tables'!G38</f>
        <v>218435.40562</v>
      </c>
      <c r="L108" s="210">
        <f>+'Inputs for Evans Tables'!J38</f>
        <v>0</v>
      </c>
      <c r="M108" s="216">
        <f t="shared" si="3"/>
        <v>172936.70938721168</v>
      </c>
      <c r="O108" s="210"/>
      <c r="P108" s="210"/>
      <c r="R108" s="201"/>
      <c r="T108" s="201"/>
      <c r="V108" s="201"/>
      <c r="X108" s="201"/>
      <c r="Z108" s="201"/>
      <c r="AB108" s="201"/>
      <c r="AD108" s="201"/>
      <c r="AF108" s="201"/>
      <c r="AH108" s="201"/>
      <c r="AJ108" s="201"/>
    </row>
    <row r="109" spans="1:36" ht="12.75">
      <c r="A109" s="194">
        <v>45</v>
      </c>
      <c r="B109" s="203">
        <f>B108+1</f>
        <v>2050</v>
      </c>
      <c r="C109" s="201">
        <f t="shared" si="8"/>
        <v>2810109</v>
      </c>
      <c r="D109" s="201">
        <f t="shared" si="5"/>
        <v>1203172.821931025</v>
      </c>
      <c r="E109" s="201">
        <f>'Inputs for Evans Tables'!M39+$E$151</f>
        <v>1188786.9120086054</v>
      </c>
      <c r="F109" s="201">
        <f t="shared" si="6"/>
        <v>231523.75265333333</v>
      </c>
      <c r="G109" s="201">
        <f>'Inputs for Evans Tables'!N39+$G$151+$G$152+$G$153+'Statement D Table 1'!O55</f>
        <v>-42536.622</v>
      </c>
      <c r="H109" s="201">
        <f t="shared" si="1"/>
        <v>229162.13540703623</v>
      </c>
      <c r="I109" s="201">
        <f t="shared" si="7"/>
        <v>196334.22060017544</v>
      </c>
      <c r="J109" s="201">
        <f t="shared" si="2"/>
        <v>391372.35600721167</v>
      </c>
      <c r="K109" s="210">
        <f>+'Inputs for Evans Tables'!G39</f>
        <v>218435.40562</v>
      </c>
      <c r="L109" s="210">
        <f>+'Inputs for Evans Tables'!J39</f>
        <v>0</v>
      </c>
      <c r="M109" s="216">
        <f t="shared" si="3"/>
        <v>172936.95038721166</v>
      </c>
      <c r="O109" s="210"/>
      <c r="P109" s="210"/>
      <c r="R109" s="201"/>
      <c r="T109" s="201"/>
      <c r="V109" s="201"/>
      <c r="X109" s="201"/>
      <c r="Z109" s="201"/>
      <c r="AB109" s="201"/>
      <c r="AD109" s="201"/>
      <c r="AF109" s="201"/>
      <c r="AH109" s="201"/>
      <c r="AJ109" s="201"/>
    </row>
    <row r="110" spans="1:36" ht="12.75">
      <c r="A110" s="194">
        <v>46</v>
      </c>
      <c r="B110" s="203">
        <f t="shared" si="4"/>
        <v>2051</v>
      </c>
      <c r="C110" s="201">
        <f t="shared" si="8"/>
        <v>2810109</v>
      </c>
      <c r="D110" s="201">
        <f t="shared" si="5"/>
        <v>1203172.821931025</v>
      </c>
      <c r="E110" s="201">
        <f>'Inputs for Evans Tables'!M40+$E$151</f>
        <v>1188786.0195086054</v>
      </c>
      <c r="F110" s="201">
        <f t="shared" si="6"/>
        <v>231523.75265333333</v>
      </c>
      <c r="G110" s="201">
        <f>'Inputs for Evans Tables'!N40+$G$151+$G$152+$G$153+'Statement D Table 1'!O56</f>
        <v>-42536.625</v>
      </c>
      <c r="H110" s="201">
        <f t="shared" si="1"/>
        <v>229163.0309070363</v>
      </c>
      <c r="I110" s="201">
        <f t="shared" si="7"/>
        <v>196334.22060017544</v>
      </c>
      <c r="J110" s="201">
        <f t="shared" si="2"/>
        <v>391373.2515072117</v>
      </c>
      <c r="K110" s="210">
        <f>+'Inputs for Evans Tables'!G40</f>
        <v>218435.40562</v>
      </c>
      <c r="L110" s="210">
        <f>+'Inputs for Evans Tables'!J40</f>
        <v>0</v>
      </c>
      <c r="M110" s="216">
        <f>J110-K111-L110</f>
        <v>172937.8458872117</v>
      </c>
      <c r="O110" s="210"/>
      <c r="P110" s="210"/>
      <c r="R110" s="201"/>
      <c r="T110" s="201"/>
      <c r="V110" s="201"/>
      <c r="X110" s="201"/>
      <c r="Z110" s="201"/>
      <c r="AB110" s="201"/>
      <c r="AD110" s="201"/>
      <c r="AF110" s="201"/>
      <c r="AH110" s="201"/>
      <c r="AJ110" s="201"/>
    </row>
    <row r="111" spans="1:36" ht="12.75">
      <c r="A111" s="194">
        <v>47</v>
      </c>
      <c r="B111" s="203">
        <f t="shared" si="4"/>
        <v>2052</v>
      </c>
      <c r="C111" s="201">
        <f t="shared" si="8"/>
        <v>2810109</v>
      </c>
      <c r="D111" s="201">
        <f t="shared" si="5"/>
        <v>1203172.821931025</v>
      </c>
      <c r="E111" s="201">
        <f>'Inputs for Evans Tables'!M41+$E$151</f>
        <v>1188786.4045086056</v>
      </c>
      <c r="F111" s="201">
        <f t="shared" si="6"/>
        <v>231523.75265333333</v>
      </c>
      <c r="G111" s="201">
        <f>'Inputs for Evans Tables'!N41+$G$151+$G$152+$G$153+'Statement D Table 1'!O57</f>
        <v>-42536.623999999996</v>
      </c>
      <c r="H111" s="201">
        <f aca="true" t="shared" si="9" ref="H111:H128">C111-D111-E111-F111-G111</f>
        <v>229162.64490703604</v>
      </c>
      <c r="I111" s="201">
        <f aca="true" t="shared" si="10" ref="I111:I128">F111+$G$153+$G$154</f>
        <v>196334.22060017544</v>
      </c>
      <c r="J111" s="201">
        <f aca="true" t="shared" si="11" ref="J111:J128">H111+I111-3524-30600</f>
        <v>391372.8655072115</v>
      </c>
      <c r="K111" s="210">
        <f>+'Inputs for Evans Tables'!G41</f>
        <v>218435.40562</v>
      </c>
      <c r="L111" s="210">
        <f>+'Inputs for Evans Tables'!J41</f>
        <v>0</v>
      </c>
      <c r="M111" s="216">
        <f>J111-K112-L111</f>
        <v>172937.45988721147</v>
      </c>
      <c r="O111" s="210"/>
      <c r="P111" s="210"/>
      <c r="R111" s="201"/>
      <c r="T111" s="201"/>
      <c r="V111" s="201"/>
      <c r="X111" s="201"/>
      <c r="Z111" s="201"/>
      <c r="AB111" s="201"/>
      <c r="AD111" s="201"/>
      <c r="AF111" s="201"/>
      <c r="AH111" s="201"/>
      <c r="AJ111" s="201"/>
    </row>
    <row r="112" spans="1:36" ht="12.75">
      <c r="A112" s="194">
        <v>48</v>
      </c>
      <c r="B112" s="203">
        <f t="shared" si="4"/>
        <v>2053</v>
      </c>
      <c r="C112" s="201">
        <f t="shared" si="8"/>
        <v>2810109</v>
      </c>
      <c r="D112" s="201">
        <f t="shared" si="5"/>
        <v>1203172.821931025</v>
      </c>
      <c r="E112" s="201">
        <f>'Inputs for Evans Tables'!M42+$E$151</f>
        <v>1188786.4095086055</v>
      </c>
      <c r="F112" s="201">
        <f t="shared" si="6"/>
        <v>231523.75265333333</v>
      </c>
      <c r="G112" s="201">
        <f>'Inputs for Evans Tables'!N42+$G$151+$G$152+$G$153+'Statement D Table 1'!O58</f>
        <v>-42536.623999999996</v>
      </c>
      <c r="H112" s="201">
        <f t="shared" si="9"/>
        <v>229162.63990703615</v>
      </c>
      <c r="I112" s="201">
        <f t="shared" si="10"/>
        <v>196334.22060017544</v>
      </c>
      <c r="J112" s="201">
        <f t="shared" si="11"/>
        <v>391372.8605072116</v>
      </c>
      <c r="K112" s="210">
        <f>+'Inputs for Evans Tables'!G42</f>
        <v>218435.40562</v>
      </c>
      <c r="L112" s="210">
        <f>+'Inputs for Evans Tables'!J42</f>
        <v>0</v>
      </c>
      <c r="M112" s="216">
        <f aca="true" t="shared" si="12" ref="M112:M128">J112-K112-L112</f>
        <v>172937.45488721158</v>
      </c>
      <c r="O112" s="210"/>
      <c r="P112" s="210"/>
      <c r="R112" s="201"/>
      <c r="T112" s="201"/>
      <c r="V112" s="201"/>
      <c r="X112" s="201"/>
      <c r="Z112" s="201"/>
      <c r="AB112" s="201"/>
      <c r="AD112" s="201"/>
      <c r="AF112" s="201"/>
      <c r="AH112" s="201"/>
      <c r="AJ112" s="201"/>
    </row>
    <row r="113" spans="1:36" ht="12.75">
      <c r="A113" s="194">
        <v>49</v>
      </c>
      <c r="B113" s="203">
        <f t="shared" si="4"/>
        <v>2054</v>
      </c>
      <c r="C113" s="201">
        <f t="shared" si="8"/>
        <v>2810109</v>
      </c>
      <c r="D113" s="201">
        <f t="shared" si="5"/>
        <v>1203172.821931025</v>
      </c>
      <c r="E113" s="201">
        <f>'Inputs for Evans Tables'!M43+$E$151</f>
        <v>1188787.1845086054</v>
      </c>
      <c r="F113" s="201">
        <f t="shared" si="6"/>
        <v>231523.75265333333</v>
      </c>
      <c r="G113" s="201">
        <f>'Inputs for Evans Tables'!N43+$G$151+$G$152+$G$153+'Statement D Table 1'!O59</f>
        <v>-42536.621</v>
      </c>
      <c r="H113" s="201">
        <f t="shared" si="9"/>
        <v>229161.86190703628</v>
      </c>
      <c r="I113" s="201">
        <f t="shared" si="10"/>
        <v>196334.22060017544</v>
      </c>
      <c r="J113" s="201">
        <f t="shared" si="11"/>
        <v>391372.0825072117</v>
      </c>
      <c r="K113" s="210">
        <f>+'Inputs for Evans Tables'!G43</f>
        <v>218435.40562</v>
      </c>
      <c r="L113" s="210">
        <f>+'Inputs for Evans Tables'!J43</f>
        <v>0</v>
      </c>
      <c r="M113" s="216">
        <f t="shared" si="12"/>
        <v>172936.6768872117</v>
      </c>
      <c r="O113" s="210"/>
      <c r="P113" s="210"/>
      <c r="R113" s="201"/>
      <c r="T113" s="201"/>
      <c r="V113" s="201"/>
      <c r="X113" s="201"/>
      <c r="Z113" s="201"/>
      <c r="AB113" s="201"/>
      <c r="AD113" s="201"/>
      <c r="AF113" s="201"/>
      <c r="AH113" s="201"/>
      <c r="AJ113" s="201"/>
    </row>
    <row r="114" spans="1:36" ht="12.75">
      <c r="A114" s="194">
        <v>50</v>
      </c>
      <c r="B114" s="203">
        <f>B113+1</f>
        <v>2055</v>
      </c>
      <c r="C114" s="201">
        <f t="shared" si="8"/>
        <v>2810109</v>
      </c>
      <c r="D114" s="201">
        <f t="shared" si="5"/>
        <v>1203172.821931025</v>
      </c>
      <c r="E114" s="201">
        <f>'Inputs for Evans Tables'!M44+$E$151</f>
        <v>1188787.4695086055</v>
      </c>
      <c r="F114" s="201">
        <f t="shared" si="6"/>
        <v>231523.75265333333</v>
      </c>
      <c r="G114" s="201">
        <f>'Inputs for Evans Tables'!N44+$G$151+$G$152+$G$153+'Statement D Table 1'!O60</f>
        <v>-42536.619999999995</v>
      </c>
      <c r="H114" s="201">
        <f t="shared" si="9"/>
        <v>229161.5759070361</v>
      </c>
      <c r="I114" s="201">
        <f t="shared" si="10"/>
        <v>196334.22060017544</v>
      </c>
      <c r="J114" s="201">
        <f t="shared" si="11"/>
        <v>391371.7965072115</v>
      </c>
      <c r="K114" s="210">
        <f>+'Inputs for Evans Tables'!G44</f>
        <v>218435.40562</v>
      </c>
      <c r="L114" s="210">
        <f>+'Inputs for Evans Tables'!J44</f>
        <v>0</v>
      </c>
      <c r="M114" s="216">
        <f t="shared" si="12"/>
        <v>172936.3908872115</v>
      </c>
      <c r="O114" s="210"/>
      <c r="P114" s="210"/>
      <c r="R114" s="201"/>
      <c r="T114" s="201"/>
      <c r="V114" s="201"/>
      <c r="X114" s="201"/>
      <c r="Z114" s="201"/>
      <c r="AB114" s="201"/>
      <c r="AD114" s="201"/>
      <c r="AF114" s="201"/>
      <c r="AH114" s="201"/>
      <c r="AJ114" s="201"/>
    </row>
    <row r="115" spans="1:36" ht="12.75">
      <c r="A115" s="194">
        <v>51</v>
      </c>
      <c r="B115" s="203">
        <f t="shared" si="4"/>
        <v>2056</v>
      </c>
      <c r="C115" s="201">
        <f t="shared" si="8"/>
        <v>2810109</v>
      </c>
      <c r="D115" s="201">
        <f t="shared" si="5"/>
        <v>1203172.821931025</v>
      </c>
      <c r="E115" s="201">
        <f>'Inputs for Evans Tables'!M45+$E$151</f>
        <v>1188784.9170086056</v>
      </c>
      <c r="F115" s="201">
        <f t="shared" si="6"/>
        <v>231523.75265333333</v>
      </c>
      <c r="G115" s="201">
        <f>'Inputs for Evans Tables'!N45+$G$151+$G$152+$G$153+'Statement D Table 1'!O61</f>
        <v>-42536.629</v>
      </c>
      <c r="H115" s="201">
        <f t="shared" si="9"/>
        <v>229164.1374070361</v>
      </c>
      <c r="I115" s="201">
        <f t="shared" si="10"/>
        <v>196334.22060017544</v>
      </c>
      <c r="J115" s="201">
        <f t="shared" si="11"/>
        <v>391374.35800721153</v>
      </c>
      <c r="K115" s="210">
        <f>+'Inputs for Evans Tables'!G45</f>
        <v>218435.40562</v>
      </c>
      <c r="L115" s="210">
        <f>+'Inputs for Evans Tables'!J45</f>
        <v>0</v>
      </c>
      <c r="M115" s="216">
        <f t="shared" si="12"/>
        <v>172938.95238721152</v>
      </c>
      <c r="O115" s="210"/>
      <c r="P115" s="210"/>
      <c r="R115" s="201"/>
      <c r="T115" s="201"/>
      <c r="V115" s="201"/>
      <c r="X115" s="201"/>
      <c r="Z115" s="201"/>
      <c r="AB115" s="201"/>
      <c r="AD115" s="201"/>
      <c r="AF115" s="201"/>
      <c r="AH115" s="201"/>
      <c r="AJ115" s="201"/>
    </row>
    <row r="116" spans="1:36" ht="12.75">
      <c r="A116" s="194">
        <v>52</v>
      </c>
      <c r="B116" s="203">
        <f t="shared" si="4"/>
        <v>2057</v>
      </c>
      <c r="C116" s="201">
        <f t="shared" si="8"/>
        <v>2810109</v>
      </c>
      <c r="D116" s="201">
        <f t="shared" si="5"/>
        <v>1203172.821931025</v>
      </c>
      <c r="E116" s="201">
        <f>'Inputs for Evans Tables'!M46+$E$151</f>
        <v>1188784.8420086056</v>
      </c>
      <c r="F116" s="201">
        <f t="shared" si="6"/>
        <v>231523.75265333333</v>
      </c>
      <c r="G116" s="201">
        <f>'Inputs for Evans Tables'!N46+$G$151+$G$152+$G$153+'Statement D Table 1'!O62</f>
        <v>-42536.629</v>
      </c>
      <c r="H116" s="201">
        <f t="shared" si="9"/>
        <v>229164.21240703604</v>
      </c>
      <c r="I116" s="201">
        <f t="shared" si="10"/>
        <v>196334.22060017544</v>
      </c>
      <c r="J116" s="201">
        <f t="shared" si="11"/>
        <v>391374.4330072115</v>
      </c>
      <c r="K116" s="210">
        <f>+'Inputs for Evans Tables'!G46</f>
        <v>218435.40562</v>
      </c>
      <c r="L116" s="210">
        <f>+'Inputs for Evans Tables'!J46</f>
        <v>0</v>
      </c>
      <c r="M116" s="216">
        <f t="shared" si="12"/>
        <v>172939.02738721148</v>
      </c>
      <c r="O116" s="210"/>
      <c r="P116" s="210"/>
      <c r="R116" s="201"/>
      <c r="T116" s="201"/>
      <c r="V116" s="201"/>
      <c r="X116" s="201"/>
      <c r="Z116" s="201"/>
      <c r="AB116" s="201"/>
      <c r="AD116" s="201"/>
      <c r="AF116" s="201"/>
      <c r="AH116" s="201"/>
      <c r="AJ116" s="201"/>
    </row>
    <row r="117" spans="1:36" ht="12.75">
      <c r="A117" s="194">
        <v>53</v>
      </c>
      <c r="B117" s="203">
        <f t="shared" si="4"/>
        <v>2058</v>
      </c>
      <c r="C117" s="201">
        <f t="shared" si="8"/>
        <v>2810109</v>
      </c>
      <c r="D117" s="201">
        <f t="shared" si="5"/>
        <v>1203172.821931025</v>
      </c>
      <c r="E117" s="201">
        <f>'Inputs for Evans Tables'!M47+$E$151</f>
        <v>1188785.9645086054</v>
      </c>
      <c r="F117" s="201">
        <f t="shared" si="6"/>
        <v>231523.75265333333</v>
      </c>
      <c r="G117" s="201">
        <f>'Inputs for Evans Tables'!N47+$G$151+$G$152+$G$153+'Statement D Table 1'!O63</f>
        <v>-42536.625</v>
      </c>
      <c r="H117" s="201">
        <f t="shared" si="9"/>
        <v>229163.08590703623</v>
      </c>
      <c r="I117" s="201">
        <f t="shared" si="10"/>
        <v>196334.22060017544</v>
      </c>
      <c r="J117" s="201">
        <f t="shared" si="11"/>
        <v>391373.30650721164</v>
      </c>
      <c r="K117" s="210">
        <f>+'Inputs for Evans Tables'!G47</f>
        <v>277651.12362</v>
      </c>
      <c r="L117" s="210">
        <f>+'Inputs for Evans Tables'!J47</f>
        <v>0</v>
      </c>
      <c r="M117" s="216">
        <f t="shared" si="12"/>
        <v>113722.18288721162</v>
      </c>
      <c r="O117" s="210"/>
      <c r="P117" s="210"/>
      <c r="R117" s="201"/>
      <c r="T117" s="201"/>
      <c r="V117" s="201"/>
      <c r="X117" s="201"/>
      <c r="Z117" s="201"/>
      <c r="AB117" s="201"/>
      <c r="AD117" s="201"/>
      <c r="AF117" s="201"/>
      <c r="AH117" s="201"/>
      <c r="AJ117" s="201"/>
    </row>
    <row r="118" spans="1:36" ht="12.75">
      <c r="A118" s="194">
        <v>54</v>
      </c>
      <c r="B118" s="203">
        <f t="shared" si="4"/>
        <v>2059</v>
      </c>
      <c r="C118" s="201">
        <f t="shared" si="8"/>
        <v>2810109</v>
      </c>
      <c r="D118" s="201">
        <f t="shared" si="5"/>
        <v>1203172.821931025</v>
      </c>
      <c r="E118" s="201">
        <f>'Inputs for Evans Tables'!M48+$E$151</f>
        <v>1188789.4495086055</v>
      </c>
      <c r="F118" s="201">
        <f t="shared" si="6"/>
        <v>231523.75265333333</v>
      </c>
      <c r="G118" s="201">
        <f>'Inputs for Evans Tables'!N48+$G$151+$G$152+$G$153+'Statement D Table 1'!O64</f>
        <v>-45423.38</v>
      </c>
      <c r="H118" s="201">
        <f t="shared" si="9"/>
        <v>232046.35590703614</v>
      </c>
      <c r="I118" s="201">
        <f t="shared" si="10"/>
        <v>196334.22060017544</v>
      </c>
      <c r="J118" s="201">
        <f t="shared" si="11"/>
        <v>394256.57650721155</v>
      </c>
      <c r="K118" s="210">
        <f>+'Inputs for Evans Tables'!G48</f>
        <v>221453.82262</v>
      </c>
      <c r="L118" s="210">
        <f>+'Inputs for Evans Tables'!J48</f>
        <v>0</v>
      </c>
      <c r="M118" s="216">
        <f t="shared" si="12"/>
        <v>172802.75388721155</v>
      </c>
      <c r="O118" s="210"/>
      <c r="P118" s="210"/>
      <c r="R118" s="201"/>
      <c r="T118" s="201"/>
      <c r="V118" s="201"/>
      <c r="X118" s="201"/>
      <c r="Z118" s="201"/>
      <c r="AB118" s="201"/>
      <c r="AD118" s="201"/>
      <c r="AF118" s="201"/>
      <c r="AH118" s="201"/>
      <c r="AJ118" s="201"/>
    </row>
    <row r="119" spans="1:36" ht="12.75">
      <c r="A119" s="194">
        <v>55</v>
      </c>
      <c r="B119" s="203">
        <f>B118+1</f>
        <v>2060</v>
      </c>
      <c r="C119" s="201">
        <f t="shared" si="8"/>
        <v>2810109</v>
      </c>
      <c r="D119" s="201">
        <f t="shared" si="5"/>
        <v>1203172.821931025</v>
      </c>
      <c r="E119" s="201">
        <f>'Inputs for Evans Tables'!M49+$E$151</f>
        <v>1188788.6895086055</v>
      </c>
      <c r="F119" s="201">
        <f t="shared" si="6"/>
        <v>231523.75265333333</v>
      </c>
      <c r="G119" s="201">
        <f>'Inputs for Evans Tables'!N49+$G$151+$G$152+$G$153+'Statement D Table 1'!O65</f>
        <v>-45555.437999999995</v>
      </c>
      <c r="H119" s="201">
        <f t="shared" si="9"/>
        <v>232179.17390703614</v>
      </c>
      <c r="I119" s="201">
        <f t="shared" si="10"/>
        <v>196334.22060017544</v>
      </c>
      <c r="J119" s="201">
        <f t="shared" si="11"/>
        <v>394389.3945072116</v>
      </c>
      <c r="K119" s="210">
        <f>+'Inputs for Evans Tables'!G49</f>
        <v>218435.40562</v>
      </c>
      <c r="L119" s="210">
        <f>+'Inputs for Evans Tables'!J49</f>
        <v>0</v>
      </c>
      <c r="M119" s="216">
        <f t="shared" si="12"/>
        <v>175953.98888721157</v>
      </c>
      <c r="O119" s="210"/>
      <c r="P119" s="210"/>
      <c r="R119" s="201"/>
      <c r="T119" s="201"/>
      <c r="V119" s="201"/>
      <c r="X119" s="201"/>
      <c r="Z119" s="201"/>
      <c r="AB119" s="201"/>
      <c r="AD119" s="201"/>
      <c r="AF119" s="201"/>
      <c r="AH119" s="201"/>
      <c r="AJ119" s="201"/>
    </row>
    <row r="120" spans="1:36" ht="12.75">
      <c r="A120" s="194">
        <v>56</v>
      </c>
      <c r="B120" s="203">
        <f t="shared" si="4"/>
        <v>2061</v>
      </c>
      <c r="C120" s="201">
        <f t="shared" si="8"/>
        <v>2810109</v>
      </c>
      <c r="D120" s="201">
        <f t="shared" si="5"/>
        <v>1203172.821931025</v>
      </c>
      <c r="E120" s="201">
        <f>'Inputs for Evans Tables'!M50+$E$151</f>
        <v>1188788.4170086056</v>
      </c>
      <c r="F120" s="201">
        <f t="shared" si="6"/>
        <v>231523.75265333333</v>
      </c>
      <c r="G120" s="201">
        <f>'Inputs for Evans Tables'!N50+$G$151+$G$152+$G$153+'Statement D Table 1'!O66</f>
        <v>-45555.439</v>
      </c>
      <c r="H120" s="201">
        <f t="shared" si="9"/>
        <v>232179.4474070361</v>
      </c>
      <c r="I120" s="201">
        <f t="shared" si="10"/>
        <v>196334.22060017544</v>
      </c>
      <c r="J120" s="201">
        <f t="shared" si="11"/>
        <v>394389.6680072115</v>
      </c>
      <c r="K120" s="210">
        <f>+'Inputs for Evans Tables'!G50</f>
        <v>218435.40562</v>
      </c>
      <c r="L120" s="210">
        <f>+'Inputs for Evans Tables'!J50</f>
        <v>0</v>
      </c>
      <c r="M120" s="216">
        <f t="shared" si="12"/>
        <v>175954.26238721152</v>
      </c>
      <c r="O120" s="210"/>
      <c r="P120" s="210"/>
      <c r="R120" s="201"/>
      <c r="T120" s="201"/>
      <c r="V120" s="201"/>
      <c r="X120" s="201"/>
      <c r="Z120" s="201"/>
      <c r="AB120" s="201"/>
      <c r="AD120" s="201"/>
      <c r="AF120" s="201"/>
      <c r="AH120" s="201"/>
      <c r="AJ120" s="201"/>
    </row>
    <row r="121" spans="1:36" ht="12.75">
      <c r="A121" s="194">
        <v>57</v>
      </c>
      <c r="B121" s="203">
        <f t="shared" si="4"/>
        <v>2062</v>
      </c>
      <c r="C121" s="201">
        <f t="shared" si="8"/>
        <v>2810109</v>
      </c>
      <c r="D121" s="201">
        <f t="shared" si="5"/>
        <v>1203172.821931025</v>
      </c>
      <c r="E121" s="201">
        <f>'Inputs for Evans Tables'!M51+$E$151</f>
        <v>1188786.4795086056</v>
      </c>
      <c r="F121" s="201">
        <f t="shared" si="6"/>
        <v>231523.75265333333</v>
      </c>
      <c r="G121" s="201">
        <f>'Inputs for Evans Tables'!N51+$G$151+$G$152+$G$153+'Statement D Table 1'!O67</f>
        <v>-45555.445999999996</v>
      </c>
      <c r="H121" s="201">
        <f t="shared" si="9"/>
        <v>232181.3919070361</v>
      </c>
      <c r="I121" s="201">
        <f t="shared" si="10"/>
        <v>196334.22060017544</v>
      </c>
      <c r="J121" s="201">
        <f t="shared" si="11"/>
        <v>394391.6125072115</v>
      </c>
      <c r="K121" s="210">
        <f>+'Inputs for Evans Tables'!G51</f>
        <v>218435.40562</v>
      </c>
      <c r="L121" s="210">
        <f>+'Inputs for Evans Tables'!J51</f>
        <v>0</v>
      </c>
      <c r="M121" s="216">
        <f t="shared" si="12"/>
        <v>175956.2068872115</v>
      </c>
      <c r="O121" s="210"/>
      <c r="P121" s="210"/>
      <c r="R121" s="201"/>
      <c r="T121" s="201"/>
      <c r="V121" s="201"/>
      <c r="X121" s="201"/>
      <c r="Z121" s="201"/>
      <c r="AB121" s="201"/>
      <c r="AD121" s="201"/>
      <c r="AF121" s="201"/>
      <c r="AH121" s="201"/>
      <c r="AJ121" s="201"/>
    </row>
    <row r="122" spans="1:36" ht="12.75">
      <c r="A122" s="194">
        <v>58</v>
      </c>
      <c r="B122" s="203">
        <f t="shared" si="4"/>
        <v>2063</v>
      </c>
      <c r="C122" s="201">
        <f t="shared" si="8"/>
        <v>2810109</v>
      </c>
      <c r="D122" s="201">
        <f t="shared" si="5"/>
        <v>1203172.821931025</v>
      </c>
      <c r="E122" s="201">
        <f>'Inputs for Evans Tables'!M52+$E$151</f>
        <v>1188786.6295086055</v>
      </c>
      <c r="F122" s="201">
        <f t="shared" si="6"/>
        <v>231523.75265333333</v>
      </c>
      <c r="G122" s="201">
        <f>'Inputs for Evans Tables'!N52+$G$151+$G$152+$G$153+'Statement D Table 1'!O68</f>
        <v>-45555.445</v>
      </c>
      <c r="H122" s="201">
        <f t="shared" si="9"/>
        <v>232181.2409070362</v>
      </c>
      <c r="I122" s="201">
        <f t="shared" si="10"/>
        <v>196334.22060017544</v>
      </c>
      <c r="J122" s="201">
        <f t="shared" si="11"/>
        <v>394391.4615072117</v>
      </c>
      <c r="K122" s="210">
        <f>+'Inputs for Evans Tables'!G52</f>
        <v>218435.40562</v>
      </c>
      <c r="L122" s="210">
        <f>+'Inputs for Evans Tables'!J52</f>
        <v>0</v>
      </c>
      <c r="M122" s="216">
        <f t="shared" si="12"/>
        <v>175956.05588721167</v>
      </c>
      <c r="O122" s="210"/>
      <c r="P122" s="210"/>
      <c r="R122" s="201"/>
      <c r="T122" s="201"/>
      <c r="V122" s="201"/>
      <c r="X122" s="201"/>
      <c r="Z122" s="201"/>
      <c r="AB122" s="201"/>
      <c r="AD122" s="201"/>
      <c r="AF122" s="201"/>
      <c r="AH122" s="201"/>
      <c r="AJ122" s="201"/>
    </row>
    <row r="123" spans="1:36" ht="12.75">
      <c r="A123" s="194">
        <v>59</v>
      </c>
      <c r="B123" s="203">
        <f t="shared" si="4"/>
        <v>2064</v>
      </c>
      <c r="C123" s="201">
        <f t="shared" si="8"/>
        <v>2810109</v>
      </c>
      <c r="D123" s="201">
        <f t="shared" si="5"/>
        <v>1203172.821931025</v>
      </c>
      <c r="E123" s="201">
        <f>'Inputs for Evans Tables'!M53+$E$151</f>
        <v>1188788.0895086054</v>
      </c>
      <c r="F123" s="201">
        <f t="shared" si="6"/>
        <v>231523.75265333333</v>
      </c>
      <c r="G123" s="201">
        <f>'Inputs for Evans Tables'!N53+$G$151+$G$152+$G$153+'Statement D Table 1'!O69</f>
        <v>-45555.44</v>
      </c>
      <c r="H123" s="201">
        <f t="shared" si="9"/>
        <v>232179.77590703624</v>
      </c>
      <c r="I123" s="201">
        <f t="shared" si="10"/>
        <v>196334.22060017544</v>
      </c>
      <c r="J123" s="201">
        <f t="shared" si="11"/>
        <v>394389.9965072117</v>
      </c>
      <c r="K123" s="210">
        <f>+'Inputs for Evans Tables'!G53</f>
        <v>218435.40562</v>
      </c>
      <c r="L123" s="210">
        <f>+'Inputs for Evans Tables'!J53</f>
        <v>0</v>
      </c>
      <c r="M123" s="216">
        <f t="shared" si="12"/>
        <v>175954.5908872117</v>
      </c>
      <c r="O123" s="210"/>
      <c r="P123" s="210"/>
      <c r="R123" s="201"/>
      <c r="T123" s="201"/>
      <c r="V123" s="201"/>
      <c r="X123" s="201"/>
      <c r="Z123" s="201"/>
      <c r="AB123" s="201"/>
      <c r="AD123" s="201"/>
      <c r="AF123" s="201"/>
      <c r="AH123" s="201"/>
      <c r="AJ123" s="201"/>
    </row>
    <row r="124" spans="1:36" ht="12.75">
      <c r="A124" s="194">
        <v>60</v>
      </c>
      <c r="B124" s="203">
        <f>B123+1</f>
        <v>2065</v>
      </c>
      <c r="C124" s="201">
        <f t="shared" si="8"/>
        <v>2810109</v>
      </c>
      <c r="D124" s="201">
        <f t="shared" si="5"/>
        <v>1203172.821931025</v>
      </c>
      <c r="E124" s="201">
        <f>'Inputs for Evans Tables'!M54+$E$151</f>
        <v>1188785.6970086056</v>
      </c>
      <c r="F124" s="201">
        <f t="shared" si="6"/>
        <v>231523.75265333333</v>
      </c>
      <c r="G124" s="201">
        <f>'Inputs for Evans Tables'!N54+$G$151+$G$152+$G$153+'Statement D Table 1'!O70</f>
        <v>-45555.448</v>
      </c>
      <c r="H124" s="201">
        <f t="shared" si="9"/>
        <v>232182.17640703608</v>
      </c>
      <c r="I124" s="201">
        <f t="shared" si="10"/>
        <v>196334.22060017544</v>
      </c>
      <c r="J124" s="201">
        <f t="shared" si="11"/>
        <v>394392.3970072115</v>
      </c>
      <c r="K124" s="210">
        <f>+'Inputs for Evans Tables'!G54</f>
        <v>218435.40562</v>
      </c>
      <c r="L124" s="210">
        <f>+'Inputs for Evans Tables'!J54</f>
        <v>0</v>
      </c>
      <c r="M124" s="216">
        <f t="shared" si="12"/>
        <v>175956.9913872115</v>
      </c>
      <c r="O124" s="210"/>
      <c r="P124" s="210"/>
      <c r="R124" s="201"/>
      <c r="T124" s="201"/>
      <c r="V124" s="201"/>
      <c r="X124" s="201"/>
      <c r="Z124" s="201"/>
      <c r="AB124" s="201"/>
      <c r="AD124" s="201"/>
      <c r="AF124" s="201"/>
      <c r="AH124" s="201"/>
      <c r="AJ124" s="201"/>
    </row>
    <row r="125" spans="1:36" ht="12.75">
      <c r="A125" s="194">
        <v>61</v>
      </c>
      <c r="B125" s="203">
        <f t="shared" si="4"/>
        <v>2066</v>
      </c>
      <c r="C125" s="201">
        <f t="shared" si="8"/>
        <v>2810109</v>
      </c>
      <c r="D125" s="201">
        <f t="shared" si="5"/>
        <v>1203172.821931025</v>
      </c>
      <c r="E125" s="201">
        <f>'Inputs for Evans Tables'!M55+$E$151</f>
        <v>1188786.2995086056</v>
      </c>
      <c r="F125" s="201">
        <f t="shared" si="6"/>
        <v>231523.75265333333</v>
      </c>
      <c r="G125" s="201">
        <f>'Inputs for Evans Tables'!N55+$G$151+$G$152+$G$153+'Statement D Table 1'!O71</f>
        <v>-45555.445999999996</v>
      </c>
      <c r="H125" s="201">
        <f t="shared" si="9"/>
        <v>232181.57190703604</v>
      </c>
      <c r="I125" s="201">
        <f t="shared" si="10"/>
        <v>196334.22060017544</v>
      </c>
      <c r="J125" s="201">
        <f t="shared" si="11"/>
        <v>394391.79250721144</v>
      </c>
      <c r="K125" s="210">
        <f>+'Inputs for Evans Tables'!G55</f>
        <v>218435.40562</v>
      </c>
      <c r="L125" s="210">
        <f>+'Inputs for Evans Tables'!J55</f>
        <v>0</v>
      </c>
      <c r="M125" s="216">
        <f t="shared" si="12"/>
        <v>175956.38688721144</v>
      </c>
      <c r="O125" s="210"/>
      <c r="P125" s="210"/>
      <c r="R125" s="201"/>
      <c r="T125" s="201"/>
      <c r="V125" s="201"/>
      <c r="X125" s="201"/>
      <c r="Z125" s="201"/>
      <c r="AB125" s="201"/>
      <c r="AD125" s="201"/>
      <c r="AF125" s="201"/>
      <c r="AH125" s="201"/>
      <c r="AJ125" s="201"/>
    </row>
    <row r="126" spans="1:36" ht="12.75">
      <c r="A126" s="194">
        <v>62</v>
      </c>
      <c r="B126" s="203">
        <f t="shared" si="4"/>
        <v>2067</v>
      </c>
      <c r="C126" s="201">
        <f t="shared" si="8"/>
        <v>2810109</v>
      </c>
      <c r="D126" s="201">
        <f t="shared" si="5"/>
        <v>1203172.821931025</v>
      </c>
      <c r="E126" s="201">
        <f>'Inputs for Evans Tables'!M56+$E$151</f>
        <v>1188787.9570086054</v>
      </c>
      <c r="F126" s="201">
        <f t="shared" si="6"/>
        <v>231523.75265333333</v>
      </c>
      <c r="G126" s="201">
        <f>'Inputs for Evans Tables'!N56+$G$151+$G$152+$G$153+'Statement D Table 1'!O72</f>
        <v>-45555.441</v>
      </c>
      <c r="H126" s="201">
        <f t="shared" si="9"/>
        <v>232179.9094070363</v>
      </c>
      <c r="I126" s="201">
        <f t="shared" si="10"/>
        <v>196334.22060017544</v>
      </c>
      <c r="J126" s="201">
        <f t="shared" si="11"/>
        <v>394390.1300072117</v>
      </c>
      <c r="K126" s="210">
        <f>+'Inputs for Evans Tables'!G56</f>
        <v>218435.40562</v>
      </c>
      <c r="L126" s="210">
        <f>+'Inputs for Evans Tables'!J56</f>
        <v>0</v>
      </c>
      <c r="M126" s="216">
        <f t="shared" si="12"/>
        <v>175954.7243872117</v>
      </c>
      <c r="O126" s="210"/>
      <c r="P126" s="210"/>
      <c r="R126" s="201"/>
      <c r="T126" s="201"/>
      <c r="V126" s="201"/>
      <c r="X126" s="201"/>
      <c r="Z126" s="201"/>
      <c r="AB126" s="201"/>
      <c r="AD126" s="201"/>
      <c r="AF126" s="201"/>
      <c r="AH126" s="201"/>
      <c r="AJ126" s="201"/>
    </row>
    <row r="127" spans="1:36" ht="12.75">
      <c r="A127" s="194">
        <v>63</v>
      </c>
      <c r="B127" s="203">
        <f t="shared" si="4"/>
        <v>2068</v>
      </c>
      <c r="C127" s="201">
        <f t="shared" si="8"/>
        <v>2810109</v>
      </c>
      <c r="D127" s="201">
        <f t="shared" si="5"/>
        <v>1203172.821931025</v>
      </c>
      <c r="E127" s="201">
        <f>'Inputs for Evans Tables'!M57+$E$151</f>
        <v>1188785.3045086055</v>
      </c>
      <c r="F127" s="201">
        <f t="shared" si="6"/>
        <v>231523.75265333333</v>
      </c>
      <c r="G127" s="201">
        <f>'Inputs for Evans Tables'!N57+$G$151+$G$152+$G$153+'Statement D Table 1'!O73</f>
        <v>-45555.45</v>
      </c>
      <c r="H127" s="201">
        <f t="shared" si="9"/>
        <v>232182.57090703613</v>
      </c>
      <c r="I127" s="201">
        <f t="shared" si="10"/>
        <v>196334.22060017544</v>
      </c>
      <c r="J127" s="201">
        <f t="shared" si="11"/>
        <v>394392.7915072116</v>
      </c>
      <c r="K127" s="210">
        <f>+'Inputs for Evans Tables'!G57</f>
        <v>218435.40562</v>
      </c>
      <c r="L127" s="210">
        <f>+'Inputs for Evans Tables'!J57</f>
        <v>0</v>
      </c>
      <c r="M127" s="216">
        <f t="shared" si="12"/>
        <v>175957.38588721157</v>
      </c>
      <c r="O127" s="210"/>
      <c r="P127" s="210"/>
      <c r="R127" s="201"/>
      <c r="T127" s="201"/>
      <c r="V127" s="201"/>
      <c r="X127" s="201"/>
      <c r="Z127" s="201"/>
      <c r="AB127" s="201"/>
      <c r="AD127" s="201"/>
      <c r="AF127" s="201"/>
      <c r="AH127" s="201"/>
      <c r="AJ127" s="201"/>
    </row>
    <row r="128" spans="1:36" ht="12.75">
      <c r="A128" s="194">
        <v>64</v>
      </c>
      <c r="B128" s="203">
        <f t="shared" si="4"/>
        <v>2069</v>
      </c>
      <c r="C128" s="201">
        <f t="shared" si="8"/>
        <v>2810109</v>
      </c>
      <c r="D128" s="201">
        <f t="shared" si="5"/>
        <v>1203172.821931025</v>
      </c>
      <c r="E128" s="201">
        <f>'Inputs for Evans Tables'!M58+$E$151</f>
        <v>1188785.8745086056</v>
      </c>
      <c r="F128" s="201">
        <f t="shared" si="6"/>
        <v>231523.75265333333</v>
      </c>
      <c r="G128" s="201">
        <f>'Inputs for Evans Tables'!N58+$G$151+$G$152+$G$153+'Statement D Table 1'!O74</f>
        <v>-45555.448</v>
      </c>
      <c r="H128" s="201">
        <f t="shared" si="9"/>
        <v>232181.9989070361</v>
      </c>
      <c r="I128" s="201">
        <f t="shared" si="10"/>
        <v>196334.22060017544</v>
      </c>
      <c r="J128" s="201">
        <f t="shared" si="11"/>
        <v>394392.2195072115</v>
      </c>
      <c r="K128" s="210">
        <f>+'Inputs for Evans Tables'!G58</f>
        <v>218435.40562</v>
      </c>
      <c r="L128" s="210">
        <f>+'Inputs for Evans Tables'!J58</f>
        <v>0</v>
      </c>
      <c r="M128" s="216">
        <f t="shared" si="12"/>
        <v>175956.81388721152</v>
      </c>
      <c r="O128" s="210"/>
      <c r="P128" s="210"/>
      <c r="R128" s="201"/>
      <c r="T128" s="201"/>
      <c r="V128" s="201"/>
      <c r="X128" s="201"/>
      <c r="Z128" s="201"/>
      <c r="AB128" s="201"/>
      <c r="AD128" s="201"/>
      <c r="AF128" s="201"/>
      <c r="AH128" s="201"/>
      <c r="AJ128" s="201"/>
    </row>
    <row r="129" spans="1:36" ht="12.75">
      <c r="A129" s="194">
        <v>65</v>
      </c>
      <c r="B129" s="203"/>
      <c r="C129" s="201"/>
      <c r="D129" s="201"/>
      <c r="E129" s="201"/>
      <c r="F129" s="201"/>
      <c r="G129" s="201"/>
      <c r="H129" s="201"/>
      <c r="I129" s="201"/>
      <c r="J129" s="201"/>
      <c r="K129" s="210"/>
      <c r="L129" s="210"/>
      <c r="M129" s="216"/>
      <c r="O129" s="210"/>
      <c r="P129" s="210"/>
      <c r="R129" s="201"/>
      <c r="T129" s="201"/>
      <c r="V129" s="201"/>
      <c r="X129" s="201"/>
      <c r="Z129" s="201"/>
      <c r="AB129" s="201"/>
      <c r="AD129" s="201"/>
      <c r="AF129" s="201"/>
      <c r="AH129" s="201"/>
      <c r="AJ129" s="201"/>
    </row>
    <row r="130" spans="1:22" ht="12.75">
      <c r="A130" s="194">
        <v>66</v>
      </c>
      <c r="B130" s="200" t="s">
        <v>362</v>
      </c>
      <c r="R130" s="201"/>
      <c r="T130" s="201"/>
      <c r="V130" s="201"/>
    </row>
    <row r="131" spans="1:36" ht="12.75">
      <c r="A131" s="194">
        <v>67</v>
      </c>
      <c r="B131" s="283" t="s">
        <v>526</v>
      </c>
      <c r="C131" s="201">
        <f>SUM(C49:C128)</f>
        <v>325406733.88392</v>
      </c>
      <c r="D131" s="201">
        <f aca="true" t="shared" si="13" ref="D131:M131">SUM(D49:D128)</f>
        <v>103722370.4677901</v>
      </c>
      <c r="E131" s="201">
        <f t="shared" si="13"/>
        <v>163033493.149207</v>
      </c>
      <c r="F131" s="201">
        <f t="shared" si="13"/>
        <v>24160669.258895013</v>
      </c>
      <c r="G131" s="201">
        <f t="shared" si="13"/>
        <v>16848112.80486351</v>
      </c>
      <c r="H131" s="201">
        <f t="shared" si="13"/>
        <v>17642088.203164276</v>
      </c>
      <c r="I131" s="201">
        <f t="shared" si="13"/>
        <v>20809469.803596146</v>
      </c>
      <c r="J131" s="201">
        <f t="shared" si="13"/>
        <v>36972198.19192425</v>
      </c>
      <c r="K131" s="201">
        <f t="shared" si="13"/>
        <v>28159019.908380035</v>
      </c>
      <c r="L131" s="201">
        <f t="shared" si="13"/>
        <v>871222.9230000002</v>
      </c>
      <c r="M131" s="216">
        <f t="shared" si="13"/>
        <v>7941955.360544254</v>
      </c>
      <c r="O131" s="216"/>
      <c r="P131" s="216"/>
      <c r="R131" s="201"/>
      <c r="T131" s="201"/>
      <c r="V131" s="201"/>
      <c r="X131" s="201"/>
      <c r="Z131" s="201"/>
      <c r="AB131" s="201"/>
      <c r="AD131" s="201"/>
      <c r="AF131" s="201"/>
      <c r="AH131" s="201"/>
      <c r="AJ131" s="201"/>
    </row>
    <row r="132" spans="1:16" ht="12.75">
      <c r="A132" s="195"/>
      <c r="L132" s="216"/>
      <c r="N132" s="195"/>
      <c r="O132" s="195"/>
      <c r="P132" s="195"/>
    </row>
    <row r="133" spans="1:16" ht="12.75">
      <c r="A133" s="195"/>
      <c r="B133" s="208" t="s">
        <v>720</v>
      </c>
      <c r="N133" s="195"/>
      <c r="O133" s="195"/>
      <c r="P133" s="195"/>
    </row>
    <row r="134" spans="1:16" ht="12.75">
      <c r="A134" s="195"/>
      <c r="B134" s="208"/>
      <c r="N134" s="195"/>
      <c r="O134" s="195"/>
      <c r="P134" s="195"/>
    </row>
    <row r="135" spans="1:16" ht="12.75">
      <c r="A135" s="195"/>
      <c r="B135" s="208" t="s">
        <v>721</v>
      </c>
      <c r="N135" s="195"/>
      <c r="O135" s="195"/>
      <c r="P135" s="195"/>
    </row>
    <row r="136" spans="1:16" ht="12.75">
      <c r="A136" s="195"/>
      <c r="B136" s="208"/>
      <c r="N136" s="195"/>
      <c r="O136" s="195"/>
      <c r="P136" s="195"/>
    </row>
    <row r="137" spans="1:16" ht="12.75">
      <c r="A137" s="195"/>
      <c r="B137" s="208"/>
      <c r="N137" s="195"/>
      <c r="O137" s="195"/>
      <c r="P137" s="195"/>
    </row>
    <row r="138" ht="12.75">
      <c r="B138" s="208"/>
    </row>
    <row r="139" spans="1:16" ht="12.75">
      <c r="A139" s="195"/>
      <c r="B139" s="208"/>
      <c r="N139" s="195"/>
      <c r="O139" s="195"/>
      <c r="P139" s="195"/>
    </row>
    <row r="140" ht="12.75">
      <c r="B140" s="208"/>
    </row>
    <row r="145" spans="1:16" ht="12.75">
      <c r="A145" s="195"/>
      <c r="B145" s="198"/>
      <c r="N145" s="195"/>
      <c r="O145" s="195"/>
      <c r="P145" s="195"/>
    </row>
    <row r="146" spans="1:16" ht="12.75">
      <c r="A146" s="195"/>
      <c r="B146" s="208"/>
      <c r="N146" s="195"/>
      <c r="O146" s="195"/>
      <c r="P146" s="195"/>
    </row>
    <row r="147" spans="1:16" ht="12.75">
      <c r="A147" s="195"/>
      <c r="B147" s="208"/>
      <c r="N147" s="195"/>
      <c r="O147" s="195"/>
      <c r="P147" s="195"/>
    </row>
    <row r="151" spans="1:16" ht="12.75">
      <c r="A151" s="195"/>
      <c r="C151" s="208" t="s">
        <v>731</v>
      </c>
      <c r="E151" s="219">
        <f>E76-'Inputs for Evans Tables'!M8+'Statement E'!P25</f>
        <v>699751.2270086055</v>
      </c>
      <c r="F151" s="200" t="s">
        <v>527</v>
      </c>
      <c r="G151" s="201">
        <f>-'interest credit calculations'!E122</f>
        <v>97.55600000000004</v>
      </c>
      <c r="K151" s="195"/>
      <c r="L151" s="195"/>
      <c r="N151" s="195"/>
      <c r="O151" s="195"/>
      <c r="P151" s="195"/>
    </row>
    <row r="152" spans="1:16" ht="12.75">
      <c r="A152" s="195"/>
      <c r="C152" s="195" t="s">
        <v>528</v>
      </c>
      <c r="F152" s="198" t="s">
        <v>129</v>
      </c>
      <c r="G152" s="195">
        <f>+'Income Statement Cash Flows'!F34</f>
        <v>-8307.435</v>
      </c>
      <c r="K152" s="195"/>
      <c r="L152" s="195"/>
      <c r="N152" s="195"/>
      <c r="O152" s="195"/>
      <c r="P152" s="195"/>
    </row>
    <row r="153" spans="1:16" ht="12.75">
      <c r="A153" s="195"/>
      <c r="C153" s="195" t="s">
        <v>529</v>
      </c>
      <c r="F153" s="198" t="s">
        <v>530</v>
      </c>
      <c r="G153" s="195">
        <f>-45937</f>
        <v>-45937</v>
      </c>
      <c r="K153" s="195"/>
      <c r="L153" s="195"/>
      <c r="N153" s="195"/>
      <c r="O153" s="195"/>
      <c r="P153" s="195"/>
    </row>
    <row r="154" spans="1:16" ht="12.75">
      <c r="A154" s="195"/>
      <c r="C154" s="195" t="s">
        <v>531</v>
      </c>
      <c r="F154" s="198" t="s">
        <v>532</v>
      </c>
      <c r="G154" s="195">
        <f>+'Federal Capital Costs'!D6</f>
        <v>10747.46794684212</v>
      </c>
      <c r="K154" s="195"/>
      <c r="L154" s="195"/>
      <c r="N154" s="195"/>
      <c r="O154" s="195"/>
      <c r="P154" s="195"/>
    </row>
    <row r="155" spans="1:16" ht="12.75">
      <c r="A155" s="195"/>
      <c r="C155" s="195" t="s">
        <v>533</v>
      </c>
      <c r="K155" s="195"/>
      <c r="L155" s="195"/>
      <c r="N155" s="195"/>
      <c r="O155" s="195"/>
      <c r="P155" s="195"/>
    </row>
  </sheetData>
  <mergeCells count="5">
    <mergeCell ref="B2:M2"/>
    <mergeCell ref="B3:M3"/>
    <mergeCell ref="B4:M4"/>
    <mergeCell ref="B5:M5"/>
    <mergeCell ref="B6:M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L146"/>
  <sheetViews>
    <sheetView workbookViewId="0" topLeftCell="A1">
      <selection activeCell="H1" sqref="H1:K1048576"/>
    </sheetView>
  </sheetViews>
  <sheetFormatPr defaultColWidth="9.140625" defaultRowHeight="12.75"/>
  <cols>
    <col min="1" max="1" width="3.7109375" style="285" customWidth="1"/>
    <col min="2" max="2" width="4.421875" style="285" customWidth="1"/>
    <col min="3" max="3" width="4.28125" style="285" customWidth="1"/>
    <col min="4" max="4" width="58.7109375" style="285" customWidth="1"/>
    <col min="5" max="5" width="11.28125" style="285" customWidth="1"/>
    <col min="6" max="6" width="11.00390625" style="285" customWidth="1"/>
    <col min="7" max="7" width="10.421875" style="285" customWidth="1"/>
    <col min="8" max="8" width="9.140625" style="285" customWidth="1"/>
    <col min="9" max="9" width="15.421875" style="285" bestFit="1" customWidth="1"/>
    <col min="10" max="12" width="9.7109375" style="285" bestFit="1" customWidth="1"/>
    <col min="13" max="254" width="9.140625" style="285" customWidth="1"/>
    <col min="255" max="255" width="3.7109375" style="285" customWidth="1"/>
    <col min="256" max="256" width="4.421875" style="285" customWidth="1"/>
    <col min="257" max="257" width="4.28125" style="285" customWidth="1"/>
    <col min="258" max="258" width="58.7109375" style="285" customWidth="1"/>
    <col min="259" max="259" width="11.28125" style="285" customWidth="1"/>
    <col min="260" max="260" width="10.00390625" style="285" customWidth="1"/>
    <col min="261" max="261" width="10.421875" style="285" customWidth="1"/>
    <col min="262" max="262" width="9.7109375" style="285" bestFit="1" customWidth="1"/>
    <col min="263" max="263" width="9.57421875" style="285" customWidth="1"/>
    <col min="264" max="264" width="9.140625" style="285" customWidth="1"/>
    <col min="265" max="268" width="9.7109375" style="285" bestFit="1" customWidth="1"/>
    <col min="269" max="510" width="9.140625" style="285" customWidth="1"/>
    <col min="511" max="511" width="3.7109375" style="285" customWidth="1"/>
    <col min="512" max="512" width="4.421875" style="285" customWidth="1"/>
    <col min="513" max="513" width="4.28125" style="285" customWidth="1"/>
    <col min="514" max="514" width="58.7109375" style="285" customWidth="1"/>
    <col min="515" max="515" width="11.28125" style="285" customWidth="1"/>
    <col min="516" max="516" width="10.00390625" style="285" customWidth="1"/>
    <col min="517" max="517" width="10.421875" style="285" customWidth="1"/>
    <col min="518" max="518" width="9.7109375" style="285" bestFit="1" customWidth="1"/>
    <col min="519" max="519" width="9.57421875" style="285" customWidth="1"/>
    <col min="520" max="520" width="9.140625" style="285" customWidth="1"/>
    <col min="521" max="524" width="9.7109375" style="285" bestFit="1" customWidth="1"/>
    <col min="525" max="766" width="9.140625" style="285" customWidth="1"/>
    <col min="767" max="767" width="3.7109375" style="285" customWidth="1"/>
    <col min="768" max="768" width="4.421875" style="285" customWidth="1"/>
    <col min="769" max="769" width="4.28125" style="285" customWidth="1"/>
    <col min="770" max="770" width="58.7109375" style="285" customWidth="1"/>
    <col min="771" max="771" width="11.28125" style="285" customWidth="1"/>
    <col min="772" max="772" width="10.00390625" style="285" customWidth="1"/>
    <col min="773" max="773" width="10.421875" style="285" customWidth="1"/>
    <col min="774" max="774" width="9.7109375" style="285" bestFit="1" customWidth="1"/>
    <col min="775" max="775" width="9.57421875" style="285" customWidth="1"/>
    <col min="776" max="776" width="9.140625" style="285" customWidth="1"/>
    <col min="777" max="780" width="9.7109375" style="285" bestFit="1" customWidth="1"/>
    <col min="781" max="1022" width="9.140625" style="285" customWidth="1"/>
    <col min="1023" max="1023" width="3.7109375" style="285" customWidth="1"/>
    <col min="1024" max="1024" width="4.421875" style="285" customWidth="1"/>
    <col min="1025" max="1025" width="4.28125" style="285" customWidth="1"/>
    <col min="1026" max="1026" width="58.7109375" style="285" customWidth="1"/>
    <col min="1027" max="1027" width="11.28125" style="285" customWidth="1"/>
    <col min="1028" max="1028" width="10.00390625" style="285" customWidth="1"/>
    <col min="1029" max="1029" width="10.421875" style="285" customWidth="1"/>
    <col min="1030" max="1030" width="9.7109375" style="285" bestFit="1" customWidth="1"/>
    <col min="1031" max="1031" width="9.57421875" style="285" customWidth="1"/>
    <col min="1032" max="1032" width="9.140625" style="285" customWidth="1"/>
    <col min="1033" max="1036" width="9.7109375" style="285" bestFit="1" customWidth="1"/>
    <col min="1037" max="1278" width="9.140625" style="285" customWidth="1"/>
    <col min="1279" max="1279" width="3.7109375" style="285" customWidth="1"/>
    <col min="1280" max="1280" width="4.421875" style="285" customWidth="1"/>
    <col min="1281" max="1281" width="4.28125" style="285" customWidth="1"/>
    <col min="1282" max="1282" width="58.7109375" style="285" customWidth="1"/>
    <col min="1283" max="1283" width="11.28125" style="285" customWidth="1"/>
    <col min="1284" max="1284" width="10.00390625" style="285" customWidth="1"/>
    <col min="1285" max="1285" width="10.421875" style="285" customWidth="1"/>
    <col min="1286" max="1286" width="9.7109375" style="285" bestFit="1" customWidth="1"/>
    <col min="1287" max="1287" width="9.57421875" style="285" customWidth="1"/>
    <col min="1288" max="1288" width="9.140625" style="285" customWidth="1"/>
    <col min="1289" max="1292" width="9.7109375" style="285" bestFit="1" customWidth="1"/>
    <col min="1293" max="1534" width="9.140625" style="285" customWidth="1"/>
    <col min="1535" max="1535" width="3.7109375" style="285" customWidth="1"/>
    <col min="1536" max="1536" width="4.421875" style="285" customWidth="1"/>
    <col min="1537" max="1537" width="4.28125" style="285" customWidth="1"/>
    <col min="1538" max="1538" width="58.7109375" style="285" customWidth="1"/>
    <col min="1539" max="1539" width="11.28125" style="285" customWidth="1"/>
    <col min="1540" max="1540" width="10.00390625" style="285" customWidth="1"/>
    <col min="1541" max="1541" width="10.421875" style="285" customWidth="1"/>
    <col min="1542" max="1542" width="9.7109375" style="285" bestFit="1" customWidth="1"/>
    <col min="1543" max="1543" width="9.57421875" style="285" customWidth="1"/>
    <col min="1544" max="1544" width="9.140625" style="285" customWidth="1"/>
    <col min="1545" max="1548" width="9.7109375" style="285" bestFit="1" customWidth="1"/>
    <col min="1549" max="1790" width="9.140625" style="285" customWidth="1"/>
    <col min="1791" max="1791" width="3.7109375" style="285" customWidth="1"/>
    <col min="1792" max="1792" width="4.421875" style="285" customWidth="1"/>
    <col min="1793" max="1793" width="4.28125" style="285" customWidth="1"/>
    <col min="1794" max="1794" width="58.7109375" style="285" customWidth="1"/>
    <col min="1795" max="1795" width="11.28125" style="285" customWidth="1"/>
    <col min="1796" max="1796" width="10.00390625" style="285" customWidth="1"/>
    <col min="1797" max="1797" width="10.421875" style="285" customWidth="1"/>
    <col min="1798" max="1798" width="9.7109375" style="285" bestFit="1" customWidth="1"/>
    <col min="1799" max="1799" width="9.57421875" style="285" customWidth="1"/>
    <col min="1800" max="1800" width="9.140625" style="285" customWidth="1"/>
    <col min="1801" max="1804" width="9.7109375" style="285" bestFit="1" customWidth="1"/>
    <col min="1805" max="2046" width="9.140625" style="285" customWidth="1"/>
    <col min="2047" max="2047" width="3.7109375" style="285" customWidth="1"/>
    <col min="2048" max="2048" width="4.421875" style="285" customWidth="1"/>
    <col min="2049" max="2049" width="4.28125" style="285" customWidth="1"/>
    <col min="2050" max="2050" width="58.7109375" style="285" customWidth="1"/>
    <col min="2051" max="2051" width="11.28125" style="285" customWidth="1"/>
    <col min="2052" max="2052" width="10.00390625" style="285" customWidth="1"/>
    <col min="2053" max="2053" width="10.421875" style="285" customWidth="1"/>
    <col min="2054" max="2054" width="9.7109375" style="285" bestFit="1" customWidth="1"/>
    <col min="2055" max="2055" width="9.57421875" style="285" customWidth="1"/>
    <col min="2056" max="2056" width="9.140625" style="285" customWidth="1"/>
    <col min="2057" max="2060" width="9.7109375" style="285" bestFit="1" customWidth="1"/>
    <col min="2061" max="2302" width="9.140625" style="285" customWidth="1"/>
    <col min="2303" max="2303" width="3.7109375" style="285" customWidth="1"/>
    <col min="2304" max="2304" width="4.421875" style="285" customWidth="1"/>
    <col min="2305" max="2305" width="4.28125" style="285" customWidth="1"/>
    <col min="2306" max="2306" width="58.7109375" style="285" customWidth="1"/>
    <col min="2307" max="2307" width="11.28125" style="285" customWidth="1"/>
    <col min="2308" max="2308" width="10.00390625" style="285" customWidth="1"/>
    <col min="2309" max="2309" width="10.421875" style="285" customWidth="1"/>
    <col min="2310" max="2310" width="9.7109375" style="285" bestFit="1" customWidth="1"/>
    <col min="2311" max="2311" width="9.57421875" style="285" customWidth="1"/>
    <col min="2312" max="2312" width="9.140625" style="285" customWidth="1"/>
    <col min="2313" max="2316" width="9.7109375" style="285" bestFit="1" customWidth="1"/>
    <col min="2317" max="2558" width="9.140625" style="285" customWidth="1"/>
    <col min="2559" max="2559" width="3.7109375" style="285" customWidth="1"/>
    <col min="2560" max="2560" width="4.421875" style="285" customWidth="1"/>
    <col min="2561" max="2561" width="4.28125" style="285" customWidth="1"/>
    <col min="2562" max="2562" width="58.7109375" style="285" customWidth="1"/>
    <col min="2563" max="2563" width="11.28125" style="285" customWidth="1"/>
    <col min="2564" max="2564" width="10.00390625" style="285" customWidth="1"/>
    <col min="2565" max="2565" width="10.421875" style="285" customWidth="1"/>
    <col min="2566" max="2566" width="9.7109375" style="285" bestFit="1" customWidth="1"/>
    <col min="2567" max="2567" width="9.57421875" style="285" customWidth="1"/>
    <col min="2568" max="2568" width="9.140625" style="285" customWidth="1"/>
    <col min="2569" max="2572" width="9.7109375" style="285" bestFit="1" customWidth="1"/>
    <col min="2573" max="2814" width="9.140625" style="285" customWidth="1"/>
    <col min="2815" max="2815" width="3.7109375" style="285" customWidth="1"/>
    <col min="2816" max="2816" width="4.421875" style="285" customWidth="1"/>
    <col min="2817" max="2817" width="4.28125" style="285" customWidth="1"/>
    <col min="2818" max="2818" width="58.7109375" style="285" customWidth="1"/>
    <col min="2819" max="2819" width="11.28125" style="285" customWidth="1"/>
    <col min="2820" max="2820" width="10.00390625" style="285" customWidth="1"/>
    <col min="2821" max="2821" width="10.421875" style="285" customWidth="1"/>
    <col min="2822" max="2822" width="9.7109375" style="285" bestFit="1" customWidth="1"/>
    <col min="2823" max="2823" width="9.57421875" style="285" customWidth="1"/>
    <col min="2824" max="2824" width="9.140625" style="285" customWidth="1"/>
    <col min="2825" max="2828" width="9.7109375" style="285" bestFit="1" customWidth="1"/>
    <col min="2829" max="3070" width="9.140625" style="285" customWidth="1"/>
    <col min="3071" max="3071" width="3.7109375" style="285" customWidth="1"/>
    <col min="3072" max="3072" width="4.421875" style="285" customWidth="1"/>
    <col min="3073" max="3073" width="4.28125" style="285" customWidth="1"/>
    <col min="3074" max="3074" width="58.7109375" style="285" customWidth="1"/>
    <col min="3075" max="3075" width="11.28125" style="285" customWidth="1"/>
    <col min="3076" max="3076" width="10.00390625" style="285" customWidth="1"/>
    <col min="3077" max="3077" width="10.421875" style="285" customWidth="1"/>
    <col min="3078" max="3078" width="9.7109375" style="285" bestFit="1" customWidth="1"/>
    <col min="3079" max="3079" width="9.57421875" style="285" customWidth="1"/>
    <col min="3080" max="3080" width="9.140625" style="285" customWidth="1"/>
    <col min="3081" max="3084" width="9.7109375" style="285" bestFit="1" customWidth="1"/>
    <col min="3085" max="3326" width="9.140625" style="285" customWidth="1"/>
    <col min="3327" max="3327" width="3.7109375" style="285" customWidth="1"/>
    <col min="3328" max="3328" width="4.421875" style="285" customWidth="1"/>
    <col min="3329" max="3329" width="4.28125" style="285" customWidth="1"/>
    <col min="3330" max="3330" width="58.7109375" style="285" customWidth="1"/>
    <col min="3331" max="3331" width="11.28125" style="285" customWidth="1"/>
    <col min="3332" max="3332" width="10.00390625" style="285" customWidth="1"/>
    <col min="3333" max="3333" width="10.421875" style="285" customWidth="1"/>
    <col min="3334" max="3334" width="9.7109375" style="285" bestFit="1" customWidth="1"/>
    <col min="3335" max="3335" width="9.57421875" style="285" customWidth="1"/>
    <col min="3336" max="3336" width="9.140625" style="285" customWidth="1"/>
    <col min="3337" max="3340" width="9.7109375" style="285" bestFit="1" customWidth="1"/>
    <col min="3341" max="3582" width="9.140625" style="285" customWidth="1"/>
    <col min="3583" max="3583" width="3.7109375" style="285" customWidth="1"/>
    <col min="3584" max="3584" width="4.421875" style="285" customWidth="1"/>
    <col min="3585" max="3585" width="4.28125" style="285" customWidth="1"/>
    <col min="3586" max="3586" width="58.7109375" style="285" customWidth="1"/>
    <col min="3587" max="3587" width="11.28125" style="285" customWidth="1"/>
    <col min="3588" max="3588" width="10.00390625" style="285" customWidth="1"/>
    <col min="3589" max="3589" width="10.421875" style="285" customWidth="1"/>
    <col min="3590" max="3590" width="9.7109375" style="285" bestFit="1" customWidth="1"/>
    <col min="3591" max="3591" width="9.57421875" style="285" customWidth="1"/>
    <col min="3592" max="3592" width="9.140625" style="285" customWidth="1"/>
    <col min="3593" max="3596" width="9.7109375" style="285" bestFit="1" customWidth="1"/>
    <col min="3597" max="3838" width="9.140625" style="285" customWidth="1"/>
    <col min="3839" max="3839" width="3.7109375" style="285" customWidth="1"/>
    <col min="3840" max="3840" width="4.421875" style="285" customWidth="1"/>
    <col min="3841" max="3841" width="4.28125" style="285" customWidth="1"/>
    <col min="3842" max="3842" width="58.7109375" style="285" customWidth="1"/>
    <col min="3843" max="3843" width="11.28125" style="285" customWidth="1"/>
    <col min="3844" max="3844" width="10.00390625" style="285" customWidth="1"/>
    <col min="3845" max="3845" width="10.421875" style="285" customWidth="1"/>
    <col min="3846" max="3846" width="9.7109375" style="285" bestFit="1" customWidth="1"/>
    <col min="3847" max="3847" width="9.57421875" style="285" customWidth="1"/>
    <col min="3848" max="3848" width="9.140625" style="285" customWidth="1"/>
    <col min="3849" max="3852" width="9.7109375" style="285" bestFit="1" customWidth="1"/>
    <col min="3853" max="4094" width="9.140625" style="285" customWidth="1"/>
    <col min="4095" max="4095" width="3.7109375" style="285" customWidth="1"/>
    <col min="4096" max="4096" width="4.421875" style="285" customWidth="1"/>
    <col min="4097" max="4097" width="4.28125" style="285" customWidth="1"/>
    <col min="4098" max="4098" width="58.7109375" style="285" customWidth="1"/>
    <col min="4099" max="4099" width="11.28125" style="285" customWidth="1"/>
    <col min="4100" max="4100" width="10.00390625" style="285" customWidth="1"/>
    <col min="4101" max="4101" width="10.421875" style="285" customWidth="1"/>
    <col min="4102" max="4102" width="9.7109375" style="285" bestFit="1" customWidth="1"/>
    <col min="4103" max="4103" width="9.57421875" style="285" customWidth="1"/>
    <col min="4104" max="4104" width="9.140625" style="285" customWidth="1"/>
    <col min="4105" max="4108" width="9.7109375" style="285" bestFit="1" customWidth="1"/>
    <col min="4109" max="4350" width="9.140625" style="285" customWidth="1"/>
    <col min="4351" max="4351" width="3.7109375" style="285" customWidth="1"/>
    <col min="4352" max="4352" width="4.421875" style="285" customWidth="1"/>
    <col min="4353" max="4353" width="4.28125" style="285" customWidth="1"/>
    <col min="4354" max="4354" width="58.7109375" style="285" customWidth="1"/>
    <col min="4355" max="4355" width="11.28125" style="285" customWidth="1"/>
    <col min="4356" max="4356" width="10.00390625" style="285" customWidth="1"/>
    <col min="4357" max="4357" width="10.421875" style="285" customWidth="1"/>
    <col min="4358" max="4358" width="9.7109375" style="285" bestFit="1" customWidth="1"/>
    <col min="4359" max="4359" width="9.57421875" style="285" customWidth="1"/>
    <col min="4360" max="4360" width="9.140625" style="285" customWidth="1"/>
    <col min="4361" max="4364" width="9.7109375" style="285" bestFit="1" customWidth="1"/>
    <col min="4365" max="4606" width="9.140625" style="285" customWidth="1"/>
    <col min="4607" max="4607" width="3.7109375" style="285" customWidth="1"/>
    <col min="4608" max="4608" width="4.421875" style="285" customWidth="1"/>
    <col min="4609" max="4609" width="4.28125" style="285" customWidth="1"/>
    <col min="4610" max="4610" width="58.7109375" style="285" customWidth="1"/>
    <col min="4611" max="4611" width="11.28125" style="285" customWidth="1"/>
    <col min="4612" max="4612" width="10.00390625" style="285" customWidth="1"/>
    <col min="4613" max="4613" width="10.421875" style="285" customWidth="1"/>
    <col min="4614" max="4614" width="9.7109375" style="285" bestFit="1" customWidth="1"/>
    <col min="4615" max="4615" width="9.57421875" style="285" customWidth="1"/>
    <col min="4616" max="4616" width="9.140625" style="285" customWidth="1"/>
    <col min="4617" max="4620" width="9.7109375" style="285" bestFit="1" customWidth="1"/>
    <col min="4621" max="4862" width="9.140625" style="285" customWidth="1"/>
    <col min="4863" max="4863" width="3.7109375" style="285" customWidth="1"/>
    <col min="4864" max="4864" width="4.421875" style="285" customWidth="1"/>
    <col min="4865" max="4865" width="4.28125" style="285" customWidth="1"/>
    <col min="4866" max="4866" width="58.7109375" style="285" customWidth="1"/>
    <col min="4867" max="4867" width="11.28125" style="285" customWidth="1"/>
    <col min="4868" max="4868" width="10.00390625" style="285" customWidth="1"/>
    <col min="4869" max="4869" width="10.421875" style="285" customWidth="1"/>
    <col min="4870" max="4870" width="9.7109375" style="285" bestFit="1" customWidth="1"/>
    <col min="4871" max="4871" width="9.57421875" style="285" customWidth="1"/>
    <col min="4872" max="4872" width="9.140625" style="285" customWidth="1"/>
    <col min="4873" max="4876" width="9.7109375" style="285" bestFit="1" customWidth="1"/>
    <col min="4877" max="5118" width="9.140625" style="285" customWidth="1"/>
    <col min="5119" max="5119" width="3.7109375" style="285" customWidth="1"/>
    <col min="5120" max="5120" width="4.421875" style="285" customWidth="1"/>
    <col min="5121" max="5121" width="4.28125" style="285" customWidth="1"/>
    <col min="5122" max="5122" width="58.7109375" style="285" customWidth="1"/>
    <col min="5123" max="5123" width="11.28125" style="285" customWidth="1"/>
    <col min="5124" max="5124" width="10.00390625" style="285" customWidth="1"/>
    <col min="5125" max="5125" width="10.421875" style="285" customWidth="1"/>
    <col min="5126" max="5126" width="9.7109375" style="285" bestFit="1" customWidth="1"/>
    <col min="5127" max="5127" width="9.57421875" style="285" customWidth="1"/>
    <col min="5128" max="5128" width="9.140625" style="285" customWidth="1"/>
    <col min="5129" max="5132" width="9.7109375" style="285" bestFit="1" customWidth="1"/>
    <col min="5133" max="5374" width="9.140625" style="285" customWidth="1"/>
    <col min="5375" max="5375" width="3.7109375" style="285" customWidth="1"/>
    <col min="5376" max="5376" width="4.421875" style="285" customWidth="1"/>
    <col min="5377" max="5377" width="4.28125" style="285" customWidth="1"/>
    <col min="5378" max="5378" width="58.7109375" style="285" customWidth="1"/>
    <col min="5379" max="5379" width="11.28125" style="285" customWidth="1"/>
    <col min="5380" max="5380" width="10.00390625" style="285" customWidth="1"/>
    <col min="5381" max="5381" width="10.421875" style="285" customWidth="1"/>
    <col min="5382" max="5382" width="9.7109375" style="285" bestFit="1" customWidth="1"/>
    <col min="5383" max="5383" width="9.57421875" style="285" customWidth="1"/>
    <col min="5384" max="5384" width="9.140625" style="285" customWidth="1"/>
    <col min="5385" max="5388" width="9.7109375" style="285" bestFit="1" customWidth="1"/>
    <col min="5389" max="5630" width="9.140625" style="285" customWidth="1"/>
    <col min="5631" max="5631" width="3.7109375" style="285" customWidth="1"/>
    <col min="5632" max="5632" width="4.421875" style="285" customWidth="1"/>
    <col min="5633" max="5633" width="4.28125" style="285" customWidth="1"/>
    <col min="5634" max="5634" width="58.7109375" style="285" customWidth="1"/>
    <col min="5635" max="5635" width="11.28125" style="285" customWidth="1"/>
    <col min="5636" max="5636" width="10.00390625" style="285" customWidth="1"/>
    <col min="5637" max="5637" width="10.421875" style="285" customWidth="1"/>
    <col min="5638" max="5638" width="9.7109375" style="285" bestFit="1" customWidth="1"/>
    <col min="5639" max="5639" width="9.57421875" style="285" customWidth="1"/>
    <col min="5640" max="5640" width="9.140625" style="285" customWidth="1"/>
    <col min="5641" max="5644" width="9.7109375" style="285" bestFit="1" customWidth="1"/>
    <col min="5645" max="5886" width="9.140625" style="285" customWidth="1"/>
    <col min="5887" max="5887" width="3.7109375" style="285" customWidth="1"/>
    <col min="5888" max="5888" width="4.421875" style="285" customWidth="1"/>
    <col min="5889" max="5889" width="4.28125" style="285" customWidth="1"/>
    <col min="5890" max="5890" width="58.7109375" style="285" customWidth="1"/>
    <col min="5891" max="5891" width="11.28125" style="285" customWidth="1"/>
    <col min="5892" max="5892" width="10.00390625" style="285" customWidth="1"/>
    <col min="5893" max="5893" width="10.421875" style="285" customWidth="1"/>
    <col min="5894" max="5894" width="9.7109375" style="285" bestFit="1" customWidth="1"/>
    <col min="5895" max="5895" width="9.57421875" style="285" customWidth="1"/>
    <col min="5896" max="5896" width="9.140625" style="285" customWidth="1"/>
    <col min="5897" max="5900" width="9.7109375" style="285" bestFit="1" customWidth="1"/>
    <col min="5901" max="6142" width="9.140625" style="285" customWidth="1"/>
    <col min="6143" max="6143" width="3.7109375" style="285" customWidth="1"/>
    <col min="6144" max="6144" width="4.421875" style="285" customWidth="1"/>
    <col min="6145" max="6145" width="4.28125" style="285" customWidth="1"/>
    <col min="6146" max="6146" width="58.7109375" style="285" customWidth="1"/>
    <col min="6147" max="6147" width="11.28125" style="285" customWidth="1"/>
    <col min="6148" max="6148" width="10.00390625" style="285" customWidth="1"/>
    <col min="6149" max="6149" width="10.421875" style="285" customWidth="1"/>
    <col min="6150" max="6150" width="9.7109375" style="285" bestFit="1" customWidth="1"/>
    <col min="6151" max="6151" width="9.57421875" style="285" customWidth="1"/>
    <col min="6152" max="6152" width="9.140625" style="285" customWidth="1"/>
    <col min="6153" max="6156" width="9.7109375" style="285" bestFit="1" customWidth="1"/>
    <col min="6157" max="6398" width="9.140625" style="285" customWidth="1"/>
    <col min="6399" max="6399" width="3.7109375" style="285" customWidth="1"/>
    <col min="6400" max="6400" width="4.421875" style="285" customWidth="1"/>
    <col min="6401" max="6401" width="4.28125" style="285" customWidth="1"/>
    <col min="6402" max="6402" width="58.7109375" style="285" customWidth="1"/>
    <col min="6403" max="6403" width="11.28125" style="285" customWidth="1"/>
    <col min="6404" max="6404" width="10.00390625" style="285" customWidth="1"/>
    <col min="6405" max="6405" width="10.421875" style="285" customWidth="1"/>
    <col min="6406" max="6406" width="9.7109375" style="285" bestFit="1" customWidth="1"/>
    <col min="6407" max="6407" width="9.57421875" style="285" customWidth="1"/>
    <col min="6408" max="6408" width="9.140625" style="285" customWidth="1"/>
    <col min="6409" max="6412" width="9.7109375" style="285" bestFit="1" customWidth="1"/>
    <col min="6413" max="6654" width="9.140625" style="285" customWidth="1"/>
    <col min="6655" max="6655" width="3.7109375" style="285" customWidth="1"/>
    <col min="6656" max="6656" width="4.421875" style="285" customWidth="1"/>
    <col min="6657" max="6657" width="4.28125" style="285" customWidth="1"/>
    <col min="6658" max="6658" width="58.7109375" style="285" customWidth="1"/>
    <col min="6659" max="6659" width="11.28125" style="285" customWidth="1"/>
    <col min="6660" max="6660" width="10.00390625" style="285" customWidth="1"/>
    <col min="6661" max="6661" width="10.421875" style="285" customWidth="1"/>
    <col min="6662" max="6662" width="9.7109375" style="285" bestFit="1" customWidth="1"/>
    <col min="6663" max="6663" width="9.57421875" style="285" customWidth="1"/>
    <col min="6664" max="6664" width="9.140625" style="285" customWidth="1"/>
    <col min="6665" max="6668" width="9.7109375" style="285" bestFit="1" customWidth="1"/>
    <col min="6669" max="6910" width="9.140625" style="285" customWidth="1"/>
    <col min="6911" max="6911" width="3.7109375" style="285" customWidth="1"/>
    <col min="6912" max="6912" width="4.421875" style="285" customWidth="1"/>
    <col min="6913" max="6913" width="4.28125" style="285" customWidth="1"/>
    <col min="6914" max="6914" width="58.7109375" style="285" customWidth="1"/>
    <col min="6915" max="6915" width="11.28125" style="285" customWidth="1"/>
    <col min="6916" max="6916" width="10.00390625" style="285" customWidth="1"/>
    <col min="6917" max="6917" width="10.421875" style="285" customWidth="1"/>
    <col min="6918" max="6918" width="9.7109375" style="285" bestFit="1" customWidth="1"/>
    <col min="6919" max="6919" width="9.57421875" style="285" customWidth="1"/>
    <col min="6920" max="6920" width="9.140625" style="285" customWidth="1"/>
    <col min="6921" max="6924" width="9.7109375" style="285" bestFit="1" customWidth="1"/>
    <col min="6925" max="7166" width="9.140625" style="285" customWidth="1"/>
    <col min="7167" max="7167" width="3.7109375" style="285" customWidth="1"/>
    <col min="7168" max="7168" width="4.421875" style="285" customWidth="1"/>
    <col min="7169" max="7169" width="4.28125" style="285" customWidth="1"/>
    <col min="7170" max="7170" width="58.7109375" style="285" customWidth="1"/>
    <col min="7171" max="7171" width="11.28125" style="285" customWidth="1"/>
    <col min="7172" max="7172" width="10.00390625" style="285" customWidth="1"/>
    <col min="7173" max="7173" width="10.421875" style="285" customWidth="1"/>
    <col min="7174" max="7174" width="9.7109375" style="285" bestFit="1" customWidth="1"/>
    <col min="7175" max="7175" width="9.57421875" style="285" customWidth="1"/>
    <col min="7176" max="7176" width="9.140625" style="285" customWidth="1"/>
    <col min="7177" max="7180" width="9.7109375" style="285" bestFit="1" customWidth="1"/>
    <col min="7181" max="7422" width="9.140625" style="285" customWidth="1"/>
    <col min="7423" max="7423" width="3.7109375" style="285" customWidth="1"/>
    <col min="7424" max="7424" width="4.421875" style="285" customWidth="1"/>
    <col min="7425" max="7425" width="4.28125" style="285" customWidth="1"/>
    <col min="7426" max="7426" width="58.7109375" style="285" customWidth="1"/>
    <col min="7427" max="7427" width="11.28125" style="285" customWidth="1"/>
    <col min="7428" max="7428" width="10.00390625" style="285" customWidth="1"/>
    <col min="7429" max="7429" width="10.421875" style="285" customWidth="1"/>
    <col min="7430" max="7430" width="9.7109375" style="285" bestFit="1" customWidth="1"/>
    <col min="7431" max="7431" width="9.57421875" style="285" customWidth="1"/>
    <col min="7432" max="7432" width="9.140625" style="285" customWidth="1"/>
    <col min="7433" max="7436" width="9.7109375" style="285" bestFit="1" customWidth="1"/>
    <col min="7437" max="7678" width="9.140625" style="285" customWidth="1"/>
    <col min="7679" max="7679" width="3.7109375" style="285" customWidth="1"/>
    <col min="7680" max="7680" width="4.421875" style="285" customWidth="1"/>
    <col min="7681" max="7681" width="4.28125" style="285" customWidth="1"/>
    <col min="7682" max="7682" width="58.7109375" style="285" customWidth="1"/>
    <col min="7683" max="7683" width="11.28125" style="285" customWidth="1"/>
    <col min="7684" max="7684" width="10.00390625" style="285" customWidth="1"/>
    <col min="7685" max="7685" width="10.421875" style="285" customWidth="1"/>
    <col min="7686" max="7686" width="9.7109375" style="285" bestFit="1" customWidth="1"/>
    <col min="7687" max="7687" width="9.57421875" style="285" customWidth="1"/>
    <col min="7688" max="7688" width="9.140625" style="285" customWidth="1"/>
    <col min="7689" max="7692" width="9.7109375" style="285" bestFit="1" customWidth="1"/>
    <col min="7693" max="7934" width="9.140625" style="285" customWidth="1"/>
    <col min="7935" max="7935" width="3.7109375" style="285" customWidth="1"/>
    <col min="7936" max="7936" width="4.421875" style="285" customWidth="1"/>
    <col min="7937" max="7937" width="4.28125" style="285" customWidth="1"/>
    <col min="7938" max="7938" width="58.7109375" style="285" customWidth="1"/>
    <col min="7939" max="7939" width="11.28125" style="285" customWidth="1"/>
    <col min="7940" max="7940" width="10.00390625" style="285" customWidth="1"/>
    <col min="7941" max="7941" width="10.421875" style="285" customWidth="1"/>
    <col min="7942" max="7942" width="9.7109375" style="285" bestFit="1" customWidth="1"/>
    <col min="7943" max="7943" width="9.57421875" style="285" customWidth="1"/>
    <col min="7944" max="7944" width="9.140625" style="285" customWidth="1"/>
    <col min="7945" max="7948" width="9.7109375" style="285" bestFit="1" customWidth="1"/>
    <col min="7949" max="8190" width="9.140625" style="285" customWidth="1"/>
    <col min="8191" max="8191" width="3.7109375" style="285" customWidth="1"/>
    <col min="8192" max="8192" width="4.421875" style="285" customWidth="1"/>
    <col min="8193" max="8193" width="4.28125" style="285" customWidth="1"/>
    <col min="8194" max="8194" width="58.7109375" style="285" customWidth="1"/>
    <col min="8195" max="8195" width="11.28125" style="285" customWidth="1"/>
    <col min="8196" max="8196" width="10.00390625" style="285" customWidth="1"/>
    <col min="8197" max="8197" width="10.421875" style="285" customWidth="1"/>
    <col min="8198" max="8198" width="9.7109375" style="285" bestFit="1" customWidth="1"/>
    <col min="8199" max="8199" width="9.57421875" style="285" customWidth="1"/>
    <col min="8200" max="8200" width="9.140625" style="285" customWidth="1"/>
    <col min="8201" max="8204" width="9.7109375" style="285" bestFit="1" customWidth="1"/>
    <col min="8205" max="8446" width="9.140625" style="285" customWidth="1"/>
    <col min="8447" max="8447" width="3.7109375" style="285" customWidth="1"/>
    <col min="8448" max="8448" width="4.421875" style="285" customWidth="1"/>
    <col min="8449" max="8449" width="4.28125" style="285" customWidth="1"/>
    <col min="8450" max="8450" width="58.7109375" style="285" customWidth="1"/>
    <col min="8451" max="8451" width="11.28125" style="285" customWidth="1"/>
    <col min="8452" max="8452" width="10.00390625" style="285" customWidth="1"/>
    <col min="8453" max="8453" width="10.421875" style="285" customWidth="1"/>
    <col min="8454" max="8454" width="9.7109375" style="285" bestFit="1" customWidth="1"/>
    <col min="8455" max="8455" width="9.57421875" style="285" customWidth="1"/>
    <col min="8456" max="8456" width="9.140625" style="285" customWidth="1"/>
    <col min="8457" max="8460" width="9.7109375" style="285" bestFit="1" customWidth="1"/>
    <col min="8461" max="8702" width="9.140625" style="285" customWidth="1"/>
    <col min="8703" max="8703" width="3.7109375" style="285" customWidth="1"/>
    <col min="8704" max="8704" width="4.421875" style="285" customWidth="1"/>
    <col min="8705" max="8705" width="4.28125" style="285" customWidth="1"/>
    <col min="8706" max="8706" width="58.7109375" style="285" customWidth="1"/>
    <col min="8707" max="8707" width="11.28125" style="285" customWidth="1"/>
    <col min="8708" max="8708" width="10.00390625" style="285" customWidth="1"/>
    <col min="8709" max="8709" width="10.421875" style="285" customWidth="1"/>
    <col min="8710" max="8710" width="9.7109375" style="285" bestFit="1" customWidth="1"/>
    <col min="8711" max="8711" width="9.57421875" style="285" customWidth="1"/>
    <col min="8712" max="8712" width="9.140625" style="285" customWidth="1"/>
    <col min="8713" max="8716" width="9.7109375" style="285" bestFit="1" customWidth="1"/>
    <col min="8717" max="8958" width="9.140625" style="285" customWidth="1"/>
    <col min="8959" max="8959" width="3.7109375" style="285" customWidth="1"/>
    <col min="8960" max="8960" width="4.421875" style="285" customWidth="1"/>
    <col min="8961" max="8961" width="4.28125" style="285" customWidth="1"/>
    <col min="8962" max="8962" width="58.7109375" style="285" customWidth="1"/>
    <col min="8963" max="8963" width="11.28125" style="285" customWidth="1"/>
    <col min="8964" max="8964" width="10.00390625" style="285" customWidth="1"/>
    <col min="8965" max="8965" width="10.421875" style="285" customWidth="1"/>
    <col min="8966" max="8966" width="9.7109375" style="285" bestFit="1" customWidth="1"/>
    <col min="8967" max="8967" width="9.57421875" style="285" customWidth="1"/>
    <col min="8968" max="8968" width="9.140625" style="285" customWidth="1"/>
    <col min="8969" max="8972" width="9.7109375" style="285" bestFit="1" customWidth="1"/>
    <col min="8973" max="9214" width="9.140625" style="285" customWidth="1"/>
    <col min="9215" max="9215" width="3.7109375" style="285" customWidth="1"/>
    <col min="9216" max="9216" width="4.421875" style="285" customWidth="1"/>
    <col min="9217" max="9217" width="4.28125" style="285" customWidth="1"/>
    <col min="9218" max="9218" width="58.7109375" style="285" customWidth="1"/>
    <col min="9219" max="9219" width="11.28125" style="285" customWidth="1"/>
    <col min="9220" max="9220" width="10.00390625" style="285" customWidth="1"/>
    <col min="9221" max="9221" width="10.421875" style="285" customWidth="1"/>
    <col min="9222" max="9222" width="9.7109375" style="285" bestFit="1" customWidth="1"/>
    <col min="9223" max="9223" width="9.57421875" style="285" customWidth="1"/>
    <col min="9224" max="9224" width="9.140625" style="285" customWidth="1"/>
    <col min="9225" max="9228" width="9.7109375" style="285" bestFit="1" customWidth="1"/>
    <col min="9229" max="9470" width="9.140625" style="285" customWidth="1"/>
    <col min="9471" max="9471" width="3.7109375" style="285" customWidth="1"/>
    <col min="9472" max="9472" width="4.421875" style="285" customWidth="1"/>
    <col min="9473" max="9473" width="4.28125" style="285" customWidth="1"/>
    <col min="9474" max="9474" width="58.7109375" style="285" customWidth="1"/>
    <col min="9475" max="9475" width="11.28125" style="285" customWidth="1"/>
    <col min="9476" max="9476" width="10.00390625" style="285" customWidth="1"/>
    <col min="9477" max="9477" width="10.421875" style="285" customWidth="1"/>
    <col min="9478" max="9478" width="9.7109375" style="285" bestFit="1" customWidth="1"/>
    <col min="9479" max="9479" width="9.57421875" style="285" customWidth="1"/>
    <col min="9480" max="9480" width="9.140625" style="285" customWidth="1"/>
    <col min="9481" max="9484" width="9.7109375" style="285" bestFit="1" customWidth="1"/>
    <col min="9485" max="9726" width="9.140625" style="285" customWidth="1"/>
    <col min="9727" max="9727" width="3.7109375" style="285" customWidth="1"/>
    <col min="9728" max="9728" width="4.421875" style="285" customWidth="1"/>
    <col min="9729" max="9729" width="4.28125" style="285" customWidth="1"/>
    <col min="9730" max="9730" width="58.7109375" style="285" customWidth="1"/>
    <col min="9731" max="9731" width="11.28125" style="285" customWidth="1"/>
    <col min="9732" max="9732" width="10.00390625" style="285" customWidth="1"/>
    <col min="9733" max="9733" width="10.421875" style="285" customWidth="1"/>
    <col min="9734" max="9734" width="9.7109375" style="285" bestFit="1" customWidth="1"/>
    <col min="9735" max="9735" width="9.57421875" style="285" customWidth="1"/>
    <col min="9736" max="9736" width="9.140625" style="285" customWidth="1"/>
    <col min="9737" max="9740" width="9.7109375" style="285" bestFit="1" customWidth="1"/>
    <col min="9741" max="9982" width="9.140625" style="285" customWidth="1"/>
    <col min="9983" max="9983" width="3.7109375" style="285" customWidth="1"/>
    <col min="9984" max="9984" width="4.421875" style="285" customWidth="1"/>
    <col min="9985" max="9985" width="4.28125" style="285" customWidth="1"/>
    <col min="9986" max="9986" width="58.7109375" style="285" customWidth="1"/>
    <col min="9987" max="9987" width="11.28125" style="285" customWidth="1"/>
    <col min="9988" max="9988" width="10.00390625" style="285" customWidth="1"/>
    <col min="9989" max="9989" width="10.421875" style="285" customWidth="1"/>
    <col min="9990" max="9990" width="9.7109375" style="285" bestFit="1" customWidth="1"/>
    <col min="9991" max="9991" width="9.57421875" style="285" customWidth="1"/>
    <col min="9992" max="9992" width="9.140625" style="285" customWidth="1"/>
    <col min="9993" max="9996" width="9.7109375" style="285" bestFit="1" customWidth="1"/>
    <col min="9997" max="10238" width="9.140625" style="285" customWidth="1"/>
    <col min="10239" max="10239" width="3.7109375" style="285" customWidth="1"/>
    <col min="10240" max="10240" width="4.421875" style="285" customWidth="1"/>
    <col min="10241" max="10241" width="4.28125" style="285" customWidth="1"/>
    <col min="10242" max="10242" width="58.7109375" style="285" customWidth="1"/>
    <col min="10243" max="10243" width="11.28125" style="285" customWidth="1"/>
    <col min="10244" max="10244" width="10.00390625" style="285" customWidth="1"/>
    <col min="10245" max="10245" width="10.421875" style="285" customWidth="1"/>
    <col min="10246" max="10246" width="9.7109375" style="285" bestFit="1" customWidth="1"/>
    <col min="10247" max="10247" width="9.57421875" style="285" customWidth="1"/>
    <col min="10248" max="10248" width="9.140625" style="285" customWidth="1"/>
    <col min="10249" max="10252" width="9.7109375" style="285" bestFit="1" customWidth="1"/>
    <col min="10253" max="10494" width="9.140625" style="285" customWidth="1"/>
    <col min="10495" max="10495" width="3.7109375" style="285" customWidth="1"/>
    <col min="10496" max="10496" width="4.421875" style="285" customWidth="1"/>
    <col min="10497" max="10497" width="4.28125" style="285" customWidth="1"/>
    <col min="10498" max="10498" width="58.7109375" style="285" customWidth="1"/>
    <col min="10499" max="10499" width="11.28125" style="285" customWidth="1"/>
    <col min="10500" max="10500" width="10.00390625" style="285" customWidth="1"/>
    <col min="10501" max="10501" width="10.421875" style="285" customWidth="1"/>
    <col min="10502" max="10502" width="9.7109375" style="285" bestFit="1" customWidth="1"/>
    <col min="10503" max="10503" width="9.57421875" style="285" customWidth="1"/>
    <col min="10504" max="10504" width="9.140625" style="285" customWidth="1"/>
    <col min="10505" max="10508" width="9.7109375" style="285" bestFit="1" customWidth="1"/>
    <col min="10509" max="10750" width="9.140625" style="285" customWidth="1"/>
    <col min="10751" max="10751" width="3.7109375" style="285" customWidth="1"/>
    <col min="10752" max="10752" width="4.421875" style="285" customWidth="1"/>
    <col min="10753" max="10753" width="4.28125" style="285" customWidth="1"/>
    <col min="10754" max="10754" width="58.7109375" style="285" customWidth="1"/>
    <col min="10755" max="10755" width="11.28125" style="285" customWidth="1"/>
    <col min="10756" max="10756" width="10.00390625" style="285" customWidth="1"/>
    <col min="10757" max="10757" width="10.421875" style="285" customWidth="1"/>
    <col min="10758" max="10758" width="9.7109375" style="285" bestFit="1" customWidth="1"/>
    <col min="10759" max="10759" width="9.57421875" style="285" customWidth="1"/>
    <col min="10760" max="10760" width="9.140625" style="285" customWidth="1"/>
    <col min="10761" max="10764" width="9.7109375" style="285" bestFit="1" customWidth="1"/>
    <col min="10765" max="11006" width="9.140625" style="285" customWidth="1"/>
    <col min="11007" max="11007" width="3.7109375" style="285" customWidth="1"/>
    <col min="11008" max="11008" width="4.421875" style="285" customWidth="1"/>
    <col min="11009" max="11009" width="4.28125" style="285" customWidth="1"/>
    <col min="11010" max="11010" width="58.7109375" style="285" customWidth="1"/>
    <col min="11011" max="11011" width="11.28125" style="285" customWidth="1"/>
    <col min="11012" max="11012" width="10.00390625" style="285" customWidth="1"/>
    <col min="11013" max="11013" width="10.421875" style="285" customWidth="1"/>
    <col min="11014" max="11014" width="9.7109375" style="285" bestFit="1" customWidth="1"/>
    <col min="11015" max="11015" width="9.57421875" style="285" customWidth="1"/>
    <col min="11016" max="11016" width="9.140625" style="285" customWidth="1"/>
    <col min="11017" max="11020" width="9.7109375" style="285" bestFit="1" customWidth="1"/>
    <col min="11021" max="11262" width="9.140625" style="285" customWidth="1"/>
    <col min="11263" max="11263" width="3.7109375" style="285" customWidth="1"/>
    <col min="11264" max="11264" width="4.421875" style="285" customWidth="1"/>
    <col min="11265" max="11265" width="4.28125" style="285" customWidth="1"/>
    <col min="11266" max="11266" width="58.7109375" style="285" customWidth="1"/>
    <col min="11267" max="11267" width="11.28125" style="285" customWidth="1"/>
    <col min="11268" max="11268" width="10.00390625" style="285" customWidth="1"/>
    <col min="11269" max="11269" width="10.421875" style="285" customWidth="1"/>
    <col min="11270" max="11270" width="9.7109375" style="285" bestFit="1" customWidth="1"/>
    <col min="11271" max="11271" width="9.57421875" style="285" customWidth="1"/>
    <col min="11272" max="11272" width="9.140625" style="285" customWidth="1"/>
    <col min="11273" max="11276" width="9.7109375" style="285" bestFit="1" customWidth="1"/>
    <col min="11277" max="11518" width="9.140625" style="285" customWidth="1"/>
    <col min="11519" max="11519" width="3.7109375" style="285" customWidth="1"/>
    <col min="11520" max="11520" width="4.421875" style="285" customWidth="1"/>
    <col min="11521" max="11521" width="4.28125" style="285" customWidth="1"/>
    <col min="11522" max="11522" width="58.7109375" style="285" customWidth="1"/>
    <col min="11523" max="11523" width="11.28125" style="285" customWidth="1"/>
    <col min="11524" max="11524" width="10.00390625" style="285" customWidth="1"/>
    <col min="11525" max="11525" width="10.421875" style="285" customWidth="1"/>
    <col min="11526" max="11526" width="9.7109375" style="285" bestFit="1" customWidth="1"/>
    <col min="11527" max="11527" width="9.57421875" style="285" customWidth="1"/>
    <col min="11528" max="11528" width="9.140625" style="285" customWidth="1"/>
    <col min="11529" max="11532" width="9.7109375" style="285" bestFit="1" customWidth="1"/>
    <col min="11533" max="11774" width="9.140625" style="285" customWidth="1"/>
    <col min="11775" max="11775" width="3.7109375" style="285" customWidth="1"/>
    <col min="11776" max="11776" width="4.421875" style="285" customWidth="1"/>
    <col min="11777" max="11777" width="4.28125" style="285" customWidth="1"/>
    <col min="11778" max="11778" width="58.7109375" style="285" customWidth="1"/>
    <col min="11779" max="11779" width="11.28125" style="285" customWidth="1"/>
    <col min="11780" max="11780" width="10.00390625" style="285" customWidth="1"/>
    <col min="11781" max="11781" width="10.421875" style="285" customWidth="1"/>
    <col min="11782" max="11782" width="9.7109375" style="285" bestFit="1" customWidth="1"/>
    <col min="11783" max="11783" width="9.57421875" style="285" customWidth="1"/>
    <col min="11784" max="11784" width="9.140625" style="285" customWidth="1"/>
    <col min="11785" max="11788" width="9.7109375" style="285" bestFit="1" customWidth="1"/>
    <col min="11789" max="12030" width="9.140625" style="285" customWidth="1"/>
    <col min="12031" max="12031" width="3.7109375" style="285" customWidth="1"/>
    <col min="12032" max="12032" width="4.421875" style="285" customWidth="1"/>
    <col min="12033" max="12033" width="4.28125" style="285" customWidth="1"/>
    <col min="12034" max="12034" width="58.7109375" style="285" customWidth="1"/>
    <col min="12035" max="12035" width="11.28125" style="285" customWidth="1"/>
    <col min="12036" max="12036" width="10.00390625" style="285" customWidth="1"/>
    <col min="12037" max="12037" width="10.421875" style="285" customWidth="1"/>
    <col min="12038" max="12038" width="9.7109375" style="285" bestFit="1" customWidth="1"/>
    <col min="12039" max="12039" width="9.57421875" style="285" customWidth="1"/>
    <col min="12040" max="12040" width="9.140625" style="285" customWidth="1"/>
    <col min="12041" max="12044" width="9.7109375" style="285" bestFit="1" customWidth="1"/>
    <col min="12045" max="12286" width="9.140625" style="285" customWidth="1"/>
    <col min="12287" max="12287" width="3.7109375" style="285" customWidth="1"/>
    <col min="12288" max="12288" width="4.421875" style="285" customWidth="1"/>
    <col min="12289" max="12289" width="4.28125" style="285" customWidth="1"/>
    <col min="12290" max="12290" width="58.7109375" style="285" customWidth="1"/>
    <col min="12291" max="12291" width="11.28125" style="285" customWidth="1"/>
    <col min="12292" max="12292" width="10.00390625" style="285" customWidth="1"/>
    <col min="12293" max="12293" width="10.421875" style="285" customWidth="1"/>
    <col min="12294" max="12294" width="9.7109375" style="285" bestFit="1" customWidth="1"/>
    <col min="12295" max="12295" width="9.57421875" style="285" customWidth="1"/>
    <col min="12296" max="12296" width="9.140625" style="285" customWidth="1"/>
    <col min="12297" max="12300" width="9.7109375" style="285" bestFit="1" customWidth="1"/>
    <col min="12301" max="12542" width="9.140625" style="285" customWidth="1"/>
    <col min="12543" max="12543" width="3.7109375" style="285" customWidth="1"/>
    <col min="12544" max="12544" width="4.421875" style="285" customWidth="1"/>
    <col min="12545" max="12545" width="4.28125" style="285" customWidth="1"/>
    <col min="12546" max="12546" width="58.7109375" style="285" customWidth="1"/>
    <col min="12547" max="12547" width="11.28125" style="285" customWidth="1"/>
    <col min="12548" max="12548" width="10.00390625" style="285" customWidth="1"/>
    <col min="12549" max="12549" width="10.421875" style="285" customWidth="1"/>
    <col min="12550" max="12550" width="9.7109375" style="285" bestFit="1" customWidth="1"/>
    <col min="12551" max="12551" width="9.57421875" style="285" customWidth="1"/>
    <col min="12552" max="12552" width="9.140625" style="285" customWidth="1"/>
    <col min="12553" max="12556" width="9.7109375" style="285" bestFit="1" customWidth="1"/>
    <col min="12557" max="12798" width="9.140625" style="285" customWidth="1"/>
    <col min="12799" max="12799" width="3.7109375" style="285" customWidth="1"/>
    <col min="12800" max="12800" width="4.421875" style="285" customWidth="1"/>
    <col min="12801" max="12801" width="4.28125" style="285" customWidth="1"/>
    <col min="12802" max="12802" width="58.7109375" style="285" customWidth="1"/>
    <col min="12803" max="12803" width="11.28125" style="285" customWidth="1"/>
    <col min="12804" max="12804" width="10.00390625" style="285" customWidth="1"/>
    <col min="12805" max="12805" width="10.421875" style="285" customWidth="1"/>
    <col min="12806" max="12806" width="9.7109375" style="285" bestFit="1" customWidth="1"/>
    <col min="12807" max="12807" width="9.57421875" style="285" customWidth="1"/>
    <col min="12808" max="12808" width="9.140625" style="285" customWidth="1"/>
    <col min="12809" max="12812" width="9.7109375" style="285" bestFit="1" customWidth="1"/>
    <col min="12813" max="13054" width="9.140625" style="285" customWidth="1"/>
    <col min="13055" max="13055" width="3.7109375" style="285" customWidth="1"/>
    <col min="13056" max="13056" width="4.421875" style="285" customWidth="1"/>
    <col min="13057" max="13057" width="4.28125" style="285" customWidth="1"/>
    <col min="13058" max="13058" width="58.7109375" style="285" customWidth="1"/>
    <col min="13059" max="13059" width="11.28125" style="285" customWidth="1"/>
    <col min="13060" max="13060" width="10.00390625" style="285" customWidth="1"/>
    <col min="13061" max="13061" width="10.421875" style="285" customWidth="1"/>
    <col min="13062" max="13062" width="9.7109375" style="285" bestFit="1" customWidth="1"/>
    <col min="13063" max="13063" width="9.57421875" style="285" customWidth="1"/>
    <col min="13064" max="13064" width="9.140625" style="285" customWidth="1"/>
    <col min="13065" max="13068" width="9.7109375" style="285" bestFit="1" customWidth="1"/>
    <col min="13069" max="13310" width="9.140625" style="285" customWidth="1"/>
    <col min="13311" max="13311" width="3.7109375" style="285" customWidth="1"/>
    <col min="13312" max="13312" width="4.421875" style="285" customWidth="1"/>
    <col min="13313" max="13313" width="4.28125" style="285" customWidth="1"/>
    <col min="13314" max="13314" width="58.7109375" style="285" customWidth="1"/>
    <col min="13315" max="13315" width="11.28125" style="285" customWidth="1"/>
    <col min="13316" max="13316" width="10.00390625" style="285" customWidth="1"/>
    <col min="13317" max="13317" width="10.421875" style="285" customWidth="1"/>
    <col min="13318" max="13318" width="9.7109375" style="285" bestFit="1" customWidth="1"/>
    <col min="13319" max="13319" width="9.57421875" style="285" customWidth="1"/>
    <col min="13320" max="13320" width="9.140625" style="285" customWidth="1"/>
    <col min="13321" max="13324" width="9.7109375" style="285" bestFit="1" customWidth="1"/>
    <col min="13325" max="13566" width="9.140625" style="285" customWidth="1"/>
    <col min="13567" max="13567" width="3.7109375" style="285" customWidth="1"/>
    <col min="13568" max="13568" width="4.421875" style="285" customWidth="1"/>
    <col min="13569" max="13569" width="4.28125" style="285" customWidth="1"/>
    <col min="13570" max="13570" width="58.7109375" style="285" customWidth="1"/>
    <col min="13571" max="13571" width="11.28125" style="285" customWidth="1"/>
    <col min="13572" max="13572" width="10.00390625" style="285" customWidth="1"/>
    <col min="13573" max="13573" width="10.421875" style="285" customWidth="1"/>
    <col min="13574" max="13574" width="9.7109375" style="285" bestFit="1" customWidth="1"/>
    <col min="13575" max="13575" width="9.57421875" style="285" customWidth="1"/>
    <col min="13576" max="13576" width="9.140625" style="285" customWidth="1"/>
    <col min="13577" max="13580" width="9.7109375" style="285" bestFit="1" customWidth="1"/>
    <col min="13581" max="13822" width="9.140625" style="285" customWidth="1"/>
    <col min="13823" max="13823" width="3.7109375" style="285" customWidth="1"/>
    <col min="13824" max="13824" width="4.421875" style="285" customWidth="1"/>
    <col min="13825" max="13825" width="4.28125" style="285" customWidth="1"/>
    <col min="13826" max="13826" width="58.7109375" style="285" customWidth="1"/>
    <col min="13827" max="13827" width="11.28125" style="285" customWidth="1"/>
    <col min="13828" max="13828" width="10.00390625" style="285" customWidth="1"/>
    <col min="13829" max="13829" width="10.421875" style="285" customWidth="1"/>
    <col min="13830" max="13830" width="9.7109375" style="285" bestFit="1" customWidth="1"/>
    <col min="13831" max="13831" width="9.57421875" style="285" customWidth="1"/>
    <col min="13832" max="13832" width="9.140625" style="285" customWidth="1"/>
    <col min="13833" max="13836" width="9.7109375" style="285" bestFit="1" customWidth="1"/>
    <col min="13837" max="14078" width="9.140625" style="285" customWidth="1"/>
    <col min="14079" max="14079" width="3.7109375" style="285" customWidth="1"/>
    <col min="14080" max="14080" width="4.421875" style="285" customWidth="1"/>
    <col min="14081" max="14081" width="4.28125" style="285" customWidth="1"/>
    <col min="14082" max="14082" width="58.7109375" style="285" customWidth="1"/>
    <col min="14083" max="14083" width="11.28125" style="285" customWidth="1"/>
    <col min="14084" max="14084" width="10.00390625" style="285" customWidth="1"/>
    <col min="14085" max="14085" width="10.421875" style="285" customWidth="1"/>
    <col min="14086" max="14086" width="9.7109375" style="285" bestFit="1" customWidth="1"/>
    <col min="14087" max="14087" width="9.57421875" style="285" customWidth="1"/>
    <col min="14088" max="14088" width="9.140625" style="285" customWidth="1"/>
    <col min="14089" max="14092" width="9.7109375" style="285" bestFit="1" customWidth="1"/>
    <col min="14093" max="14334" width="9.140625" style="285" customWidth="1"/>
    <col min="14335" max="14335" width="3.7109375" style="285" customWidth="1"/>
    <col min="14336" max="14336" width="4.421875" style="285" customWidth="1"/>
    <col min="14337" max="14337" width="4.28125" style="285" customWidth="1"/>
    <col min="14338" max="14338" width="58.7109375" style="285" customWidth="1"/>
    <col min="14339" max="14339" width="11.28125" style="285" customWidth="1"/>
    <col min="14340" max="14340" width="10.00390625" style="285" customWidth="1"/>
    <col min="14341" max="14341" width="10.421875" style="285" customWidth="1"/>
    <col min="14342" max="14342" width="9.7109375" style="285" bestFit="1" customWidth="1"/>
    <col min="14343" max="14343" width="9.57421875" style="285" customWidth="1"/>
    <col min="14344" max="14344" width="9.140625" style="285" customWidth="1"/>
    <col min="14345" max="14348" width="9.7109375" style="285" bestFit="1" customWidth="1"/>
    <col min="14349" max="14590" width="9.140625" style="285" customWidth="1"/>
    <col min="14591" max="14591" width="3.7109375" style="285" customWidth="1"/>
    <col min="14592" max="14592" width="4.421875" style="285" customWidth="1"/>
    <col min="14593" max="14593" width="4.28125" style="285" customWidth="1"/>
    <col min="14594" max="14594" width="58.7109375" style="285" customWidth="1"/>
    <col min="14595" max="14595" width="11.28125" style="285" customWidth="1"/>
    <col min="14596" max="14596" width="10.00390625" style="285" customWidth="1"/>
    <col min="14597" max="14597" width="10.421875" style="285" customWidth="1"/>
    <col min="14598" max="14598" width="9.7109375" style="285" bestFit="1" customWidth="1"/>
    <col min="14599" max="14599" width="9.57421875" style="285" customWidth="1"/>
    <col min="14600" max="14600" width="9.140625" style="285" customWidth="1"/>
    <col min="14601" max="14604" width="9.7109375" style="285" bestFit="1" customWidth="1"/>
    <col min="14605" max="14846" width="9.140625" style="285" customWidth="1"/>
    <col min="14847" max="14847" width="3.7109375" style="285" customWidth="1"/>
    <col min="14848" max="14848" width="4.421875" style="285" customWidth="1"/>
    <col min="14849" max="14849" width="4.28125" style="285" customWidth="1"/>
    <col min="14850" max="14850" width="58.7109375" style="285" customWidth="1"/>
    <col min="14851" max="14851" width="11.28125" style="285" customWidth="1"/>
    <col min="14852" max="14852" width="10.00390625" style="285" customWidth="1"/>
    <col min="14853" max="14853" width="10.421875" style="285" customWidth="1"/>
    <col min="14854" max="14854" width="9.7109375" style="285" bestFit="1" customWidth="1"/>
    <col min="14855" max="14855" width="9.57421875" style="285" customWidth="1"/>
    <col min="14856" max="14856" width="9.140625" style="285" customWidth="1"/>
    <col min="14857" max="14860" width="9.7109375" style="285" bestFit="1" customWidth="1"/>
    <col min="14861" max="15102" width="9.140625" style="285" customWidth="1"/>
    <col min="15103" max="15103" width="3.7109375" style="285" customWidth="1"/>
    <col min="15104" max="15104" width="4.421875" style="285" customWidth="1"/>
    <col min="15105" max="15105" width="4.28125" style="285" customWidth="1"/>
    <col min="15106" max="15106" width="58.7109375" style="285" customWidth="1"/>
    <col min="15107" max="15107" width="11.28125" style="285" customWidth="1"/>
    <col min="15108" max="15108" width="10.00390625" style="285" customWidth="1"/>
    <col min="15109" max="15109" width="10.421875" style="285" customWidth="1"/>
    <col min="15110" max="15110" width="9.7109375" style="285" bestFit="1" customWidth="1"/>
    <col min="15111" max="15111" width="9.57421875" style="285" customWidth="1"/>
    <col min="15112" max="15112" width="9.140625" style="285" customWidth="1"/>
    <col min="15113" max="15116" width="9.7109375" style="285" bestFit="1" customWidth="1"/>
    <col min="15117" max="15358" width="9.140625" style="285" customWidth="1"/>
    <col min="15359" max="15359" width="3.7109375" style="285" customWidth="1"/>
    <col min="15360" max="15360" width="4.421875" style="285" customWidth="1"/>
    <col min="15361" max="15361" width="4.28125" style="285" customWidth="1"/>
    <col min="15362" max="15362" width="58.7109375" style="285" customWidth="1"/>
    <col min="15363" max="15363" width="11.28125" style="285" customWidth="1"/>
    <col min="15364" max="15364" width="10.00390625" style="285" customWidth="1"/>
    <col min="15365" max="15365" width="10.421875" style="285" customWidth="1"/>
    <col min="15366" max="15366" width="9.7109375" style="285" bestFit="1" customWidth="1"/>
    <col min="15367" max="15367" width="9.57421875" style="285" customWidth="1"/>
    <col min="15368" max="15368" width="9.140625" style="285" customWidth="1"/>
    <col min="15369" max="15372" width="9.7109375" style="285" bestFit="1" customWidth="1"/>
    <col min="15373" max="15614" width="9.140625" style="285" customWidth="1"/>
    <col min="15615" max="15615" width="3.7109375" style="285" customWidth="1"/>
    <col min="15616" max="15616" width="4.421875" style="285" customWidth="1"/>
    <col min="15617" max="15617" width="4.28125" style="285" customWidth="1"/>
    <col min="15618" max="15618" width="58.7109375" style="285" customWidth="1"/>
    <col min="15619" max="15619" width="11.28125" style="285" customWidth="1"/>
    <col min="15620" max="15620" width="10.00390625" style="285" customWidth="1"/>
    <col min="15621" max="15621" width="10.421875" style="285" customWidth="1"/>
    <col min="15622" max="15622" width="9.7109375" style="285" bestFit="1" customWidth="1"/>
    <col min="15623" max="15623" width="9.57421875" style="285" customWidth="1"/>
    <col min="15624" max="15624" width="9.140625" style="285" customWidth="1"/>
    <col min="15625" max="15628" width="9.7109375" style="285" bestFit="1" customWidth="1"/>
    <col min="15629" max="15870" width="9.140625" style="285" customWidth="1"/>
    <col min="15871" max="15871" width="3.7109375" style="285" customWidth="1"/>
    <col min="15872" max="15872" width="4.421875" style="285" customWidth="1"/>
    <col min="15873" max="15873" width="4.28125" style="285" customWidth="1"/>
    <col min="15874" max="15874" width="58.7109375" style="285" customWidth="1"/>
    <col min="15875" max="15875" width="11.28125" style="285" customWidth="1"/>
    <col min="15876" max="15876" width="10.00390625" style="285" customWidth="1"/>
    <col min="15877" max="15877" width="10.421875" style="285" customWidth="1"/>
    <col min="15878" max="15878" width="9.7109375" style="285" bestFit="1" customWidth="1"/>
    <col min="15879" max="15879" width="9.57421875" style="285" customWidth="1"/>
    <col min="15880" max="15880" width="9.140625" style="285" customWidth="1"/>
    <col min="15881" max="15884" width="9.7109375" style="285" bestFit="1" customWidth="1"/>
    <col min="15885" max="16126" width="9.140625" style="285" customWidth="1"/>
    <col min="16127" max="16127" width="3.7109375" style="285" customWidth="1"/>
    <col min="16128" max="16128" width="4.421875" style="285" customWidth="1"/>
    <col min="16129" max="16129" width="4.28125" style="285" customWidth="1"/>
    <col min="16130" max="16130" width="58.7109375" style="285" customWidth="1"/>
    <col min="16131" max="16131" width="11.28125" style="285" customWidth="1"/>
    <col min="16132" max="16132" width="10.00390625" style="285" customWidth="1"/>
    <col min="16133" max="16133" width="10.421875" style="285" customWidth="1"/>
    <col min="16134" max="16134" width="9.7109375" style="285" bestFit="1" customWidth="1"/>
    <col min="16135" max="16135" width="9.57421875" style="285" customWidth="1"/>
    <col min="16136" max="16136" width="9.140625" style="285" customWidth="1"/>
    <col min="16137" max="16140" width="9.7109375" style="285" bestFit="1" customWidth="1"/>
    <col min="16141" max="16384" width="9.140625" style="285" customWidth="1"/>
  </cols>
  <sheetData>
    <row r="1" spans="1:9" ht="12.75">
      <c r="A1" s="406" t="s">
        <v>370</v>
      </c>
      <c r="B1" s="406"/>
      <c r="C1" s="406"/>
      <c r="D1" s="406"/>
      <c r="E1" s="406"/>
      <c r="F1" s="406"/>
      <c r="G1" s="293"/>
      <c r="H1" s="294"/>
      <c r="I1" s="294"/>
    </row>
    <row r="2" spans="1:9" ht="12.75">
      <c r="A2" s="406" t="s">
        <v>263</v>
      </c>
      <c r="B2" s="406"/>
      <c r="C2" s="406"/>
      <c r="D2" s="406"/>
      <c r="E2" s="406"/>
      <c r="F2" s="406"/>
      <c r="G2" s="293"/>
      <c r="H2" s="294"/>
      <c r="I2" s="294"/>
    </row>
    <row r="3" spans="1:9" ht="12.75">
      <c r="A3" s="406" t="s">
        <v>283</v>
      </c>
      <c r="B3" s="406"/>
      <c r="C3" s="406"/>
      <c r="D3" s="406"/>
      <c r="E3" s="406"/>
      <c r="F3" s="406"/>
      <c r="G3" s="293"/>
      <c r="H3" s="294"/>
      <c r="I3" s="294"/>
    </row>
    <row r="4" spans="1:9" ht="12.75">
      <c r="A4" s="284"/>
      <c r="B4" s="284"/>
      <c r="C4" s="284"/>
      <c r="D4" s="284"/>
      <c r="E4" s="284"/>
      <c r="F4" s="284"/>
      <c r="G4" s="293"/>
      <c r="H4" s="294"/>
      <c r="I4" s="294"/>
    </row>
    <row r="5" spans="1:9" ht="12.75">
      <c r="A5" s="286"/>
      <c r="B5" s="286"/>
      <c r="C5" s="286"/>
      <c r="D5" s="286"/>
      <c r="E5" s="287" t="s">
        <v>172</v>
      </c>
      <c r="F5" s="287" t="s">
        <v>173</v>
      </c>
      <c r="G5" s="286"/>
      <c r="H5" s="286"/>
      <c r="I5" s="286"/>
    </row>
    <row r="6" spans="1:9" ht="12.75">
      <c r="A6" s="286"/>
      <c r="B6" s="286"/>
      <c r="C6" s="286"/>
      <c r="D6" s="286"/>
      <c r="E6" s="284">
        <f>+'Income Statement Cash Flows'!E6</f>
        <v>2018</v>
      </c>
      <c r="F6" s="284">
        <f>+'Income Statement Cash Flows'!F6</f>
        <v>2019</v>
      </c>
      <c r="G6" s="287"/>
      <c r="H6" s="286"/>
      <c r="I6" s="286"/>
    </row>
    <row r="7" spans="1:7" ht="12.75">
      <c r="A7" s="285">
        <v>1</v>
      </c>
      <c r="B7" s="285" t="s">
        <v>371</v>
      </c>
      <c r="E7" s="194">
        <f>+'Modeling results'!B4</f>
        <v>2903951</v>
      </c>
      <c r="F7" s="194">
        <f>+'Modeling results'!C4</f>
        <v>2897216</v>
      </c>
      <c r="G7" s="194"/>
    </row>
    <row r="8" spans="5:7" ht="12.75">
      <c r="E8" s="288"/>
      <c r="F8" s="288"/>
      <c r="G8" s="284"/>
    </row>
    <row r="9" spans="1:2" ht="12.75">
      <c r="A9" s="285">
        <v>2</v>
      </c>
      <c r="B9" s="285" t="s">
        <v>186</v>
      </c>
    </row>
    <row r="10" spans="1:7" ht="12.75">
      <c r="A10" s="285">
        <v>3</v>
      </c>
      <c r="C10" s="285" t="s">
        <v>187</v>
      </c>
      <c r="E10" s="195"/>
      <c r="F10" s="195"/>
      <c r="G10" s="195"/>
    </row>
    <row r="11" spans="1:7" ht="12.75">
      <c r="A11" s="285">
        <v>4</v>
      </c>
      <c r="D11" s="285" t="s">
        <v>372</v>
      </c>
      <c r="E11" s="195">
        <f>+'Income Statement Cash Flows'!E9</f>
        <v>703407.027</v>
      </c>
      <c r="F11" s="195">
        <f>+'Income Statement Cash Flows'!F9</f>
        <v>759721.338</v>
      </c>
      <c r="G11" s="195"/>
    </row>
    <row r="12" spans="1:7" ht="12.75">
      <c r="A12" s="285">
        <v>5</v>
      </c>
      <c r="D12" s="285" t="s">
        <v>373</v>
      </c>
      <c r="E12" s="195">
        <f>+'Income Statement Cash Flows'!E10</f>
        <v>22612.478</v>
      </c>
      <c r="F12" s="195">
        <f>+'Income Statement Cash Flows'!F10</f>
        <v>22996.89</v>
      </c>
      <c r="G12" s="195"/>
    </row>
    <row r="13" spans="1:7" ht="12.75">
      <c r="A13" s="285">
        <v>6</v>
      </c>
      <c r="D13" s="285" t="s">
        <v>190</v>
      </c>
      <c r="E13" s="195">
        <f>+'Income Statement Cash Flows'!E11</f>
        <v>1500</v>
      </c>
      <c r="F13" s="195">
        <f>+'Income Statement Cash Flows'!F11</f>
        <v>1534</v>
      </c>
      <c r="G13" s="195"/>
    </row>
    <row r="14" spans="1:7" ht="12.75">
      <c r="A14" s="285">
        <v>7</v>
      </c>
      <c r="D14" s="285" t="s">
        <v>191</v>
      </c>
      <c r="E14" s="195">
        <f>+'Income Statement Cash Flows'!E12</f>
        <v>100634.31286402777</v>
      </c>
      <c r="F14" s="195">
        <f>+'Income Statement Cash Flows'!F12</f>
        <v>99620.52050860555</v>
      </c>
      <c r="G14" s="195"/>
    </row>
    <row r="15" spans="1:7" ht="12.75">
      <c r="A15" s="285">
        <v>8</v>
      </c>
      <c r="D15" s="285" t="s">
        <v>143</v>
      </c>
      <c r="E15" s="195">
        <f>+'Income Statement Cash Flows'!E13</f>
        <v>0</v>
      </c>
      <c r="F15" s="195">
        <f>+'Income Statement Cash Flows'!F13</f>
        <v>12222</v>
      </c>
      <c r="G15" s="195"/>
    </row>
    <row r="16" spans="1:7" ht="12.75">
      <c r="A16" s="285">
        <v>9</v>
      </c>
      <c r="D16" s="285" t="s">
        <v>192</v>
      </c>
      <c r="E16" s="195">
        <f>+'Income Statement Cash Flows'!E14</f>
        <v>317902</v>
      </c>
      <c r="F16" s="195">
        <f>+'Income Statement Cash Flows'!F14</f>
        <v>317916</v>
      </c>
      <c r="G16" s="195"/>
    </row>
    <row r="17" spans="1:7" ht="12.75">
      <c r="A17" s="285">
        <v>10</v>
      </c>
      <c r="D17" s="285" t="s">
        <v>193</v>
      </c>
      <c r="E17" s="195">
        <f>+'Income Statement Cash Flows'!E15</f>
        <v>38331.832</v>
      </c>
      <c r="F17" s="195">
        <f>+'Income Statement Cash Flows'!F15</f>
        <v>39059.891</v>
      </c>
      <c r="G17" s="195"/>
    </row>
    <row r="18" spans="1:7" ht="12.75">
      <c r="A18" s="285">
        <v>11</v>
      </c>
      <c r="D18" s="285" t="s">
        <v>194</v>
      </c>
      <c r="E18" s="195">
        <f>+'Income Statement Cash Flows'!E16</f>
        <v>126267.003</v>
      </c>
      <c r="F18" s="195">
        <f>+'Income Statement Cash Flows'!F16</f>
        <v>126187.079</v>
      </c>
      <c r="G18" s="195"/>
    </row>
    <row r="19" spans="1:7" ht="12.75">
      <c r="A19" s="285">
        <v>13</v>
      </c>
      <c r="C19" s="285" t="s">
        <v>195</v>
      </c>
      <c r="E19" s="195">
        <f>+'Income Statement Cash Flows'!E17</f>
        <v>90411.461</v>
      </c>
      <c r="F19" s="195">
        <f>+'Income Statement Cash Flows'!F17</f>
        <v>94319.069</v>
      </c>
      <c r="G19" s="195"/>
    </row>
    <row r="20" spans="1:7" ht="12.75">
      <c r="A20" s="285">
        <v>14</v>
      </c>
      <c r="C20" s="285" t="s">
        <v>196</v>
      </c>
      <c r="E20" s="195">
        <f>+'Income Statement Cash Flows'!E18</f>
        <v>215044.4701217253</v>
      </c>
      <c r="F20" s="195">
        <f>+'Income Statement Cash Flows'!F18</f>
        <v>211640.23393102537</v>
      </c>
      <c r="G20" s="195"/>
    </row>
    <row r="21" spans="1:7" ht="12.75">
      <c r="A21" s="289">
        <v>15</v>
      </c>
      <c r="C21" s="285" t="s">
        <v>374</v>
      </c>
      <c r="E21" s="195">
        <f>+'Income Statement Cash Flows'!E19</f>
        <v>321820.531</v>
      </c>
      <c r="F21" s="195">
        <f>+'Income Statement Cash Flows'!F19</f>
        <v>322100.917</v>
      </c>
      <c r="G21" s="195"/>
    </row>
    <row r="22" spans="1:7" ht="12.75">
      <c r="A22" s="285">
        <v>16</v>
      </c>
      <c r="C22" s="285" t="s">
        <v>375</v>
      </c>
      <c r="E22" s="195">
        <f>+'Income Statement Cash Flows'!E20</f>
        <v>79353.238</v>
      </c>
      <c r="F22" s="195">
        <f>+'Income Statement Cash Flows'!F20</f>
        <v>81416.592</v>
      </c>
      <c r="G22" s="195"/>
    </row>
    <row r="23" spans="1:7" ht="12.75">
      <c r="A23" s="289">
        <v>17</v>
      </c>
      <c r="C23" s="285" t="s">
        <v>198</v>
      </c>
      <c r="E23" s="195">
        <f>+'Income Statement Cash Flows'!E21</f>
        <v>-128728.35724599985</v>
      </c>
      <c r="F23" s="195">
        <f>+'Income Statement Cash Flows'!F21</f>
        <v>-74167.95900000015</v>
      </c>
      <c r="G23" s="195"/>
    </row>
    <row r="24" spans="1:7" ht="12.75">
      <c r="A24" s="289">
        <v>18</v>
      </c>
      <c r="C24" s="285" t="s">
        <v>213</v>
      </c>
      <c r="E24" s="195">
        <f>+'Income Statement Cash Flows'!E22</f>
        <v>490561.8091259999</v>
      </c>
      <c r="F24" s="195">
        <f>+'Income Statement Cash Flows'!F22</f>
        <v>420704.15750000003</v>
      </c>
      <c r="G24" s="195"/>
    </row>
    <row r="25" spans="1:7" ht="12.75">
      <c r="A25" s="289">
        <v>19</v>
      </c>
      <c r="C25" s="289" t="s">
        <v>214</v>
      </c>
      <c r="E25" s="195">
        <f>+'Income Statement Cash Flows'!E23</f>
        <v>144091.87550166668</v>
      </c>
      <c r="F25" s="195">
        <f>+'Income Statement Cash Flows'!F23</f>
        <v>144065.45318666665</v>
      </c>
      <c r="G25" s="195"/>
    </row>
    <row r="26" spans="1:9" ht="12.75">
      <c r="A26" s="289">
        <v>20</v>
      </c>
      <c r="B26" s="289"/>
      <c r="C26" s="289" t="s">
        <v>215</v>
      </c>
      <c r="D26" s="289"/>
      <c r="E26" s="195">
        <f>+'Income Statement Cash Flows'!E24</f>
        <v>86795.86666666667</v>
      </c>
      <c r="F26" s="195">
        <f>+'Income Statement Cash Flows'!F24</f>
        <v>87458.29946666668</v>
      </c>
      <c r="G26" s="195"/>
      <c r="I26" s="195"/>
    </row>
    <row r="27" spans="1:7" ht="12.75">
      <c r="A27" s="289">
        <v>21</v>
      </c>
      <c r="B27" s="285" t="s">
        <v>216</v>
      </c>
      <c r="E27" s="195">
        <f>SUM(E11:E26)</f>
        <v>2610005.547034086</v>
      </c>
      <c r="F27" s="195">
        <f>SUM(F11:F26)</f>
        <v>2666794.4815929644</v>
      </c>
      <c r="G27" s="195"/>
    </row>
    <row r="28" spans="5:7" ht="12.75">
      <c r="E28" s="195"/>
      <c r="F28" s="195"/>
      <c r="G28" s="195"/>
    </row>
    <row r="29" spans="1:7" ht="12.75">
      <c r="A29" s="289">
        <v>22</v>
      </c>
      <c r="B29" s="290" t="s">
        <v>376</v>
      </c>
      <c r="C29" s="290"/>
      <c r="D29" s="290"/>
      <c r="E29" s="290"/>
      <c r="F29" s="290"/>
      <c r="G29" s="195"/>
    </row>
    <row r="30" spans="1:7" ht="12.75">
      <c r="A30" s="289">
        <v>23</v>
      </c>
      <c r="B30" s="290"/>
      <c r="C30" s="290" t="s">
        <v>202</v>
      </c>
      <c r="D30" s="290"/>
      <c r="E30" s="290"/>
      <c r="F30" s="290"/>
      <c r="G30" s="195"/>
    </row>
    <row r="31" spans="1:8" ht="12.75">
      <c r="A31" s="289">
        <v>24</v>
      </c>
      <c r="B31" s="290"/>
      <c r="C31" s="290"/>
      <c r="D31" s="290" t="s">
        <v>203</v>
      </c>
      <c r="E31" s="290">
        <f>+'Income Statement Cash Flows'!E29</f>
        <v>83294</v>
      </c>
      <c r="F31" s="290">
        <f>+'Income Statement Cash Flows'!F29</f>
        <v>82687</v>
      </c>
      <c r="G31" s="195"/>
      <c r="H31" s="211"/>
    </row>
    <row r="32" spans="1:8" ht="12.75">
      <c r="A32" s="289">
        <v>25</v>
      </c>
      <c r="B32" s="290"/>
      <c r="D32" s="290" t="s">
        <v>204</v>
      </c>
      <c r="E32" s="290">
        <f>+'Income Statement Cash Flows'!E30</f>
        <v>-45937</v>
      </c>
      <c r="F32" s="290">
        <f>+'Income Statement Cash Flows'!F30</f>
        <v>-45937</v>
      </c>
      <c r="G32" s="195"/>
      <c r="H32" s="211"/>
    </row>
    <row r="33" spans="1:8" ht="12.75">
      <c r="A33" s="289">
        <v>26</v>
      </c>
      <c r="B33" s="290"/>
      <c r="C33" s="290"/>
      <c r="D33" s="290" t="s">
        <v>205</v>
      </c>
      <c r="E33" s="290">
        <f>+'Income Statement Cash Flows'!E31</f>
        <v>56449</v>
      </c>
      <c r="F33" s="290">
        <f>+'Income Statement Cash Flows'!F31</f>
        <v>63302</v>
      </c>
      <c r="G33" s="195"/>
      <c r="H33" s="211"/>
    </row>
    <row r="34" spans="1:9" ht="12.75">
      <c r="A34" s="289">
        <v>27</v>
      </c>
      <c r="B34" s="289"/>
      <c r="D34" s="289" t="s">
        <v>206</v>
      </c>
      <c r="E34" s="290">
        <f>+'Income Statement Cash Flows'!E32</f>
        <v>0</v>
      </c>
      <c r="F34" s="290">
        <f>+'Income Statement Cash Flows'!F32</f>
        <v>0</v>
      </c>
      <c r="G34" s="195"/>
      <c r="H34" s="211"/>
      <c r="I34" s="296"/>
    </row>
    <row r="35" spans="1:9" ht="12.75">
      <c r="A35" s="289">
        <v>28</v>
      </c>
      <c r="B35" s="289"/>
      <c r="D35" s="289" t="s">
        <v>284</v>
      </c>
      <c r="E35" s="290">
        <f>+'Income Statement Cash Flows'!E33</f>
        <v>11627.714081461887</v>
      </c>
      <c r="F35" s="290">
        <f>+'Income Statement Cash Flows'!F33</f>
        <v>10747.46794684212</v>
      </c>
      <c r="G35" s="195"/>
      <c r="H35" s="211"/>
      <c r="I35" s="296"/>
    </row>
    <row r="36" spans="1:9" ht="12.75">
      <c r="A36" s="289">
        <v>29</v>
      </c>
      <c r="B36" s="289"/>
      <c r="C36" s="290" t="s">
        <v>207</v>
      </c>
      <c r="D36" s="290"/>
      <c r="E36" s="290">
        <f>+'Income Statement Cash Flows'!E34</f>
        <v>-8379.415325</v>
      </c>
      <c r="F36" s="290">
        <f>+'Income Statement Cash Flows'!F34</f>
        <v>-8307.435</v>
      </c>
      <c r="G36" s="195"/>
      <c r="H36" s="211"/>
      <c r="I36" s="296"/>
    </row>
    <row r="37" spans="1:9" ht="12.75">
      <c r="A37" s="289">
        <v>30</v>
      </c>
      <c r="B37" s="290"/>
      <c r="C37" s="290" t="s">
        <v>208</v>
      </c>
      <c r="D37" s="290"/>
      <c r="E37" s="388">
        <f>-'interest credit calculations'!C81</f>
        <v>-1482.909</v>
      </c>
      <c r="F37" s="388">
        <f>-'interest credit calculations'!D81</f>
        <v>-2341.0015</v>
      </c>
      <c r="G37" s="195"/>
      <c r="H37" s="389"/>
      <c r="I37" s="389"/>
    </row>
    <row r="38" spans="1:9" ht="12.75">
      <c r="A38" s="289">
        <v>31</v>
      </c>
      <c r="B38" s="290" t="s">
        <v>209</v>
      </c>
      <c r="C38" s="290"/>
      <c r="D38" s="290"/>
      <c r="E38" s="290">
        <f>SUM(E31:E37)</f>
        <v>95571.3897564619</v>
      </c>
      <c r="F38" s="290">
        <f>SUM(F31:F37)</f>
        <v>100151.03144684213</v>
      </c>
      <c r="G38" s="195"/>
      <c r="H38" s="389"/>
      <c r="I38" s="389"/>
    </row>
    <row r="39" spans="1:7" ht="12.75">
      <c r="A39" s="289">
        <v>32</v>
      </c>
      <c r="B39" s="290"/>
      <c r="C39" s="290"/>
      <c r="D39" s="290"/>
      <c r="E39" s="290"/>
      <c r="F39" s="290"/>
      <c r="G39" s="195"/>
    </row>
    <row r="40" spans="1:7" ht="12.75">
      <c r="A40" s="289">
        <v>33</v>
      </c>
      <c r="B40" s="290" t="s">
        <v>210</v>
      </c>
      <c r="C40" s="290"/>
      <c r="D40" s="290"/>
      <c r="E40" s="290">
        <f>E38+E27</f>
        <v>2705576.9367905483</v>
      </c>
      <c r="F40" s="290">
        <f>F38+F27</f>
        <v>2766945.5130398064</v>
      </c>
      <c r="G40" s="195"/>
    </row>
    <row r="41" spans="1:7" ht="12.75">
      <c r="A41" s="289">
        <v>34</v>
      </c>
      <c r="B41" s="290"/>
      <c r="C41" s="290"/>
      <c r="D41" s="290"/>
      <c r="E41" s="290"/>
      <c r="F41" s="290"/>
      <c r="G41" s="195"/>
    </row>
    <row r="42" spans="1:7" ht="12.75">
      <c r="A42" s="289">
        <v>35</v>
      </c>
      <c r="B42" s="290" t="s">
        <v>377</v>
      </c>
      <c r="C42" s="290"/>
      <c r="D42" s="290"/>
      <c r="E42" s="290">
        <f>E7-E40</f>
        <v>198374.06320945174</v>
      </c>
      <c r="F42" s="290">
        <f>F7-F40</f>
        <v>130270.48696019361</v>
      </c>
      <c r="G42" s="195"/>
    </row>
    <row r="43" spans="2:7" ht="12.75">
      <c r="B43" s="195"/>
      <c r="C43" s="195"/>
      <c r="D43" s="195"/>
      <c r="E43" s="195"/>
      <c r="F43" s="195"/>
      <c r="G43" s="195"/>
    </row>
    <row r="44" spans="2:12" ht="12.75">
      <c r="B44" s="195"/>
      <c r="C44" s="195"/>
      <c r="D44" s="195"/>
      <c r="E44" s="195"/>
      <c r="F44" s="195"/>
      <c r="G44" s="195"/>
      <c r="I44" s="284"/>
      <c r="J44" s="284"/>
      <c r="K44" s="284"/>
      <c r="L44" s="284"/>
    </row>
    <row r="45" spans="2:7" ht="12.75">
      <c r="B45" s="195"/>
      <c r="C45" s="195"/>
      <c r="D45" s="195"/>
      <c r="E45" s="195"/>
      <c r="F45" s="195"/>
      <c r="G45" s="195"/>
    </row>
    <row r="46" spans="2:12" ht="12.75">
      <c r="B46" s="195"/>
      <c r="C46" s="195"/>
      <c r="D46" s="195"/>
      <c r="E46" s="195"/>
      <c r="F46" s="195"/>
      <c r="G46" s="198"/>
      <c r="I46" s="195"/>
      <c r="J46" s="195"/>
      <c r="K46" s="195"/>
      <c r="L46" s="195"/>
    </row>
    <row r="47" spans="6:9" ht="12.75">
      <c r="F47" s="297"/>
      <c r="G47" s="195"/>
      <c r="I47" s="198"/>
    </row>
    <row r="48" spans="5:7" ht="12.75">
      <c r="E48" s="195"/>
      <c r="F48" s="195"/>
      <c r="G48" s="195"/>
    </row>
    <row r="49" spans="1:7" ht="12.75">
      <c r="A49" s="291"/>
      <c r="E49" s="195"/>
      <c r="F49" s="195"/>
      <c r="G49" s="195"/>
    </row>
    <row r="52" spans="1:7" ht="12.75">
      <c r="A52" s="406" t="s">
        <v>370</v>
      </c>
      <c r="B52" s="406"/>
      <c r="C52" s="406"/>
      <c r="D52" s="406"/>
      <c r="E52" s="406"/>
      <c r="F52" s="406"/>
      <c r="G52" s="293"/>
    </row>
    <row r="53" spans="1:7" ht="12.75">
      <c r="A53" s="406" t="s">
        <v>266</v>
      </c>
      <c r="B53" s="406"/>
      <c r="C53" s="406"/>
      <c r="D53" s="406"/>
      <c r="E53" s="406"/>
      <c r="F53" s="406"/>
      <c r="G53" s="293"/>
    </row>
    <row r="54" spans="1:7" ht="12.75">
      <c r="A54" s="406" t="s">
        <v>366</v>
      </c>
      <c r="B54" s="406"/>
      <c r="C54" s="406"/>
      <c r="D54" s="406"/>
      <c r="E54" s="406"/>
      <c r="F54" s="406"/>
      <c r="G54" s="293"/>
    </row>
    <row r="55" spans="1:9" ht="12.75">
      <c r="A55" s="195"/>
      <c r="B55" s="195"/>
      <c r="C55" s="195"/>
      <c r="D55" s="195"/>
      <c r="E55" s="195"/>
      <c r="F55" s="195"/>
      <c r="G55" s="195"/>
      <c r="H55" s="195"/>
      <c r="I55" s="195"/>
    </row>
    <row r="56" spans="1:9" ht="12.75">
      <c r="A56" s="195"/>
      <c r="B56" s="195"/>
      <c r="C56" s="195"/>
      <c r="D56" s="195"/>
      <c r="E56" s="287" t="s">
        <v>172</v>
      </c>
      <c r="F56" s="287" t="s">
        <v>173</v>
      </c>
      <c r="G56" s="287"/>
      <c r="H56" s="195"/>
      <c r="I56" s="287"/>
    </row>
    <row r="57" spans="1:9" ht="12.75">
      <c r="A57" s="195"/>
      <c r="B57" s="195"/>
      <c r="C57" s="195"/>
      <c r="D57" s="195"/>
      <c r="E57" s="284">
        <f>+'Income Statement Cash Flows'!E6</f>
        <v>2018</v>
      </c>
      <c r="F57" s="284">
        <f>+'Income Statement Cash Flows'!F6</f>
        <v>2019</v>
      </c>
      <c r="G57" s="284"/>
      <c r="H57" s="195"/>
      <c r="I57" s="287"/>
    </row>
    <row r="58" spans="1:9" ht="12.75">
      <c r="A58" s="195">
        <v>1</v>
      </c>
      <c r="B58" s="195" t="s">
        <v>270</v>
      </c>
      <c r="C58" s="195"/>
      <c r="D58" s="195"/>
      <c r="E58" s="195"/>
      <c r="F58" s="195"/>
      <c r="G58" s="195"/>
      <c r="H58" s="195"/>
      <c r="I58" s="195"/>
    </row>
    <row r="59" spans="1:9" ht="12.75" hidden="1">
      <c r="A59" s="195"/>
      <c r="B59" s="195"/>
      <c r="C59" s="195" t="s">
        <v>378</v>
      </c>
      <c r="D59" s="195"/>
      <c r="E59" s="195">
        <f>E7-E27-E31-E32-E33-E34-E36-E35</f>
        <v>196891.15420945192</v>
      </c>
      <c r="F59" s="195">
        <f>F7-F27-F31-F32-F33-F34-F36-F35</f>
        <v>127929.4854601935</v>
      </c>
      <c r="G59" s="195"/>
      <c r="H59" s="195"/>
      <c r="I59" s="195"/>
    </row>
    <row r="60" spans="1:9" ht="12.75">
      <c r="A60" s="195">
        <v>2</v>
      </c>
      <c r="B60" s="195"/>
      <c r="C60" s="195" t="s">
        <v>377</v>
      </c>
      <c r="D60" s="195"/>
      <c r="E60" s="195">
        <f>E42</f>
        <v>198374.06320945174</v>
      </c>
      <c r="F60" s="195">
        <f>F42</f>
        <v>130270.48696019361</v>
      </c>
      <c r="G60" s="195"/>
      <c r="H60" s="195"/>
      <c r="I60" s="195"/>
    </row>
    <row r="61" spans="1:9" ht="12.75">
      <c r="A61" s="195">
        <v>3</v>
      </c>
      <c r="B61" s="195"/>
      <c r="C61" s="195" t="s">
        <v>268</v>
      </c>
      <c r="D61" s="195"/>
      <c r="E61" s="195"/>
      <c r="F61" s="195"/>
      <c r="G61" s="195"/>
      <c r="H61" s="195"/>
      <c r="I61" s="195"/>
    </row>
    <row r="62" spans="1:9" ht="12.75">
      <c r="A62" s="195">
        <v>4</v>
      </c>
      <c r="B62" s="195"/>
      <c r="C62" s="195"/>
      <c r="D62" s="195" t="s">
        <v>284</v>
      </c>
      <c r="E62" s="195">
        <f>+E35</f>
        <v>11627.714081461887</v>
      </c>
      <c r="F62" s="195">
        <f>+F35</f>
        <v>10747.46794684212</v>
      </c>
      <c r="G62" s="195"/>
      <c r="H62" s="195"/>
      <c r="I62" s="195"/>
    </row>
    <row r="63" spans="1:9" ht="12.75">
      <c r="A63" s="195">
        <v>5</v>
      </c>
      <c r="B63" s="195"/>
      <c r="C63" s="195"/>
      <c r="D63" s="195" t="s">
        <v>269</v>
      </c>
      <c r="E63" s="195">
        <f>E25+E26</f>
        <v>230887.74216833335</v>
      </c>
      <c r="F63" s="195">
        <f>F25+F26</f>
        <v>231523.75265333333</v>
      </c>
      <c r="G63" s="195"/>
      <c r="H63" s="195"/>
      <c r="I63" s="195"/>
    </row>
    <row r="64" spans="1:9" ht="12.75">
      <c r="A64" s="195"/>
      <c r="B64" s="195"/>
      <c r="C64" s="195"/>
      <c r="D64" s="195" t="s">
        <v>660</v>
      </c>
      <c r="E64" s="195">
        <f>+'Income Statement Cash Flows'!E61</f>
        <v>0</v>
      </c>
      <c r="F64" s="195">
        <f>+'Income Statement Cash Flows'!F61</f>
        <v>0</v>
      </c>
      <c r="G64" s="195"/>
      <c r="H64" s="195"/>
      <c r="I64" s="195"/>
    </row>
    <row r="65" spans="1:9" ht="12.75">
      <c r="A65" s="195">
        <v>6</v>
      </c>
      <c r="B65" s="195"/>
      <c r="C65" s="195"/>
      <c r="D65" s="195" t="s">
        <v>204</v>
      </c>
      <c r="E65" s="195">
        <f>E32</f>
        <v>-45937</v>
      </c>
      <c r="F65" s="195">
        <f>F32</f>
        <v>-45937</v>
      </c>
      <c r="G65" s="195"/>
      <c r="H65" s="195"/>
      <c r="I65" s="195"/>
    </row>
    <row r="66" spans="1:9" ht="12.75">
      <c r="A66" s="195">
        <v>7</v>
      </c>
      <c r="B66" s="198"/>
      <c r="C66" s="294"/>
      <c r="D66" s="195" t="s">
        <v>379</v>
      </c>
      <c r="E66" s="195">
        <f>-3524+'interest credit calculations'!C151</f>
        <v>-34124</v>
      </c>
      <c r="F66" s="195">
        <f>E66</f>
        <v>-34124</v>
      </c>
      <c r="G66" s="195"/>
      <c r="H66" s="195"/>
      <c r="I66" s="195"/>
    </row>
    <row r="67" spans="1:9" ht="12.75">
      <c r="A67" s="195">
        <v>8</v>
      </c>
      <c r="B67" s="290"/>
      <c r="C67" s="289" t="s">
        <v>380</v>
      </c>
      <c r="D67" s="290"/>
      <c r="E67" s="290">
        <v>0</v>
      </c>
      <c r="F67" s="290">
        <f>-E67</f>
        <v>0</v>
      </c>
      <c r="G67" s="195"/>
      <c r="H67" s="195"/>
      <c r="I67" s="195"/>
    </row>
    <row r="68" spans="1:9" ht="12.75">
      <c r="A68" s="195">
        <v>9</v>
      </c>
      <c r="B68" s="195" t="s">
        <v>270</v>
      </c>
      <c r="C68" s="195"/>
      <c r="D68" s="195"/>
      <c r="E68" s="292">
        <f>SUM(E60:E67)</f>
        <v>360828.519459247</v>
      </c>
      <c r="F68" s="292">
        <f>SUM(F60:F67)</f>
        <v>292480.70756036905</v>
      </c>
      <c r="G68" s="292"/>
      <c r="H68" s="195"/>
      <c r="I68" s="292"/>
    </row>
    <row r="69" spans="1:9" ht="12.75">
      <c r="A69" s="195">
        <v>10</v>
      </c>
      <c r="B69" s="195"/>
      <c r="C69" s="195"/>
      <c r="D69" s="195"/>
      <c r="E69" s="195"/>
      <c r="F69" s="195"/>
      <c r="G69" s="195"/>
      <c r="H69" s="195"/>
      <c r="I69" s="195"/>
    </row>
    <row r="70" spans="1:9" ht="12.75">
      <c r="A70" s="195">
        <v>11</v>
      </c>
      <c r="B70" s="195" t="s">
        <v>381</v>
      </c>
      <c r="C70" s="195"/>
      <c r="D70" s="195"/>
      <c r="E70" s="195"/>
      <c r="F70" s="195"/>
      <c r="G70" s="195"/>
      <c r="H70" s="195"/>
      <c r="I70" s="195"/>
    </row>
    <row r="71" spans="1:9" ht="12.75">
      <c r="A71" s="195">
        <v>12</v>
      </c>
      <c r="B71" s="195"/>
      <c r="C71" s="195" t="s">
        <v>271</v>
      </c>
      <c r="D71" s="195"/>
      <c r="E71" s="195"/>
      <c r="F71" s="195"/>
      <c r="G71" s="195"/>
      <c r="H71" s="195"/>
      <c r="I71" s="195"/>
    </row>
    <row r="72" spans="1:9" ht="12.75">
      <c r="A72" s="195">
        <v>13</v>
      </c>
      <c r="B72" s="195"/>
      <c r="C72" s="195"/>
      <c r="D72" s="195" t="s">
        <v>382</v>
      </c>
      <c r="E72" s="195">
        <f>+'Income Statement Cash Flows'!E69</f>
        <v>-401786</v>
      </c>
      <c r="F72" s="195">
        <f>+'Income Statement Cash Flows'!F69</f>
        <v>-339696</v>
      </c>
      <c r="G72" s="195"/>
      <c r="H72" s="195"/>
      <c r="I72" s="195"/>
    </row>
    <row r="73" spans="1:9" ht="12.75">
      <c r="A73" s="195">
        <v>14</v>
      </c>
      <c r="B73" s="195"/>
      <c r="C73" s="195"/>
      <c r="D73" s="195" t="s">
        <v>309</v>
      </c>
      <c r="E73" s="195">
        <f>+'Income Statement Cash Flows'!E70</f>
        <v>0</v>
      </c>
      <c r="F73" s="195">
        <f>+'Income Statement Cash Flows'!F70</f>
        <v>0</v>
      </c>
      <c r="G73" s="195"/>
      <c r="H73" s="195"/>
      <c r="I73" s="195"/>
    </row>
    <row r="74" spans="1:9" ht="12.75">
      <c r="A74" s="195">
        <v>15</v>
      </c>
      <c r="B74" s="195"/>
      <c r="C74" s="195"/>
      <c r="D74" s="195" t="s">
        <v>259</v>
      </c>
      <c r="E74" s="195">
        <f>+'Income Statement Cash Flows'!E71</f>
        <v>-51000</v>
      </c>
      <c r="F74" s="195">
        <f>+'Income Statement Cash Flows'!F71</f>
        <v>-44000</v>
      </c>
      <c r="G74" s="195"/>
      <c r="H74" s="195"/>
      <c r="I74" s="195"/>
    </row>
    <row r="75" spans="1:9" ht="12.75">
      <c r="A75" s="195">
        <v>16</v>
      </c>
      <c r="B75" s="195" t="s">
        <v>381</v>
      </c>
      <c r="C75" s="195"/>
      <c r="D75" s="195"/>
      <c r="E75" s="195">
        <f>SUM(E72:E74)</f>
        <v>-452786</v>
      </c>
      <c r="F75" s="195">
        <f>SUM(F72:F74)</f>
        <v>-383696</v>
      </c>
      <c r="G75" s="195"/>
      <c r="H75" s="195"/>
      <c r="I75" s="195"/>
    </row>
    <row r="76" spans="1:9" ht="12.75">
      <c r="A76" s="195">
        <v>17</v>
      </c>
      <c r="B76" s="195"/>
      <c r="C76" s="195"/>
      <c r="D76" s="195"/>
      <c r="E76" s="195"/>
      <c r="F76" s="195"/>
      <c r="G76" s="195"/>
      <c r="H76" s="195"/>
      <c r="I76" s="195"/>
    </row>
    <row r="77" spans="1:9" ht="12.75">
      <c r="A77" s="195">
        <v>18</v>
      </c>
      <c r="B77" s="195" t="s">
        <v>383</v>
      </c>
      <c r="C77" s="195"/>
      <c r="D77" s="195"/>
      <c r="E77" s="195"/>
      <c r="F77" s="195"/>
      <c r="G77" s="195"/>
      <c r="H77" s="195"/>
      <c r="I77" s="195"/>
    </row>
    <row r="78" spans="1:9" ht="12.75">
      <c r="A78" s="195">
        <v>19</v>
      </c>
      <c r="C78" s="195" t="s">
        <v>384</v>
      </c>
      <c r="D78" s="195"/>
      <c r="E78" s="195">
        <f>E75*-1-E80-E83</f>
        <v>305600</v>
      </c>
      <c r="F78" s="195">
        <f>F75*-1-F80-F83</f>
        <v>319950</v>
      </c>
      <c r="G78" s="195"/>
      <c r="H78" s="195"/>
      <c r="I78" s="195"/>
    </row>
    <row r="79" spans="1:9" ht="12.75">
      <c r="A79" s="195">
        <v>21</v>
      </c>
      <c r="C79" s="195" t="s">
        <v>386</v>
      </c>
      <c r="D79" s="195"/>
      <c r="E79" s="195">
        <f>-'Federal Capital Costs'!C30</f>
        <v>-44150</v>
      </c>
      <c r="F79" s="195">
        <f>+'Income Statement Cash Flows'!F76</f>
        <v>-156250</v>
      </c>
      <c r="G79" s="195"/>
      <c r="H79" s="195"/>
      <c r="I79" s="195"/>
    </row>
    <row r="80" spans="1:9" ht="12.75">
      <c r="A80" s="195">
        <v>22</v>
      </c>
      <c r="C80" s="195" t="s">
        <v>277</v>
      </c>
      <c r="D80" s="195"/>
      <c r="E80" s="195">
        <f>+'Income Statement Cash Flows'!E77</f>
        <v>147186</v>
      </c>
      <c r="F80" s="195">
        <f>+'Income Statement Cash Flows'!F77</f>
        <v>63746</v>
      </c>
      <c r="G80" s="195"/>
      <c r="H80" s="195"/>
      <c r="I80" s="195"/>
    </row>
    <row r="81" spans="1:9" ht="12.75">
      <c r="A81" s="195">
        <v>23</v>
      </c>
      <c r="C81" s="195" t="s">
        <v>278</v>
      </c>
      <c r="D81" s="195"/>
      <c r="E81" s="195">
        <f>-'Federal Capital Costs'!C31</f>
        <v>-69070</v>
      </c>
      <c r="F81" s="195">
        <f>-'Federal Capital Costs'!D31</f>
        <v>-39372</v>
      </c>
      <c r="G81" s="195"/>
      <c r="H81" s="195"/>
      <c r="I81" s="195"/>
    </row>
    <row r="82" spans="1:9" ht="12.75">
      <c r="A82" s="195"/>
      <c r="C82" s="195" t="s">
        <v>661</v>
      </c>
      <c r="D82" s="195"/>
      <c r="E82" s="195">
        <f>+'Income Statement Cash Flows'!E79</f>
        <v>-220252</v>
      </c>
      <c r="F82" s="195">
        <f>+'Income Statement Cash Flows'!F79</f>
        <v>0</v>
      </c>
      <c r="G82" s="195"/>
      <c r="H82" s="195"/>
      <c r="I82" s="195"/>
    </row>
    <row r="83" spans="1:9" ht="12.75">
      <c r="A83" s="195"/>
      <c r="C83" s="195" t="s">
        <v>385</v>
      </c>
      <c r="D83" s="195"/>
      <c r="E83" s="195">
        <f>+'Income Statement Cash Flows'!E80</f>
        <v>0</v>
      </c>
      <c r="F83" s="195">
        <v>0</v>
      </c>
      <c r="G83" s="195"/>
      <c r="H83" s="195"/>
      <c r="I83" s="195"/>
    </row>
    <row r="84" spans="1:9" ht="12.75">
      <c r="A84" s="195">
        <v>24</v>
      </c>
      <c r="C84" s="195" t="s">
        <v>279</v>
      </c>
      <c r="D84" s="195"/>
      <c r="E84" s="195">
        <f>+'Income Statement Cash Flows'!E81</f>
        <v>-27234</v>
      </c>
      <c r="F84" s="195">
        <f>+'Income Statement Cash Flows'!F81</f>
        <v>-56573</v>
      </c>
      <c r="G84" s="195"/>
      <c r="H84" s="195"/>
      <c r="I84" s="195"/>
    </row>
    <row r="85" spans="1:9" ht="12.75">
      <c r="A85" s="195">
        <v>25</v>
      </c>
      <c r="B85" s="195" t="s">
        <v>387</v>
      </c>
      <c r="C85" s="195"/>
      <c r="D85" s="195"/>
      <c r="E85" s="195">
        <f>SUM(E78:E84)</f>
        <v>92080</v>
      </c>
      <c r="F85" s="195">
        <f>SUM(F78:F84)</f>
        <v>131501</v>
      </c>
      <c r="G85" s="195"/>
      <c r="H85" s="195"/>
      <c r="I85" s="195"/>
    </row>
    <row r="86" spans="1:9" ht="12.75">
      <c r="A86" s="195">
        <v>26</v>
      </c>
      <c r="B86" s="195"/>
      <c r="C86" s="195"/>
      <c r="D86" s="195"/>
      <c r="E86" s="195"/>
      <c r="F86" s="195"/>
      <c r="G86" s="195"/>
      <c r="H86" s="195"/>
      <c r="I86" s="195"/>
    </row>
    <row r="87" spans="1:9" ht="12.75">
      <c r="A87" s="195">
        <v>27</v>
      </c>
      <c r="B87" s="290" t="s">
        <v>281</v>
      </c>
      <c r="C87" s="290"/>
      <c r="D87" s="290"/>
      <c r="E87" s="290">
        <f>E68+E75+E85</f>
        <v>122.51945924700703</v>
      </c>
      <c r="F87" s="290">
        <f>F68+F75+F85</f>
        <v>40285.70756036905</v>
      </c>
      <c r="G87" s="195"/>
      <c r="H87" s="195"/>
      <c r="I87" s="195"/>
    </row>
    <row r="88" spans="1:9" ht="12.75">
      <c r="A88" s="195"/>
      <c r="B88" s="195"/>
      <c r="C88" s="195"/>
      <c r="D88" s="195"/>
      <c r="E88" s="195"/>
      <c r="F88" s="195"/>
      <c r="G88" s="195"/>
      <c r="H88" s="195"/>
      <c r="I88" s="195"/>
    </row>
    <row r="89" spans="1:9" ht="12.75">
      <c r="A89" s="195"/>
      <c r="B89" s="195"/>
      <c r="C89" s="195"/>
      <c r="D89" s="195"/>
      <c r="E89" s="195"/>
      <c r="F89" s="195"/>
      <c r="G89" s="195"/>
      <c r="H89" s="195"/>
      <c r="I89" s="195"/>
    </row>
    <row r="90" spans="1:9" ht="12.75">
      <c r="A90" s="195"/>
      <c r="B90" s="195"/>
      <c r="C90" s="195"/>
      <c r="D90" s="297"/>
      <c r="E90" s="195"/>
      <c r="F90" s="195"/>
      <c r="G90" s="195"/>
      <c r="H90" s="195"/>
      <c r="I90" s="195"/>
    </row>
    <row r="91" spans="3:9" ht="12.75">
      <c r="C91" s="195"/>
      <c r="D91" s="297"/>
      <c r="E91" s="195"/>
      <c r="F91" s="195"/>
      <c r="G91" s="195"/>
      <c r="H91" s="195"/>
      <c r="I91" s="195"/>
    </row>
    <row r="92" spans="1:9" ht="12.75">
      <c r="A92" s="195"/>
      <c r="C92" s="195"/>
      <c r="D92" s="297"/>
      <c r="E92" s="195"/>
      <c r="F92" s="195"/>
      <c r="G92" s="195"/>
      <c r="H92" s="195"/>
      <c r="I92" s="195"/>
    </row>
    <row r="93" spans="1:9" ht="12.75">
      <c r="A93" s="195"/>
      <c r="B93" s="195"/>
      <c r="C93" s="195" t="s">
        <v>388</v>
      </c>
      <c r="D93" s="195"/>
      <c r="E93" s="195">
        <f>E59+E63+E62+E65+E66+E75+E85+'interest credit calculations'!C85</f>
        <v>8.610459247138351</v>
      </c>
      <c r="F93" s="195">
        <f>F59+F63+F62+F65+F66+F75+F85+'interest credit calculations'!D85</f>
        <v>40552.706060368975</v>
      </c>
      <c r="G93" s="195"/>
      <c r="H93" s="195"/>
      <c r="I93" s="195"/>
    </row>
    <row r="94" spans="1:9" ht="12.75">
      <c r="A94" s="195"/>
      <c r="B94" s="195"/>
      <c r="G94" s="195"/>
      <c r="H94" s="195"/>
      <c r="I94" s="195"/>
    </row>
    <row r="95" spans="5:7" ht="12.75">
      <c r="E95" s="195"/>
      <c r="F95" s="195"/>
      <c r="G95" s="195"/>
    </row>
    <row r="96" spans="5:7" ht="12.75">
      <c r="E96" s="195"/>
      <c r="F96" s="195"/>
      <c r="G96" s="195"/>
    </row>
    <row r="97" spans="2:7" ht="12.75">
      <c r="B97" s="195"/>
      <c r="C97" s="195"/>
      <c r="D97" s="195"/>
      <c r="E97" s="195"/>
      <c r="F97" s="195"/>
      <c r="G97" s="195"/>
    </row>
    <row r="98" spans="5:7" ht="12.75">
      <c r="E98" s="195"/>
      <c r="F98" s="195"/>
      <c r="G98" s="195"/>
    </row>
    <row r="99" spans="5:7" ht="12.75">
      <c r="E99" s="195"/>
      <c r="F99" s="195"/>
      <c r="G99" s="195"/>
    </row>
    <row r="100" spans="5:7" ht="12.75">
      <c r="E100" s="195"/>
      <c r="F100" s="195"/>
      <c r="G100" s="195"/>
    </row>
    <row r="101" spans="5:7" ht="12.75">
      <c r="E101" s="195"/>
      <c r="F101" s="195"/>
      <c r="G101" s="195"/>
    </row>
    <row r="102" spans="5:7" ht="12.75">
      <c r="E102" s="195"/>
      <c r="F102" s="195"/>
      <c r="G102" s="195"/>
    </row>
    <row r="103" spans="5:7" ht="12.75">
      <c r="E103" s="195"/>
      <c r="F103" s="195"/>
      <c r="G103" s="195"/>
    </row>
    <row r="104" spans="5:7" ht="12.75">
      <c r="E104" s="195"/>
      <c r="F104" s="195"/>
      <c r="G104" s="195"/>
    </row>
    <row r="105" spans="5:7" ht="12.75">
      <c r="E105" s="195"/>
      <c r="F105" s="195"/>
      <c r="G105" s="195"/>
    </row>
    <row r="106" spans="5:7" ht="12.75">
      <c r="E106" s="195"/>
      <c r="F106" s="195"/>
      <c r="G106" s="195"/>
    </row>
    <row r="107" spans="5:7" ht="12.75">
      <c r="E107" s="195"/>
      <c r="F107" s="195"/>
      <c r="G107" s="195"/>
    </row>
    <row r="108" spans="5:7" ht="12.75">
      <c r="E108" s="195"/>
      <c r="F108" s="195"/>
      <c r="G108" s="195"/>
    </row>
    <row r="109" spans="5:7" ht="12.75">
      <c r="E109" s="195"/>
      <c r="F109" s="195"/>
      <c r="G109" s="195"/>
    </row>
    <row r="110" spans="5:7" ht="12.75">
      <c r="E110" s="195"/>
      <c r="F110" s="195"/>
      <c r="G110" s="195"/>
    </row>
    <row r="111" spans="5:7" ht="12.75">
      <c r="E111" s="195"/>
      <c r="F111" s="195"/>
      <c r="G111" s="195"/>
    </row>
    <row r="112" spans="5:7" ht="12.75">
      <c r="E112" s="195"/>
      <c r="F112" s="195"/>
      <c r="G112" s="195"/>
    </row>
    <row r="113" spans="5:7" ht="12.75">
      <c r="E113" s="195"/>
      <c r="F113" s="195"/>
      <c r="G113" s="195"/>
    </row>
    <row r="114" spans="5:7" ht="12.75">
      <c r="E114" s="195"/>
      <c r="F114" s="195"/>
      <c r="G114" s="195"/>
    </row>
    <row r="115" spans="5:7" ht="12.75">
      <c r="E115" s="195"/>
      <c r="F115" s="195"/>
      <c r="G115" s="195"/>
    </row>
    <row r="116" spans="5:7" ht="12.75">
      <c r="E116" s="195"/>
      <c r="F116" s="195"/>
      <c r="G116" s="195"/>
    </row>
    <row r="117" spans="5:7" ht="12.75">
      <c r="E117" s="195"/>
      <c r="F117" s="195"/>
      <c r="G117" s="195"/>
    </row>
    <row r="118" spans="5:7" ht="12.75">
      <c r="E118" s="195"/>
      <c r="F118" s="195"/>
      <c r="G118" s="195"/>
    </row>
    <row r="119" spans="5:7" ht="12.75">
      <c r="E119" s="195"/>
      <c r="F119" s="195"/>
      <c r="G119" s="195"/>
    </row>
    <row r="120" spans="5:7" ht="12.75">
      <c r="E120" s="195"/>
      <c r="F120" s="195"/>
      <c r="G120" s="195"/>
    </row>
    <row r="121" spans="5:7" ht="12.75">
      <c r="E121" s="195"/>
      <c r="F121" s="195"/>
      <c r="G121" s="195"/>
    </row>
    <row r="122" spans="5:7" ht="12.75">
      <c r="E122" s="195"/>
      <c r="F122" s="195"/>
      <c r="G122" s="195"/>
    </row>
    <row r="123" spans="5:7" ht="12.75">
      <c r="E123" s="195"/>
      <c r="F123" s="195"/>
      <c r="G123" s="195"/>
    </row>
    <row r="124" spans="5:7" ht="12.75">
      <c r="E124" s="195"/>
      <c r="F124" s="195"/>
      <c r="G124" s="195"/>
    </row>
    <row r="125" spans="5:7" ht="12.75">
      <c r="E125" s="195"/>
      <c r="F125" s="195"/>
      <c r="G125" s="195"/>
    </row>
    <row r="126" spans="5:7" ht="12.75">
      <c r="E126" s="195"/>
      <c r="F126" s="195"/>
      <c r="G126" s="195"/>
    </row>
    <row r="127" spans="5:7" ht="12.75">
      <c r="E127" s="195"/>
      <c r="F127" s="195"/>
      <c r="G127" s="195"/>
    </row>
    <row r="128" spans="5:7" ht="12.75">
      <c r="E128" s="195"/>
      <c r="F128" s="195"/>
      <c r="G128" s="195"/>
    </row>
    <row r="129" spans="5:7" ht="12.75">
      <c r="E129" s="195"/>
      <c r="F129" s="195"/>
      <c r="G129" s="195"/>
    </row>
    <row r="130" spans="5:7" ht="12.75">
      <c r="E130" s="195"/>
      <c r="F130" s="195"/>
      <c r="G130" s="195"/>
    </row>
    <row r="131" spans="5:7" ht="12.75">
      <c r="E131" s="195"/>
      <c r="F131" s="195"/>
      <c r="G131" s="195"/>
    </row>
    <row r="132" spans="5:7" ht="12.75">
      <c r="E132" s="195"/>
      <c r="F132" s="195"/>
      <c r="G132" s="195"/>
    </row>
    <row r="133" spans="5:7" ht="12.75">
      <c r="E133" s="195"/>
      <c r="F133" s="195"/>
      <c r="G133" s="195"/>
    </row>
    <row r="134" spans="5:7" ht="12.75">
      <c r="E134" s="195"/>
      <c r="F134" s="195"/>
      <c r="G134" s="195"/>
    </row>
    <row r="135" spans="5:7" ht="12.75">
      <c r="E135" s="195"/>
      <c r="F135" s="195"/>
      <c r="G135" s="195"/>
    </row>
    <row r="136" spans="5:7" ht="12.75">
      <c r="E136" s="195"/>
      <c r="F136" s="195"/>
      <c r="G136" s="195"/>
    </row>
    <row r="137" spans="5:7" ht="12.75">
      <c r="E137" s="195"/>
      <c r="F137" s="195"/>
      <c r="G137" s="195"/>
    </row>
    <row r="138" spans="5:7" ht="12.75">
      <c r="E138" s="195"/>
      <c r="F138" s="195"/>
      <c r="G138" s="195"/>
    </row>
    <row r="139" spans="5:7" ht="12.75">
      <c r="E139" s="195"/>
      <c r="F139" s="195"/>
      <c r="G139" s="195"/>
    </row>
    <row r="140" spans="5:7" ht="12.75">
      <c r="E140" s="195"/>
      <c r="F140" s="195"/>
      <c r="G140" s="195"/>
    </row>
    <row r="141" spans="5:7" ht="12.75">
      <c r="E141" s="195"/>
      <c r="F141" s="195"/>
      <c r="G141" s="195"/>
    </row>
    <row r="142" spans="5:7" ht="12.75">
      <c r="E142" s="195"/>
      <c r="F142" s="195"/>
      <c r="G142" s="195"/>
    </row>
    <row r="143" spans="5:7" ht="12.75">
      <c r="E143" s="195"/>
      <c r="F143" s="195"/>
      <c r="G143" s="195"/>
    </row>
    <row r="144" spans="5:7" ht="12.75">
      <c r="E144" s="195"/>
      <c r="F144" s="195"/>
      <c r="G144" s="195"/>
    </row>
    <row r="145" spans="5:7" ht="12.75">
      <c r="E145" s="195"/>
      <c r="F145" s="195"/>
      <c r="G145" s="195"/>
    </row>
    <row r="146" spans="5:7" ht="12.75">
      <c r="E146" s="195"/>
      <c r="F146" s="195"/>
      <c r="G146" s="195"/>
    </row>
  </sheetData>
  <mergeCells count="6">
    <mergeCell ref="A54:F54"/>
    <mergeCell ref="A1:F1"/>
    <mergeCell ref="A2:F2"/>
    <mergeCell ref="A3:F3"/>
    <mergeCell ref="A52:F52"/>
    <mergeCell ref="A53:F5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AJ152"/>
  <sheetViews>
    <sheetView zoomScale="75" zoomScaleNormal="75" workbookViewId="0" topLeftCell="A9">
      <selection activeCell="O65" sqref="O65"/>
    </sheetView>
  </sheetViews>
  <sheetFormatPr defaultColWidth="11.00390625" defaultRowHeight="12.75"/>
  <cols>
    <col min="1" max="1" width="7.57421875" style="194" customWidth="1"/>
    <col min="2" max="2" width="15.57421875" style="195" customWidth="1"/>
    <col min="3" max="4" width="17.7109375" style="195" customWidth="1"/>
    <col min="5" max="6" width="18.7109375" style="195" customWidth="1"/>
    <col min="7" max="7" width="19.00390625" style="195" customWidth="1"/>
    <col min="8" max="8" width="17.421875" style="195" customWidth="1"/>
    <col min="9" max="9" width="16.7109375" style="195" customWidth="1"/>
    <col min="10" max="10" width="18.8515625" style="195" customWidth="1"/>
    <col min="11" max="11" width="22.00390625" style="211" customWidth="1"/>
    <col min="12" max="12" width="19.00390625" style="211" customWidth="1"/>
    <col min="13" max="13" width="14.140625" style="211" customWidth="1"/>
    <col min="14" max="14" width="11.00390625" style="211" customWidth="1"/>
    <col min="15" max="16" width="25.00390625" style="211" customWidth="1"/>
    <col min="17" max="17" width="1.8515625" style="195" customWidth="1"/>
    <col min="18" max="18" width="17.8515625" style="195" customWidth="1"/>
    <col min="19" max="19" width="1.8515625" style="195" customWidth="1"/>
    <col min="20" max="20" width="19.00390625" style="195" customWidth="1"/>
    <col min="21" max="21" width="1.8515625" style="195" customWidth="1"/>
    <col min="22" max="22" width="16.7109375" style="195" customWidth="1"/>
    <col min="23" max="23" width="1.8515625" style="195" customWidth="1"/>
    <col min="24" max="24" width="16.7109375" style="195" customWidth="1"/>
    <col min="25" max="25" width="1.8515625" style="195" customWidth="1"/>
    <col min="26" max="26" width="16.7109375" style="195" customWidth="1"/>
    <col min="27" max="27" width="1.8515625" style="195" customWidth="1"/>
    <col min="28" max="28" width="16.7109375" style="195" customWidth="1"/>
    <col min="29" max="29" width="1.8515625" style="195" customWidth="1"/>
    <col min="30" max="30" width="17.8515625" style="195" customWidth="1"/>
    <col min="31" max="31" width="5.28125" style="195" customWidth="1"/>
    <col min="32" max="32" width="16.7109375" style="195" customWidth="1"/>
    <col min="33" max="33" width="5.28125" style="195" customWidth="1"/>
    <col min="34" max="34" width="14.421875" style="195" customWidth="1"/>
    <col min="35" max="35" width="1.8515625" style="195" customWidth="1"/>
    <col min="36" max="36" width="16.7109375" style="195" customWidth="1"/>
    <col min="37" max="246" width="11.00390625" style="195" customWidth="1"/>
    <col min="247" max="247" width="7.57421875" style="195" customWidth="1"/>
    <col min="248" max="248" width="15.57421875" style="195" customWidth="1"/>
    <col min="249" max="249" width="20.140625" style="195" customWidth="1"/>
    <col min="250" max="250" width="2.28125" style="195" customWidth="1"/>
    <col min="251" max="251" width="17.421875" style="195" customWidth="1"/>
    <col min="252" max="252" width="1.8515625" style="195" customWidth="1"/>
    <col min="253" max="253" width="18.7109375" style="195" customWidth="1"/>
    <col min="254" max="254" width="1.8515625" style="195" customWidth="1"/>
    <col min="255" max="255" width="23.00390625" style="195" customWidth="1"/>
    <col min="256" max="256" width="1.8515625" style="195" customWidth="1"/>
    <col min="257" max="257" width="17.421875" style="195" customWidth="1"/>
    <col min="258" max="258" width="3.00390625" style="195" customWidth="1"/>
    <col min="259" max="259" width="16.28125" style="195" customWidth="1"/>
    <col min="260" max="260" width="3.00390625" style="195" customWidth="1"/>
    <col min="261" max="261" width="14.140625" style="195" customWidth="1"/>
    <col min="262" max="262" width="2.00390625" style="195" customWidth="1"/>
    <col min="263" max="263" width="15.8515625" style="195" customWidth="1"/>
    <col min="264" max="264" width="3.140625" style="195" customWidth="1"/>
    <col min="265" max="265" width="17.8515625" style="195" customWidth="1"/>
    <col min="266" max="266" width="2.57421875" style="195" customWidth="1"/>
    <col min="267" max="267" width="15.57421875" style="195" customWidth="1"/>
    <col min="268" max="268" width="1.8515625" style="195" customWidth="1"/>
    <col min="269" max="269" width="14.140625" style="195" customWidth="1"/>
    <col min="270" max="270" width="11.00390625" style="195" customWidth="1"/>
    <col min="271" max="272" width="25.00390625" style="195" customWidth="1"/>
    <col min="273" max="273" width="1.8515625" style="195" customWidth="1"/>
    <col min="274" max="274" width="17.8515625" style="195" customWidth="1"/>
    <col min="275" max="275" width="1.8515625" style="195" customWidth="1"/>
    <col min="276" max="276" width="19.00390625" style="195" customWidth="1"/>
    <col min="277" max="277" width="1.8515625" style="195" customWidth="1"/>
    <col min="278" max="278" width="16.7109375" style="195" customWidth="1"/>
    <col min="279" max="279" width="1.8515625" style="195" customWidth="1"/>
    <col min="280" max="280" width="16.7109375" style="195" customWidth="1"/>
    <col min="281" max="281" width="1.8515625" style="195" customWidth="1"/>
    <col min="282" max="282" width="16.7109375" style="195" customWidth="1"/>
    <col min="283" max="283" width="1.8515625" style="195" customWidth="1"/>
    <col min="284" max="284" width="16.7109375" style="195" customWidth="1"/>
    <col min="285" max="285" width="1.8515625" style="195" customWidth="1"/>
    <col min="286" max="286" width="17.8515625" style="195" customWidth="1"/>
    <col min="287" max="287" width="5.28125" style="195" customWidth="1"/>
    <col min="288" max="288" width="16.7109375" style="195" customWidth="1"/>
    <col min="289" max="289" width="5.28125" style="195" customWidth="1"/>
    <col min="290" max="290" width="14.421875" style="195" customWidth="1"/>
    <col min="291" max="291" width="1.8515625" style="195" customWidth="1"/>
    <col min="292" max="292" width="16.7109375" style="195" customWidth="1"/>
    <col min="293" max="502" width="11.00390625" style="195" customWidth="1"/>
    <col min="503" max="503" width="7.57421875" style="195" customWidth="1"/>
    <col min="504" max="504" width="15.57421875" style="195" customWidth="1"/>
    <col min="505" max="505" width="20.140625" style="195" customWidth="1"/>
    <col min="506" max="506" width="2.28125" style="195" customWidth="1"/>
    <col min="507" max="507" width="17.421875" style="195" customWidth="1"/>
    <col min="508" max="508" width="1.8515625" style="195" customWidth="1"/>
    <col min="509" max="509" width="18.7109375" style="195" customWidth="1"/>
    <col min="510" max="510" width="1.8515625" style="195" customWidth="1"/>
    <col min="511" max="511" width="23.00390625" style="195" customWidth="1"/>
    <col min="512" max="512" width="1.8515625" style="195" customWidth="1"/>
    <col min="513" max="513" width="17.421875" style="195" customWidth="1"/>
    <col min="514" max="514" width="3.00390625" style="195" customWidth="1"/>
    <col min="515" max="515" width="16.28125" style="195" customWidth="1"/>
    <col min="516" max="516" width="3.00390625" style="195" customWidth="1"/>
    <col min="517" max="517" width="14.140625" style="195" customWidth="1"/>
    <col min="518" max="518" width="2.00390625" style="195" customWidth="1"/>
    <col min="519" max="519" width="15.8515625" style="195" customWidth="1"/>
    <col min="520" max="520" width="3.140625" style="195" customWidth="1"/>
    <col min="521" max="521" width="17.8515625" style="195" customWidth="1"/>
    <col min="522" max="522" width="2.57421875" style="195" customWidth="1"/>
    <col min="523" max="523" width="15.57421875" style="195" customWidth="1"/>
    <col min="524" max="524" width="1.8515625" style="195" customWidth="1"/>
    <col min="525" max="525" width="14.140625" style="195" customWidth="1"/>
    <col min="526" max="526" width="11.00390625" style="195" customWidth="1"/>
    <col min="527" max="528" width="25.00390625" style="195" customWidth="1"/>
    <col min="529" max="529" width="1.8515625" style="195" customWidth="1"/>
    <col min="530" max="530" width="17.8515625" style="195" customWidth="1"/>
    <col min="531" max="531" width="1.8515625" style="195" customWidth="1"/>
    <col min="532" max="532" width="19.00390625" style="195" customWidth="1"/>
    <col min="533" max="533" width="1.8515625" style="195" customWidth="1"/>
    <col min="534" max="534" width="16.7109375" style="195" customWidth="1"/>
    <col min="535" max="535" width="1.8515625" style="195" customWidth="1"/>
    <col min="536" max="536" width="16.7109375" style="195" customWidth="1"/>
    <col min="537" max="537" width="1.8515625" style="195" customWidth="1"/>
    <col min="538" max="538" width="16.7109375" style="195" customWidth="1"/>
    <col min="539" max="539" width="1.8515625" style="195" customWidth="1"/>
    <col min="540" max="540" width="16.7109375" style="195" customWidth="1"/>
    <col min="541" max="541" width="1.8515625" style="195" customWidth="1"/>
    <col min="542" max="542" width="17.8515625" style="195" customWidth="1"/>
    <col min="543" max="543" width="5.28125" style="195" customWidth="1"/>
    <col min="544" max="544" width="16.7109375" style="195" customWidth="1"/>
    <col min="545" max="545" width="5.28125" style="195" customWidth="1"/>
    <col min="546" max="546" width="14.421875" style="195" customWidth="1"/>
    <col min="547" max="547" width="1.8515625" style="195" customWidth="1"/>
    <col min="548" max="548" width="16.7109375" style="195" customWidth="1"/>
    <col min="549" max="758" width="11.00390625" style="195" customWidth="1"/>
    <col min="759" max="759" width="7.57421875" style="195" customWidth="1"/>
    <col min="760" max="760" width="15.57421875" style="195" customWidth="1"/>
    <col min="761" max="761" width="20.140625" style="195" customWidth="1"/>
    <col min="762" max="762" width="2.28125" style="195" customWidth="1"/>
    <col min="763" max="763" width="17.421875" style="195" customWidth="1"/>
    <col min="764" max="764" width="1.8515625" style="195" customWidth="1"/>
    <col min="765" max="765" width="18.7109375" style="195" customWidth="1"/>
    <col min="766" max="766" width="1.8515625" style="195" customWidth="1"/>
    <col min="767" max="767" width="23.00390625" style="195" customWidth="1"/>
    <col min="768" max="768" width="1.8515625" style="195" customWidth="1"/>
    <col min="769" max="769" width="17.421875" style="195" customWidth="1"/>
    <col min="770" max="770" width="3.00390625" style="195" customWidth="1"/>
    <col min="771" max="771" width="16.28125" style="195" customWidth="1"/>
    <col min="772" max="772" width="3.00390625" style="195" customWidth="1"/>
    <col min="773" max="773" width="14.140625" style="195" customWidth="1"/>
    <col min="774" max="774" width="2.00390625" style="195" customWidth="1"/>
    <col min="775" max="775" width="15.8515625" style="195" customWidth="1"/>
    <col min="776" max="776" width="3.140625" style="195" customWidth="1"/>
    <col min="777" max="777" width="17.8515625" style="195" customWidth="1"/>
    <col min="778" max="778" width="2.57421875" style="195" customWidth="1"/>
    <col min="779" max="779" width="15.57421875" style="195" customWidth="1"/>
    <col min="780" max="780" width="1.8515625" style="195" customWidth="1"/>
    <col min="781" max="781" width="14.140625" style="195" customWidth="1"/>
    <col min="782" max="782" width="11.00390625" style="195" customWidth="1"/>
    <col min="783" max="784" width="25.00390625" style="195" customWidth="1"/>
    <col min="785" max="785" width="1.8515625" style="195" customWidth="1"/>
    <col min="786" max="786" width="17.8515625" style="195" customWidth="1"/>
    <col min="787" max="787" width="1.8515625" style="195" customWidth="1"/>
    <col min="788" max="788" width="19.00390625" style="195" customWidth="1"/>
    <col min="789" max="789" width="1.8515625" style="195" customWidth="1"/>
    <col min="790" max="790" width="16.7109375" style="195" customWidth="1"/>
    <col min="791" max="791" width="1.8515625" style="195" customWidth="1"/>
    <col min="792" max="792" width="16.7109375" style="195" customWidth="1"/>
    <col min="793" max="793" width="1.8515625" style="195" customWidth="1"/>
    <col min="794" max="794" width="16.7109375" style="195" customWidth="1"/>
    <col min="795" max="795" width="1.8515625" style="195" customWidth="1"/>
    <col min="796" max="796" width="16.7109375" style="195" customWidth="1"/>
    <col min="797" max="797" width="1.8515625" style="195" customWidth="1"/>
    <col min="798" max="798" width="17.8515625" style="195" customWidth="1"/>
    <col min="799" max="799" width="5.28125" style="195" customWidth="1"/>
    <col min="800" max="800" width="16.7109375" style="195" customWidth="1"/>
    <col min="801" max="801" width="5.28125" style="195" customWidth="1"/>
    <col min="802" max="802" width="14.421875" style="195" customWidth="1"/>
    <col min="803" max="803" width="1.8515625" style="195" customWidth="1"/>
    <col min="804" max="804" width="16.7109375" style="195" customWidth="1"/>
    <col min="805" max="1014" width="11.00390625" style="195" customWidth="1"/>
    <col min="1015" max="1015" width="7.57421875" style="195" customWidth="1"/>
    <col min="1016" max="1016" width="15.57421875" style="195" customWidth="1"/>
    <col min="1017" max="1017" width="20.140625" style="195" customWidth="1"/>
    <col min="1018" max="1018" width="2.28125" style="195" customWidth="1"/>
    <col min="1019" max="1019" width="17.421875" style="195" customWidth="1"/>
    <col min="1020" max="1020" width="1.8515625" style="195" customWidth="1"/>
    <col min="1021" max="1021" width="18.7109375" style="195" customWidth="1"/>
    <col min="1022" max="1022" width="1.8515625" style="195" customWidth="1"/>
    <col min="1023" max="1023" width="23.00390625" style="195" customWidth="1"/>
    <col min="1024" max="1024" width="1.8515625" style="195" customWidth="1"/>
    <col min="1025" max="1025" width="17.421875" style="195" customWidth="1"/>
    <col min="1026" max="1026" width="3.00390625" style="195" customWidth="1"/>
    <col min="1027" max="1027" width="16.28125" style="195" customWidth="1"/>
    <col min="1028" max="1028" width="3.00390625" style="195" customWidth="1"/>
    <col min="1029" max="1029" width="14.140625" style="195" customWidth="1"/>
    <col min="1030" max="1030" width="2.00390625" style="195" customWidth="1"/>
    <col min="1031" max="1031" width="15.8515625" style="195" customWidth="1"/>
    <col min="1032" max="1032" width="3.140625" style="195" customWidth="1"/>
    <col min="1033" max="1033" width="17.8515625" style="195" customWidth="1"/>
    <col min="1034" max="1034" width="2.57421875" style="195" customWidth="1"/>
    <col min="1035" max="1035" width="15.57421875" style="195" customWidth="1"/>
    <col min="1036" max="1036" width="1.8515625" style="195" customWidth="1"/>
    <col min="1037" max="1037" width="14.140625" style="195" customWidth="1"/>
    <col min="1038" max="1038" width="11.00390625" style="195" customWidth="1"/>
    <col min="1039" max="1040" width="25.00390625" style="195" customWidth="1"/>
    <col min="1041" max="1041" width="1.8515625" style="195" customWidth="1"/>
    <col min="1042" max="1042" width="17.8515625" style="195" customWidth="1"/>
    <col min="1043" max="1043" width="1.8515625" style="195" customWidth="1"/>
    <col min="1044" max="1044" width="19.00390625" style="195" customWidth="1"/>
    <col min="1045" max="1045" width="1.8515625" style="195" customWidth="1"/>
    <col min="1046" max="1046" width="16.7109375" style="195" customWidth="1"/>
    <col min="1047" max="1047" width="1.8515625" style="195" customWidth="1"/>
    <col min="1048" max="1048" width="16.7109375" style="195" customWidth="1"/>
    <col min="1049" max="1049" width="1.8515625" style="195" customWidth="1"/>
    <col min="1050" max="1050" width="16.7109375" style="195" customWidth="1"/>
    <col min="1051" max="1051" width="1.8515625" style="195" customWidth="1"/>
    <col min="1052" max="1052" width="16.7109375" style="195" customWidth="1"/>
    <col min="1053" max="1053" width="1.8515625" style="195" customWidth="1"/>
    <col min="1054" max="1054" width="17.8515625" style="195" customWidth="1"/>
    <col min="1055" max="1055" width="5.28125" style="195" customWidth="1"/>
    <col min="1056" max="1056" width="16.7109375" style="195" customWidth="1"/>
    <col min="1057" max="1057" width="5.28125" style="195" customWidth="1"/>
    <col min="1058" max="1058" width="14.421875" style="195" customWidth="1"/>
    <col min="1059" max="1059" width="1.8515625" style="195" customWidth="1"/>
    <col min="1060" max="1060" width="16.7109375" style="195" customWidth="1"/>
    <col min="1061" max="1270" width="11.00390625" style="195" customWidth="1"/>
    <col min="1271" max="1271" width="7.57421875" style="195" customWidth="1"/>
    <col min="1272" max="1272" width="15.57421875" style="195" customWidth="1"/>
    <col min="1273" max="1273" width="20.140625" style="195" customWidth="1"/>
    <col min="1274" max="1274" width="2.28125" style="195" customWidth="1"/>
    <col min="1275" max="1275" width="17.421875" style="195" customWidth="1"/>
    <col min="1276" max="1276" width="1.8515625" style="195" customWidth="1"/>
    <col min="1277" max="1277" width="18.7109375" style="195" customWidth="1"/>
    <col min="1278" max="1278" width="1.8515625" style="195" customWidth="1"/>
    <col min="1279" max="1279" width="23.00390625" style="195" customWidth="1"/>
    <col min="1280" max="1280" width="1.8515625" style="195" customWidth="1"/>
    <col min="1281" max="1281" width="17.421875" style="195" customWidth="1"/>
    <col min="1282" max="1282" width="3.00390625" style="195" customWidth="1"/>
    <col min="1283" max="1283" width="16.28125" style="195" customWidth="1"/>
    <col min="1284" max="1284" width="3.00390625" style="195" customWidth="1"/>
    <col min="1285" max="1285" width="14.140625" style="195" customWidth="1"/>
    <col min="1286" max="1286" width="2.00390625" style="195" customWidth="1"/>
    <col min="1287" max="1287" width="15.8515625" style="195" customWidth="1"/>
    <col min="1288" max="1288" width="3.140625" style="195" customWidth="1"/>
    <col min="1289" max="1289" width="17.8515625" style="195" customWidth="1"/>
    <col min="1290" max="1290" width="2.57421875" style="195" customWidth="1"/>
    <col min="1291" max="1291" width="15.57421875" style="195" customWidth="1"/>
    <col min="1292" max="1292" width="1.8515625" style="195" customWidth="1"/>
    <col min="1293" max="1293" width="14.140625" style="195" customWidth="1"/>
    <col min="1294" max="1294" width="11.00390625" style="195" customWidth="1"/>
    <col min="1295" max="1296" width="25.00390625" style="195" customWidth="1"/>
    <col min="1297" max="1297" width="1.8515625" style="195" customWidth="1"/>
    <col min="1298" max="1298" width="17.8515625" style="195" customWidth="1"/>
    <col min="1299" max="1299" width="1.8515625" style="195" customWidth="1"/>
    <col min="1300" max="1300" width="19.00390625" style="195" customWidth="1"/>
    <col min="1301" max="1301" width="1.8515625" style="195" customWidth="1"/>
    <col min="1302" max="1302" width="16.7109375" style="195" customWidth="1"/>
    <col min="1303" max="1303" width="1.8515625" style="195" customWidth="1"/>
    <col min="1304" max="1304" width="16.7109375" style="195" customWidth="1"/>
    <col min="1305" max="1305" width="1.8515625" style="195" customWidth="1"/>
    <col min="1306" max="1306" width="16.7109375" style="195" customWidth="1"/>
    <col min="1307" max="1307" width="1.8515625" style="195" customWidth="1"/>
    <col min="1308" max="1308" width="16.7109375" style="195" customWidth="1"/>
    <col min="1309" max="1309" width="1.8515625" style="195" customWidth="1"/>
    <col min="1310" max="1310" width="17.8515625" style="195" customWidth="1"/>
    <col min="1311" max="1311" width="5.28125" style="195" customWidth="1"/>
    <col min="1312" max="1312" width="16.7109375" style="195" customWidth="1"/>
    <col min="1313" max="1313" width="5.28125" style="195" customWidth="1"/>
    <col min="1314" max="1314" width="14.421875" style="195" customWidth="1"/>
    <col min="1315" max="1315" width="1.8515625" style="195" customWidth="1"/>
    <col min="1316" max="1316" width="16.7109375" style="195" customWidth="1"/>
    <col min="1317" max="1526" width="11.00390625" style="195" customWidth="1"/>
    <col min="1527" max="1527" width="7.57421875" style="195" customWidth="1"/>
    <col min="1528" max="1528" width="15.57421875" style="195" customWidth="1"/>
    <col min="1529" max="1529" width="20.140625" style="195" customWidth="1"/>
    <col min="1530" max="1530" width="2.28125" style="195" customWidth="1"/>
    <col min="1531" max="1531" width="17.421875" style="195" customWidth="1"/>
    <col min="1532" max="1532" width="1.8515625" style="195" customWidth="1"/>
    <col min="1533" max="1533" width="18.7109375" style="195" customWidth="1"/>
    <col min="1534" max="1534" width="1.8515625" style="195" customWidth="1"/>
    <col min="1535" max="1535" width="23.00390625" style="195" customWidth="1"/>
    <col min="1536" max="1536" width="1.8515625" style="195" customWidth="1"/>
    <col min="1537" max="1537" width="17.421875" style="195" customWidth="1"/>
    <col min="1538" max="1538" width="3.00390625" style="195" customWidth="1"/>
    <col min="1539" max="1539" width="16.28125" style="195" customWidth="1"/>
    <col min="1540" max="1540" width="3.00390625" style="195" customWidth="1"/>
    <col min="1541" max="1541" width="14.140625" style="195" customWidth="1"/>
    <col min="1542" max="1542" width="2.00390625" style="195" customWidth="1"/>
    <col min="1543" max="1543" width="15.8515625" style="195" customWidth="1"/>
    <col min="1544" max="1544" width="3.140625" style="195" customWidth="1"/>
    <col min="1545" max="1545" width="17.8515625" style="195" customWidth="1"/>
    <col min="1546" max="1546" width="2.57421875" style="195" customWidth="1"/>
    <col min="1547" max="1547" width="15.57421875" style="195" customWidth="1"/>
    <col min="1548" max="1548" width="1.8515625" style="195" customWidth="1"/>
    <col min="1549" max="1549" width="14.140625" style="195" customWidth="1"/>
    <col min="1550" max="1550" width="11.00390625" style="195" customWidth="1"/>
    <col min="1551" max="1552" width="25.00390625" style="195" customWidth="1"/>
    <col min="1553" max="1553" width="1.8515625" style="195" customWidth="1"/>
    <col min="1554" max="1554" width="17.8515625" style="195" customWidth="1"/>
    <col min="1555" max="1555" width="1.8515625" style="195" customWidth="1"/>
    <col min="1556" max="1556" width="19.00390625" style="195" customWidth="1"/>
    <col min="1557" max="1557" width="1.8515625" style="195" customWidth="1"/>
    <col min="1558" max="1558" width="16.7109375" style="195" customWidth="1"/>
    <col min="1559" max="1559" width="1.8515625" style="195" customWidth="1"/>
    <col min="1560" max="1560" width="16.7109375" style="195" customWidth="1"/>
    <col min="1561" max="1561" width="1.8515625" style="195" customWidth="1"/>
    <col min="1562" max="1562" width="16.7109375" style="195" customWidth="1"/>
    <col min="1563" max="1563" width="1.8515625" style="195" customWidth="1"/>
    <col min="1564" max="1564" width="16.7109375" style="195" customWidth="1"/>
    <col min="1565" max="1565" width="1.8515625" style="195" customWidth="1"/>
    <col min="1566" max="1566" width="17.8515625" style="195" customWidth="1"/>
    <col min="1567" max="1567" width="5.28125" style="195" customWidth="1"/>
    <col min="1568" max="1568" width="16.7109375" style="195" customWidth="1"/>
    <col min="1569" max="1569" width="5.28125" style="195" customWidth="1"/>
    <col min="1570" max="1570" width="14.421875" style="195" customWidth="1"/>
    <col min="1571" max="1571" width="1.8515625" style="195" customWidth="1"/>
    <col min="1572" max="1572" width="16.7109375" style="195" customWidth="1"/>
    <col min="1573" max="1782" width="11.00390625" style="195" customWidth="1"/>
    <col min="1783" max="1783" width="7.57421875" style="195" customWidth="1"/>
    <col min="1784" max="1784" width="15.57421875" style="195" customWidth="1"/>
    <col min="1785" max="1785" width="20.140625" style="195" customWidth="1"/>
    <col min="1786" max="1786" width="2.28125" style="195" customWidth="1"/>
    <col min="1787" max="1787" width="17.421875" style="195" customWidth="1"/>
    <col min="1788" max="1788" width="1.8515625" style="195" customWidth="1"/>
    <col min="1789" max="1789" width="18.7109375" style="195" customWidth="1"/>
    <col min="1790" max="1790" width="1.8515625" style="195" customWidth="1"/>
    <col min="1791" max="1791" width="23.00390625" style="195" customWidth="1"/>
    <col min="1792" max="1792" width="1.8515625" style="195" customWidth="1"/>
    <col min="1793" max="1793" width="17.421875" style="195" customWidth="1"/>
    <col min="1794" max="1794" width="3.00390625" style="195" customWidth="1"/>
    <col min="1795" max="1795" width="16.28125" style="195" customWidth="1"/>
    <col min="1796" max="1796" width="3.00390625" style="195" customWidth="1"/>
    <col min="1797" max="1797" width="14.140625" style="195" customWidth="1"/>
    <col min="1798" max="1798" width="2.00390625" style="195" customWidth="1"/>
    <col min="1799" max="1799" width="15.8515625" style="195" customWidth="1"/>
    <col min="1800" max="1800" width="3.140625" style="195" customWidth="1"/>
    <col min="1801" max="1801" width="17.8515625" style="195" customWidth="1"/>
    <col min="1802" max="1802" width="2.57421875" style="195" customWidth="1"/>
    <col min="1803" max="1803" width="15.57421875" style="195" customWidth="1"/>
    <col min="1804" max="1804" width="1.8515625" style="195" customWidth="1"/>
    <col min="1805" max="1805" width="14.140625" style="195" customWidth="1"/>
    <col min="1806" max="1806" width="11.00390625" style="195" customWidth="1"/>
    <col min="1807" max="1808" width="25.00390625" style="195" customWidth="1"/>
    <col min="1809" max="1809" width="1.8515625" style="195" customWidth="1"/>
    <col min="1810" max="1810" width="17.8515625" style="195" customWidth="1"/>
    <col min="1811" max="1811" width="1.8515625" style="195" customWidth="1"/>
    <col min="1812" max="1812" width="19.00390625" style="195" customWidth="1"/>
    <col min="1813" max="1813" width="1.8515625" style="195" customWidth="1"/>
    <col min="1814" max="1814" width="16.7109375" style="195" customWidth="1"/>
    <col min="1815" max="1815" width="1.8515625" style="195" customWidth="1"/>
    <col min="1816" max="1816" width="16.7109375" style="195" customWidth="1"/>
    <col min="1817" max="1817" width="1.8515625" style="195" customWidth="1"/>
    <col min="1818" max="1818" width="16.7109375" style="195" customWidth="1"/>
    <col min="1819" max="1819" width="1.8515625" style="195" customWidth="1"/>
    <col min="1820" max="1820" width="16.7109375" style="195" customWidth="1"/>
    <col min="1821" max="1821" width="1.8515625" style="195" customWidth="1"/>
    <col min="1822" max="1822" width="17.8515625" style="195" customWidth="1"/>
    <col min="1823" max="1823" width="5.28125" style="195" customWidth="1"/>
    <col min="1824" max="1824" width="16.7109375" style="195" customWidth="1"/>
    <col min="1825" max="1825" width="5.28125" style="195" customWidth="1"/>
    <col min="1826" max="1826" width="14.421875" style="195" customWidth="1"/>
    <col min="1827" max="1827" width="1.8515625" style="195" customWidth="1"/>
    <col min="1828" max="1828" width="16.7109375" style="195" customWidth="1"/>
    <col min="1829" max="2038" width="11.00390625" style="195" customWidth="1"/>
    <col min="2039" max="2039" width="7.57421875" style="195" customWidth="1"/>
    <col min="2040" max="2040" width="15.57421875" style="195" customWidth="1"/>
    <col min="2041" max="2041" width="20.140625" style="195" customWidth="1"/>
    <col min="2042" max="2042" width="2.28125" style="195" customWidth="1"/>
    <col min="2043" max="2043" width="17.421875" style="195" customWidth="1"/>
    <col min="2044" max="2044" width="1.8515625" style="195" customWidth="1"/>
    <col min="2045" max="2045" width="18.7109375" style="195" customWidth="1"/>
    <col min="2046" max="2046" width="1.8515625" style="195" customWidth="1"/>
    <col min="2047" max="2047" width="23.00390625" style="195" customWidth="1"/>
    <col min="2048" max="2048" width="1.8515625" style="195" customWidth="1"/>
    <col min="2049" max="2049" width="17.421875" style="195" customWidth="1"/>
    <col min="2050" max="2050" width="3.00390625" style="195" customWidth="1"/>
    <col min="2051" max="2051" width="16.28125" style="195" customWidth="1"/>
    <col min="2052" max="2052" width="3.00390625" style="195" customWidth="1"/>
    <col min="2053" max="2053" width="14.140625" style="195" customWidth="1"/>
    <col min="2054" max="2054" width="2.00390625" style="195" customWidth="1"/>
    <col min="2055" max="2055" width="15.8515625" style="195" customWidth="1"/>
    <col min="2056" max="2056" width="3.140625" style="195" customWidth="1"/>
    <col min="2057" max="2057" width="17.8515625" style="195" customWidth="1"/>
    <col min="2058" max="2058" width="2.57421875" style="195" customWidth="1"/>
    <col min="2059" max="2059" width="15.57421875" style="195" customWidth="1"/>
    <col min="2060" max="2060" width="1.8515625" style="195" customWidth="1"/>
    <col min="2061" max="2061" width="14.140625" style="195" customWidth="1"/>
    <col min="2062" max="2062" width="11.00390625" style="195" customWidth="1"/>
    <col min="2063" max="2064" width="25.00390625" style="195" customWidth="1"/>
    <col min="2065" max="2065" width="1.8515625" style="195" customWidth="1"/>
    <col min="2066" max="2066" width="17.8515625" style="195" customWidth="1"/>
    <col min="2067" max="2067" width="1.8515625" style="195" customWidth="1"/>
    <col min="2068" max="2068" width="19.00390625" style="195" customWidth="1"/>
    <col min="2069" max="2069" width="1.8515625" style="195" customWidth="1"/>
    <col min="2070" max="2070" width="16.7109375" style="195" customWidth="1"/>
    <col min="2071" max="2071" width="1.8515625" style="195" customWidth="1"/>
    <col min="2072" max="2072" width="16.7109375" style="195" customWidth="1"/>
    <col min="2073" max="2073" width="1.8515625" style="195" customWidth="1"/>
    <col min="2074" max="2074" width="16.7109375" style="195" customWidth="1"/>
    <col min="2075" max="2075" width="1.8515625" style="195" customWidth="1"/>
    <col min="2076" max="2076" width="16.7109375" style="195" customWidth="1"/>
    <col min="2077" max="2077" width="1.8515625" style="195" customWidth="1"/>
    <col min="2078" max="2078" width="17.8515625" style="195" customWidth="1"/>
    <col min="2079" max="2079" width="5.28125" style="195" customWidth="1"/>
    <col min="2080" max="2080" width="16.7109375" style="195" customWidth="1"/>
    <col min="2081" max="2081" width="5.28125" style="195" customWidth="1"/>
    <col min="2082" max="2082" width="14.421875" style="195" customWidth="1"/>
    <col min="2083" max="2083" width="1.8515625" style="195" customWidth="1"/>
    <col min="2084" max="2084" width="16.7109375" style="195" customWidth="1"/>
    <col min="2085" max="2294" width="11.00390625" style="195" customWidth="1"/>
    <col min="2295" max="2295" width="7.57421875" style="195" customWidth="1"/>
    <col min="2296" max="2296" width="15.57421875" style="195" customWidth="1"/>
    <col min="2297" max="2297" width="20.140625" style="195" customWidth="1"/>
    <col min="2298" max="2298" width="2.28125" style="195" customWidth="1"/>
    <col min="2299" max="2299" width="17.421875" style="195" customWidth="1"/>
    <col min="2300" max="2300" width="1.8515625" style="195" customWidth="1"/>
    <col min="2301" max="2301" width="18.7109375" style="195" customWidth="1"/>
    <col min="2302" max="2302" width="1.8515625" style="195" customWidth="1"/>
    <col min="2303" max="2303" width="23.00390625" style="195" customWidth="1"/>
    <col min="2304" max="2304" width="1.8515625" style="195" customWidth="1"/>
    <col min="2305" max="2305" width="17.421875" style="195" customWidth="1"/>
    <col min="2306" max="2306" width="3.00390625" style="195" customWidth="1"/>
    <col min="2307" max="2307" width="16.28125" style="195" customWidth="1"/>
    <col min="2308" max="2308" width="3.00390625" style="195" customWidth="1"/>
    <col min="2309" max="2309" width="14.140625" style="195" customWidth="1"/>
    <col min="2310" max="2310" width="2.00390625" style="195" customWidth="1"/>
    <col min="2311" max="2311" width="15.8515625" style="195" customWidth="1"/>
    <col min="2312" max="2312" width="3.140625" style="195" customWidth="1"/>
    <col min="2313" max="2313" width="17.8515625" style="195" customWidth="1"/>
    <col min="2314" max="2314" width="2.57421875" style="195" customWidth="1"/>
    <col min="2315" max="2315" width="15.57421875" style="195" customWidth="1"/>
    <col min="2316" max="2316" width="1.8515625" style="195" customWidth="1"/>
    <col min="2317" max="2317" width="14.140625" style="195" customWidth="1"/>
    <col min="2318" max="2318" width="11.00390625" style="195" customWidth="1"/>
    <col min="2319" max="2320" width="25.00390625" style="195" customWidth="1"/>
    <col min="2321" max="2321" width="1.8515625" style="195" customWidth="1"/>
    <col min="2322" max="2322" width="17.8515625" style="195" customWidth="1"/>
    <col min="2323" max="2323" width="1.8515625" style="195" customWidth="1"/>
    <col min="2324" max="2324" width="19.00390625" style="195" customWidth="1"/>
    <col min="2325" max="2325" width="1.8515625" style="195" customWidth="1"/>
    <col min="2326" max="2326" width="16.7109375" style="195" customWidth="1"/>
    <col min="2327" max="2327" width="1.8515625" style="195" customWidth="1"/>
    <col min="2328" max="2328" width="16.7109375" style="195" customWidth="1"/>
    <col min="2329" max="2329" width="1.8515625" style="195" customWidth="1"/>
    <col min="2330" max="2330" width="16.7109375" style="195" customWidth="1"/>
    <col min="2331" max="2331" width="1.8515625" style="195" customWidth="1"/>
    <col min="2332" max="2332" width="16.7109375" style="195" customWidth="1"/>
    <col min="2333" max="2333" width="1.8515625" style="195" customWidth="1"/>
    <col min="2334" max="2334" width="17.8515625" style="195" customWidth="1"/>
    <col min="2335" max="2335" width="5.28125" style="195" customWidth="1"/>
    <col min="2336" max="2336" width="16.7109375" style="195" customWidth="1"/>
    <col min="2337" max="2337" width="5.28125" style="195" customWidth="1"/>
    <col min="2338" max="2338" width="14.421875" style="195" customWidth="1"/>
    <col min="2339" max="2339" width="1.8515625" style="195" customWidth="1"/>
    <col min="2340" max="2340" width="16.7109375" style="195" customWidth="1"/>
    <col min="2341" max="2550" width="11.00390625" style="195" customWidth="1"/>
    <col min="2551" max="2551" width="7.57421875" style="195" customWidth="1"/>
    <col min="2552" max="2552" width="15.57421875" style="195" customWidth="1"/>
    <col min="2553" max="2553" width="20.140625" style="195" customWidth="1"/>
    <col min="2554" max="2554" width="2.28125" style="195" customWidth="1"/>
    <col min="2555" max="2555" width="17.421875" style="195" customWidth="1"/>
    <col min="2556" max="2556" width="1.8515625" style="195" customWidth="1"/>
    <col min="2557" max="2557" width="18.7109375" style="195" customWidth="1"/>
    <col min="2558" max="2558" width="1.8515625" style="195" customWidth="1"/>
    <col min="2559" max="2559" width="23.00390625" style="195" customWidth="1"/>
    <col min="2560" max="2560" width="1.8515625" style="195" customWidth="1"/>
    <col min="2561" max="2561" width="17.421875" style="195" customWidth="1"/>
    <col min="2562" max="2562" width="3.00390625" style="195" customWidth="1"/>
    <col min="2563" max="2563" width="16.28125" style="195" customWidth="1"/>
    <col min="2564" max="2564" width="3.00390625" style="195" customWidth="1"/>
    <col min="2565" max="2565" width="14.140625" style="195" customWidth="1"/>
    <col min="2566" max="2566" width="2.00390625" style="195" customWidth="1"/>
    <col min="2567" max="2567" width="15.8515625" style="195" customWidth="1"/>
    <col min="2568" max="2568" width="3.140625" style="195" customWidth="1"/>
    <col min="2569" max="2569" width="17.8515625" style="195" customWidth="1"/>
    <col min="2570" max="2570" width="2.57421875" style="195" customWidth="1"/>
    <col min="2571" max="2571" width="15.57421875" style="195" customWidth="1"/>
    <col min="2572" max="2572" width="1.8515625" style="195" customWidth="1"/>
    <col min="2573" max="2573" width="14.140625" style="195" customWidth="1"/>
    <col min="2574" max="2574" width="11.00390625" style="195" customWidth="1"/>
    <col min="2575" max="2576" width="25.00390625" style="195" customWidth="1"/>
    <col min="2577" max="2577" width="1.8515625" style="195" customWidth="1"/>
    <col min="2578" max="2578" width="17.8515625" style="195" customWidth="1"/>
    <col min="2579" max="2579" width="1.8515625" style="195" customWidth="1"/>
    <col min="2580" max="2580" width="19.00390625" style="195" customWidth="1"/>
    <col min="2581" max="2581" width="1.8515625" style="195" customWidth="1"/>
    <col min="2582" max="2582" width="16.7109375" style="195" customWidth="1"/>
    <col min="2583" max="2583" width="1.8515625" style="195" customWidth="1"/>
    <col min="2584" max="2584" width="16.7109375" style="195" customWidth="1"/>
    <col min="2585" max="2585" width="1.8515625" style="195" customWidth="1"/>
    <col min="2586" max="2586" width="16.7109375" style="195" customWidth="1"/>
    <col min="2587" max="2587" width="1.8515625" style="195" customWidth="1"/>
    <col min="2588" max="2588" width="16.7109375" style="195" customWidth="1"/>
    <col min="2589" max="2589" width="1.8515625" style="195" customWidth="1"/>
    <col min="2590" max="2590" width="17.8515625" style="195" customWidth="1"/>
    <col min="2591" max="2591" width="5.28125" style="195" customWidth="1"/>
    <col min="2592" max="2592" width="16.7109375" style="195" customWidth="1"/>
    <col min="2593" max="2593" width="5.28125" style="195" customWidth="1"/>
    <col min="2594" max="2594" width="14.421875" style="195" customWidth="1"/>
    <col min="2595" max="2595" width="1.8515625" style="195" customWidth="1"/>
    <col min="2596" max="2596" width="16.7109375" style="195" customWidth="1"/>
    <col min="2597" max="2806" width="11.00390625" style="195" customWidth="1"/>
    <col min="2807" max="2807" width="7.57421875" style="195" customWidth="1"/>
    <col min="2808" max="2808" width="15.57421875" style="195" customWidth="1"/>
    <col min="2809" max="2809" width="20.140625" style="195" customWidth="1"/>
    <col min="2810" max="2810" width="2.28125" style="195" customWidth="1"/>
    <col min="2811" max="2811" width="17.421875" style="195" customWidth="1"/>
    <col min="2812" max="2812" width="1.8515625" style="195" customWidth="1"/>
    <col min="2813" max="2813" width="18.7109375" style="195" customWidth="1"/>
    <col min="2814" max="2814" width="1.8515625" style="195" customWidth="1"/>
    <col min="2815" max="2815" width="23.00390625" style="195" customWidth="1"/>
    <col min="2816" max="2816" width="1.8515625" style="195" customWidth="1"/>
    <col min="2817" max="2817" width="17.421875" style="195" customWidth="1"/>
    <col min="2818" max="2818" width="3.00390625" style="195" customWidth="1"/>
    <col min="2819" max="2819" width="16.28125" style="195" customWidth="1"/>
    <col min="2820" max="2820" width="3.00390625" style="195" customWidth="1"/>
    <col min="2821" max="2821" width="14.140625" style="195" customWidth="1"/>
    <col min="2822" max="2822" width="2.00390625" style="195" customWidth="1"/>
    <col min="2823" max="2823" width="15.8515625" style="195" customWidth="1"/>
    <col min="2824" max="2824" width="3.140625" style="195" customWidth="1"/>
    <col min="2825" max="2825" width="17.8515625" style="195" customWidth="1"/>
    <col min="2826" max="2826" width="2.57421875" style="195" customWidth="1"/>
    <col min="2827" max="2827" width="15.57421875" style="195" customWidth="1"/>
    <col min="2828" max="2828" width="1.8515625" style="195" customWidth="1"/>
    <col min="2829" max="2829" width="14.140625" style="195" customWidth="1"/>
    <col min="2830" max="2830" width="11.00390625" style="195" customWidth="1"/>
    <col min="2831" max="2832" width="25.00390625" style="195" customWidth="1"/>
    <col min="2833" max="2833" width="1.8515625" style="195" customWidth="1"/>
    <col min="2834" max="2834" width="17.8515625" style="195" customWidth="1"/>
    <col min="2835" max="2835" width="1.8515625" style="195" customWidth="1"/>
    <col min="2836" max="2836" width="19.00390625" style="195" customWidth="1"/>
    <col min="2837" max="2837" width="1.8515625" style="195" customWidth="1"/>
    <col min="2838" max="2838" width="16.7109375" style="195" customWidth="1"/>
    <col min="2839" max="2839" width="1.8515625" style="195" customWidth="1"/>
    <col min="2840" max="2840" width="16.7109375" style="195" customWidth="1"/>
    <col min="2841" max="2841" width="1.8515625" style="195" customWidth="1"/>
    <col min="2842" max="2842" width="16.7109375" style="195" customWidth="1"/>
    <col min="2843" max="2843" width="1.8515625" style="195" customWidth="1"/>
    <col min="2844" max="2844" width="16.7109375" style="195" customWidth="1"/>
    <col min="2845" max="2845" width="1.8515625" style="195" customWidth="1"/>
    <col min="2846" max="2846" width="17.8515625" style="195" customWidth="1"/>
    <col min="2847" max="2847" width="5.28125" style="195" customWidth="1"/>
    <col min="2848" max="2848" width="16.7109375" style="195" customWidth="1"/>
    <col min="2849" max="2849" width="5.28125" style="195" customWidth="1"/>
    <col min="2850" max="2850" width="14.421875" style="195" customWidth="1"/>
    <col min="2851" max="2851" width="1.8515625" style="195" customWidth="1"/>
    <col min="2852" max="2852" width="16.7109375" style="195" customWidth="1"/>
    <col min="2853" max="3062" width="11.00390625" style="195" customWidth="1"/>
    <col min="3063" max="3063" width="7.57421875" style="195" customWidth="1"/>
    <col min="3064" max="3064" width="15.57421875" style="195" customWidth="1"/>
    <col min="3065" max="3065" width="20.140625" style="195" customWidth="1"/>
    <col min="3066" max="3066" width="2.28125" style="195" customWidth="1"/>
    <col min="3067" max="3067" width="17.421875" style="195" customWidth="1"/>
    <col min="3068" max="3068" width="1.8515625" style="195" customWidth="1"/>
    <col min="3069" max="3069" width="18.7109375" style="195" customWidth="1"/>
    <col min="3070" max="3070" width="1.8515625" style="195" customWidth="1"/>
    <col min="3071" max="3071" width="23.00390625" style="195" customWidth="1"/>
    <col min="3072" max="3072" width="1.8515625" style="195" customWidth="1"/>
    <col min="3073" max="3073" width="17.421875" style="195" customWidth="1"/>
    <col min="3074" max="3074" width="3.00390625" style="195" customWidth="1"/>
    <col min="3075" max="3075" width="16.28125" style="195" customWidth="1"/>
    <col min="3076" max="3076" width="3.00390625" style="195" customWidth="1"/>
    <col min="3077" max="3077" width="14.140625" style="195" customWidth="1"/>
    <col min="3078" max="3078" width="2.00390625" style="195" customWidth="1"/>
    <col min="3079" max="3079" width="15.8515625" style="195" customWidth="1"/>
    <col min="3080" max="3080" width="3.140625" style="195" customWidth="1"/>
    <col min="3081" max="3081" width="17.8515625" style="195" customWidth="1"/>
    <col min="3082" max="3082" width="2.57421875" style="195" customWidth="1"/>
    <col min="3083" max="3083" width="15.57421875" style="195" customWidth="1"/>
    <col min="3084" max="3084" width="1.8515625" style="195" customWidth="1"/>
    <col min="3085" max="3085" width="14.140625" style="195" customWidth="1"/>
    <col min="3086" max="3086" width="11.00390625" style="195" customWidth="1"/>
    <col min="3087" max="3088" width="25.00390625" style="195" customWidth="1"/>
    <col min="3089" max="3089" width="1.8515625" style="195" customWidth="1"/>
    <col min="3090" max="3090" width="17.8515625" style="195" customWidth="1"/>
    <col min="3091" max="3091" width="1.8515625" style="195" customWidth="1"/>
    <col min="3092" max="3092" width="19.00390625" style="195" customWidth="1"/>
    <col min="3093" max="3093" width="1.8515625" style="195" customWidth="1"/>
    <col min="3094" max="3094" width="16.7109375" style="195" customWidth="1"/>
    <col min="3095" max="3095" width="1.8515625" style="195" customWidth="1"/>
    <col min="3096" max="3096" width="16.7109375" style="195" customWidth="1"/>
    <col min="3097" max="3097" width="1.8515625" style="195" customWidth="1"/>
    <col min="3098" max="3098" width="16.7109375" style="195" customWidth="1"/>
    <col min="3099" max="3099" width="1.8515625" style="195" customWidth="1"/>
    <col min="3100" max="3100" width="16.7109375" style="195" customWidth="1"/>
    <col min="3101" max="3101" width="1.8515625" style="195" customWidth="1"/>
    <col min="3102" max="3102" width="17.8515625" style="195" customWidth="1"/>
    <col min="3103" max="3103" width="5.28125" style="195" customWidth="1"/>
    <col min="3104" max="3104" width="16.7109375" style="195" customWidth="1"/>
    <col min="3105" max="3105" width="5.28125" style="195" customWidth="1"/>
    <col min="3106" max="3106" width="14.421875" style="195" customWidth="1"/>
    <col min="3107" max="3107" width="1.8515625" style="195" customWidth="1"/>
    <col min="3108" max="3108" width="16.7109375" style="195" customWidth="1"/>
    <col min="3109" max="3318" width="11.00390625" style="195" customWidth="1"/>
    <col min="3319" max="3319" width="7.57421875" style="195" customWidth="1"/>
    <col min="3320" max="3320" width="15.57421875" style="195" customWidth="1"/>
    <col min="3321" max="3321" width="20.140625" style="195" customWidth="1"/>
    <col min="3322" max="3322" width="2.28125" style="195" customWidth="1"/>
    <col min="3323" max="3323" width="17.421875" style="195" customWidth="1"/>
    <col min="3324" max="3324" width="1.8515625" style="195" customWidth="1"/>
    <col min="3325" max="3325" width="18.7109375" style="195" customWidth="1"/>
    <col min="3326" max="3326" width="1.8515625" style="195" customWidth="1"/>
    <col min="3327" max="3327" width="23.00390625" style="195" customWidth="1"/>
    <col min="3328" max="3328" width="1.8515625" style="195" customWidth="1"/>
    <col min="3329" max="3329" width="17.421875" style="195" customWidth="1"/>
    <col min="3330" max="3330" width="3.00390625" style="195" customWidth="1"/>
    <col min="3331" max="3331" width="16.28125" style="195" customWidth="1"/>
    <col min="3332" max="3332" width="3.00390625" style="195" customWidth="1"/>
    <col min="3333" max="3333" width="14.140625" style="195" customWidth="1"/>
    <col min="3334" max="3334" width="2.00390625" style="195" customWidth="1"/>
    <col min="3335" max="3335" width="15.8515625" style="195" customWidth="1"/>
    <col min="3336" max="3336" width="3.140625" style="195" customWidth="1"/>
    <col min="3337" max="3337" width="17.8515625" style="195" customWidth="1"/>
    <col min="3338" max="3338" width="2.57421875" style="195" customWidth="1"/>
    <col min="3339" max="3339" width="15.57421875" style="195" customWidth="1"/>
    <col min="3340" max="3340" width="1.8515625" style="195" customWidth="1"/>
    <col min="3341" max="3341" width="14.140625" style="195" customWidth="1"/>
    <col min="3342" max="3342" width="11.00390625" style="195" customWidth="1"/>
    <col min="3343" max="3344" width="25.00390625" style="195" customWidth="1"/>
    <col min="3345" max="3345" width="1.8515625" style="195" customWidth="1"/>
    <col min="3346" max="3346" width="17.8515625" style="195" customWidth="1"/>
    <col min="3347" max="3347" width="1.8515625" style="195" customWidth="1"/>
    <col min="3348" max="3348" width="19.00390625" style="195" customWidth="1"/>
    <col min="3349" max="3349" width="1.8515625" style="195" customWidth="1"/>
    <col min="3350" max="3350" width="16.7109375" style="195" customWidth="1"/>
    <col min="3351" max="3351" width="1.8515625" style="195" customWidth="1"/>
    <col min="3352" max="3352" width="16.7109375" style="195" customWidth="1"/>
    <col min="3353" max="3353" width="1.8515625" style="195" customWidth="1"/>
    <col min="3354" max="3354" width="16.7109375" style="195" customWidth="1"/>
    <col min="3355" max="3355" width="1.8515625" style="195" customWidth="1"/>
    <col min="3356" max="3356" width="16.7109375" style="195" customWidth="1"/>
    <col min="3357" max="3357" width="1.8515625" style="195" customWidth="1"/>
    <col min="3358" max="3358" width="17.8515625" style="195" customWidth="1"/>
    <col min="3359" max="3359" width="5.28125" style="195" customWidth="1"/>
    <col min="3360" max="3360" width="16.7109375" style="195" customWidth="1"/>
    <col min="3361" max="3361" width="5.28125" style="195" customWidth="1"/>
    <col min="3362" max="3362" width="14.421875" style="195" customWidth="1"/>
    <col min="3363" max="3363" width="1.8515625" style="195" customWidth="1"/>
    <col min="3364" max="3364" width="16.7109375" style="195" customWidth="1"/>
    <col min="3365" max="3574" width="11.00390625" style="195" customWidth="1"/>
    <col min="3575" max="3575" width="7.57421875" style="195" customWidth="1"/>
    <col min="3576" max="3576" width="15.57421875" style="195" customWidth="1"/>
    <col min="3577" max="3577" width="20.140625" style="195" customWidth="1"/>
    <col min="3578" max="3578" width="2.28125" style="195" customWidth="1"/>
    <col min="3579" max="3579" width="17.421875" style="195" customWidth="1"/>
    <col min="3580" max="3580" width="1.8515625" style="195" customWidth="1"/>
    <col min="3581" max="3581" width="18.7109375" style="195" customWidth="1"/>
    <col min="3582" max="3582" width="1.8515625" style="195" customWidth="1"/>
    <col min="3583" max="3583" width="23.00390625" style="195" customWidth="1"/>
    <col min="3584" max="3584" width="1.8515625" style="195" customWidth="1"/>
    <col min="3585" max="3585" width="17.421875" style="195" customWidth="1"/>
    <col min="3586" max="3586" width="3.00390625" style="195" customWidth="1"/>
    <col min="3587" max="3587" width="16.28125" style="195" customWidth="1"/>
    <col min="3588" max="3588" width="3.00390625" style="195" customWidth="1"/>
    <col min="3589" max="3589" width="14.140625" style="195" customWidth="1"/>
    <col min="3590" max="3590" width="2.00390625" style="195" customWidth="1"/>
    <col min="3591" max="3591" width="15.8515625" style="195" customWidth="1"/>
    <col min="3592" max="3592" width="3.140625" style="195" customWidth="1"/>
    <col min="3593" max="3593" width="17.8515625" style="195" customWidth="1"/>
    <col min="3594" max="3594" width="2.57421875" style="195" customWidth="1"/>
    <col min="3595" max="3595" width="15.57421875" style="195" customWidth="1"/>
    <col min="3596" max="3596" width="1.8515625" style="195" customWidth="1"/>
    <col min="3597" max="3597" width="14.140625" style="195" customWidth="1"/>
    <col min="3598" max="3598" width="11.00390625" style="195" customWidth="1"/>
    <col min="3599" max="3600" width="25.00390625" style="195" customWidth="1"/>
    <col min="3601" max="3601" width="1.8515625" style="195" customWidth="1"/>
    <col min="3602" max="3602" width="17.8515625" style="195" customWidth="1"/>
    <col min="3603" max="3603" width="1.8515625" style="195" customWidth="1"/>
    <col min="3604" max="3604" width="19.00390625" style="195" customWidth="1"/>
    <col min="3605" max="3605" width="1.8515625" style="195" customWidth="1"/>
    <col min="3606" max="3606" width="16.7109375" style="195" customWidth="1"/>
    <col min="3607" max="3607" width="1.8515625" style="195" customWidth="1"/>
    <col min="3608" max="3608" width="16.7109375" style="195" customWidth="1"/>
    <col min="3609" max="3609" width="1.8515625" style="195" customWidth="1"/>
    <col min="3610" max="3610" width="16.7109375" style="195" customWidth="1"/>
    <col min="3611" max="3611" width="1.8515625" style="195" customWidth="1"/>
    <col min="3612" max="3612" width="16.7109375" style="195" customWidth="1"/>
    <col min="3613" max="3613" width="1.8515625" style="195" customWidth="1"/>
    <col min="3614" max="3614" width="17.8515625" style="195" customWidth="1"/>
    <col min="3615" max="3615" width="5.28125" style="195" customWidth="1"/>
    <col min="3616" max="3616" width="16.7109375" style="195" customWidth="1"/>
    <col min="3617" max="3617" width="5.28125" style="195" customWidth="1"/>
    <col min="3618" max="3618" width="14.421875" style="195" customWidth="1"/>
    <col min="3619" max="3619" width="1.8515625" style="195" customWidth="1"/>
    <col min="3620" max="3620" width="16.7109375" style="195" customWidth="1"/>
    <col min="3621" max="3830" width="11.00390625" style="195" customWidth="1"/>
    <col min="3831" max="3831" width="7.57421875" style="195" customWidth="1"/>
    <col min="3832" max="3832" width="15.57421875" style="195" customWidth="1"/>
    <col min="3833" max="3833" width="20.140625" style="195" customWidth="1"/>
    <col min="3834" max="3834" width="2.28125" style="195" customWidth="1"/>
    <col min="3835" max="3835" width="17.421875" style="195" customWidth="1"/>
    <col min="3836" max="3836" width="1.8515625" style="195" customWidth="1"/>
    <col min="3837" max="3837" width="18.7109375" style="195" customWidth="1"/>
    <col min="3838" max="3838" width="1.8515625" style="195" customWidth="1"/>
    <col min="3839" max="3839" width="23.00390625" style="195" customWidth="1"/>
    <col min="3840" max="3840" width="1.8515625" style="195" customWidth="1"/>
    <col min="3841" max="3841" width="17.421875" style="195" customWidth="1"/>
    <col min="3842" max="3842" width="3.00390625" style="195" customWidth="1"/>
    <col min="3843" max="3843" width="16.28125" style="195" customWidth="1"/>
    <col min="3844" max="3844" width="3.00390625" style="195" customWidth="1"/>
    <col min="3845" max="3845" width="14.140625" style="195" customWidth="1"/>
    <col min="3846" max="3846" width="2.00390625" style="195" customWidth="1"/>
    <col min="3847" max="3847" width="15.8515625" style="195" customWidth="1"/>
    <col min="3848" max="3848" width="3.140625" style="195" customWidth="1"/>
    <col min="3849" max="3849" width="17.8515625" style="195" customWidth="1"/>
    <col min="3850" max="3850" width="2.57421875" style="195" customWidth="1"/>
    <col min="3851" max="3851" width="15.57421875" style="195" customWidth="1"/>
    <col min="3852" max="3852" width="1.8515625" style="195" customWidth="1"/>
    <col min="3853" max="3853" width="14.140625" style="195" customWidth="1"/>
    <col min="3854" max="3854" width="11.00390625" style="195" customWidth="1"/>
    <col min="3855" max="3856" width="25.00390625" style="195" customWidth="1"/>
    <col min="3857" max="3857" width="1.8515625" style="195" customWidth="1"/>
    <col min="3858" max="3858" width="17.8515625" style="195" customWidth="1"/>
    <col min="3859" max="3859" width="1.8515625" style="195" customWidth="1"/>
    <col min="3860" max="3860" width="19.00390625" style="195" customWidth="1"/>
    <col min="3861" max="3861" width="1.8515625" style="195" customWidth="1"/>
    <col min="3862" max="3862" width="16.7109375" style="195" customWidth="1"/>
    <col min="3863" max="3863" width="1.8515625" style="195" customWidth="1"/>
    <col min="3864" max="3864" width="16.7109375" style="195" customWidth="1"/>
    <col min="3865" max="3865" width="1.8515625" style="195" customWidth="1"/>
    <col min="3866" max="3866" width="16.7109375" style="195" customWidth="1"/>
    <col min="3867" max="3867" width="1.8515625" style="195" customWidth="1"/>
    <col min="3868" max="3868" width="16.7109375" style="195" customWidth="1"/>
    <col min="3869" max="3869" width="1.8515625" style="195" customWidth="1"/>
    <col min="3870" max="3870" width="17.8515625" style="195" customWidth="1"/>
    <col min="3871" max="3871" width="5.28125" style="195" customWidth="1"/>
    <col min="3872" max="3872" width="16.7109375" style="195" customWidth="1"/>
    <col min="3873" max="3873" width="5.28125" style="195" customWidth="1"/>
    <col min="3874" max="3874" width="14.421875" style="195" customWidth="1"/>
    <col min="3875" max="3875" width="1.8515625" style="195" customWidth="1"/>
    <col min="3876" max="3876" width="16.7109375" style="195" customWidth="1"/>
    <col min="3877" max="4086" width="11.00390625" style="195" customWidth="1"/>
    <col min="4087" max="4087" width="7.57421875" style="195" customWidth="1"/>
    <col min="4088" max="4088" width="15.57421875" style="195" customWidth="1"/>
    <col min="4089" max="4089" width="20.140625" style="195" customWidth="1"/>
    <col min="4090" max="4090" width="2.28125" style="195" customWidth="1"/>
    <col min="4091" max="4091" width="17.421875" style="195" customWidth="1"/>
    <col min="4092" max="4092" width="1.8515625" style="195" customWidth="1"/>
    <col min="4093" max="4093" width="18.7109375" style="195" customWidth="1"/>
    <col min="4094" max="4094" width="1.8515625" style="195" customWidth="1"/>
    <col min="4095" max="4095" width="23.00390625" style="195" customWidth="1"/>
    <col min="4096" max="4096" width="1.8515625" style="195" customWidth="1"/>
    <col min="4097" max="4097" width="17.421875" style="195" customWidth="1"/>
    <col min="4098" max="4098" width="3.00390625" style="195" customWidth="1"/>
    <col min="4099" max="4099" width="16.28125" style="195" customWidth="1"/>
    <col min="4100" max="4100" width="3.00390625" style="195" customWidth="1"/>
    <col min="4101" max="4101" width="14.140625" style="195" customWidth="1"/>
    <col min="4102" max="4102" width="2.00390625" style="195" customWidth="1"/>
    <col min="4103" max="4103" width="15.8515625" style="195" customWidth="1"/>
    <col min="4104" max="4104" width="3.140625" style="195" customWidth="1"/>
    <col min="4105" max="4105" width="17.8515625" style="195" customWidth="1"/>
    <col min="4106" max="4106" width="2.57421875" style="195" customWidth="1"/>
    <col min="4107" max="4107" width="15.57421875" style="195" customWidth="1"/>
    <col min="4108" max="4108" width="1.8515625" style="195" customWidth="1"/>
    <col min="4109" max="4109" width="14.140625" style="195" customWidth="1"/>
    <col min="4110" max="4110" width="11.00390625" style="195" customWidth="1"/>
    <col min="4111" max="4112" width="25.00390625" style="195" customWidth="1"/>
    <col min="4113" max="4113" width="1.8515625" style="195" customWidth="1"/>
    <col min="4114" max="4114" width="17.8515625" style="195" customWidth="1"/>
    <col min="4115" max="4115" width="1.8515625" style="195" customWidth="1"/>
    <col min="4116" max="4116" width="19.00390625" style="195" customWidth="1"/>
    <col min="4117" max="4117" width="1.8515625" style="195" customWidth="1"/>
    <col min="4118" max="4118" width="16.7109375" style="195" customWidth="1"/>
    <col min="4119" max="4119" width="1.8515625" style="195" customWidth="1"/>
    <col min="4120" max="4120" width="16.7109375" style="195" customWidth="1"/>
    <col min="4121" max="4121" width="1.8515625" style="195" customWidth="1"/>
    <col min="4122" max="4122" width="16.7109375" style="195" customWidth="1"/>
    <col min="4123" max="4123" width="1.8515625" style="195" customWidth="1"/>
    <col min="4124" max="4124" width="16.7109375" style="195" customWidth="1"/>
    <col min="4125" max="4125" width="1.8515625" style="195" customWidth="1"/>
    <col min="4126" max="4126" width="17.8515625" style="195" customWidth="1"/>
    <col min="4127" max="4127" width="5.28125" style="195" customWidth="1"/>
    <col min="4128" max="4128" width="16.7109375" style="195" customWidth="1"/>
    <col min="4129" max="4129" width="5.28125" style="195" customWidth="1"/>
    <col min="4130" max="4130" width="14.421875" style="195" customWidth="1"/>
    <col min="4131" max="4131" width="1.8515625" style="195" customWidth="1"/>
    <col min="4132" max="4132" width="16.7109375" style="195" customWidth="1"/>
    <col min="4133" max="4342" width="11.00390625" style="195" customWidth="1"/>
    <col min="4343" max="4343" width="7.57421875" style="195" customWidth="1"/>
    <col min="4344" max="4344" width="15.57421875" style="195" customWidth="1"/>
    <col min="4345" max="4345" width="20.140625" style="195" customWidth="1"/>
    <col min="4346" max="4346" width="2.28125" style="195" customWidth="1"/>
    <col min="4347" max="4347" width="17.421875" style="195" customWidth="1"/>
    <col min="4348" max="4348" width="1.8515625" style="195" customWidth="1"/>
    <col min="4349" max="4349" width="18.7109375" style="195" customWidth="1"/>
    <col min="4350" max="4350" width="1.8515625" style="195" customWidth="1"/>
    <col min="4351" max="4351" width="23.00390625" style="195" customWidth="1"/>
    <col min="4352" max="4352" width="1.8515625" style="195" customWidth="1"/>
    <col min="4353" max="4353" width="17.421875" style="195" customWidth="1"/>
    <col min="4354" max="4354" width="3.00390625" style="195" customWidth="1"/>
    <col min="4355" max="4355" width="16.28125" style="195" customWidth="1"/>
    <col min="4356" max="4356" width="3.00390625" style="195" customWidth="1"/>
    <col min="4357" max="4357" width="14.140625" style="195" customWidth="1"/>
    <col min="4358" max="4358" width="2.00390625" style="195" customWidth="1"/>
    <col min="4359" max="4359" width="15.8515625" style="195" customWidth="1"/>
    <col min="4360" max="4360" width="3.140625" style="195" customWidth="1"/>
    <col min="4361" max="4361" width="17.8515625" style="195" customWidth="1"/>
    <col min="4362" max="4362" width="2.57421875" style="195" customWidth="1"/>
    <col min="4363" max="4363" width="15.57421875" style="195" customWidth="1"/>
    <col min="4364" max="4364" width="1.8515625" style="195" customWidth="1"/>
    <col min="4365" max="4365" width="14.140625" style="195" customWidth="1"/>
    <col min="4366" max="4366" width="11.00390625" style="195" customWidth="1"/>
    <col min="4367" max="4368" width="25.00390625" style="195" customWidth="1"/>
    <col min="4369" max="4369" width="1.8515625" style="195" customWidth="1"/>
    <col min="4370" max="4370" width="17.8515625" style="195" customWidth="1"/>
    <col min="4371" max="4371" width="1.8515625" style="195" customWidth="1"/>
    <col min="4372" max="4372" width="19.00390625" style="195" customWidth="1"/>
    <col min="4373" max="4373" width="1.8515625" style="195" customWidth="1"/>
    <col min="4374" max="4374" width="16.7109375" style="195" customWidth="1"/>
    <col min="4375" max="4375" width="1.8515625" style="195" customWidth="1"/>
    <col min="4376" max="4376" width="16.7109375" style="195" customWidth="1"/>
    <col min="4377" max="4377" width="1.8515625" style="195" customWidth="1"/>
    <col min="4378" max="4378" width="16.7109375" style="195" customWidth="1"/>
    <col min="4379" max="4379" width="1.8515625" style="195" customWidth="1"/>
    <col min="4380" max="4380" width="16.7109375" style="195" customWidth="1"/>
    <col min="4381" max="4381" width="1.8515625" style="195" customWidth="1"/>
    <col min="4382" max="4382" width="17.8515625" style="195" customWidth="1"/>
    <col min="4383" max="4383" width="5.28125" style="195" customWidth="1"/>
    <col min="4384" max="4384" width="16.7109375" style="195" customWidth="1"/>
    <col min="4385" max="4385" width="5.28125" style="195" customWidth="1"/>
    <col min="4386" max="4386" width="14.421875" style="195" customWidth="1"/>
    <col min="4387" max="4387" width="1.8515625" style="195" customWidth="1"/>
    <col min="4388" max="4388" width="16.7109375" style="195" customWidth="1"/>
    <col min="4389" max="4598" width="11.00390625" style="195" customWidth="1"/>
    <col min="4599" max="4599" width="7.57421875" style="195" customWidth="1"/>
    <col min="4600" max="4600" width="15.57421875" style="195" customWidth="1"/>
    <col min="4601" max="4601" width="20.140625" style="195" customWidth="1"/>
    <col min="4602" max="4602" width="2.28125" style="195" customWidth="1"/>
    <col min="4603" max="4603" width="17.421875" style="195" customWidth="1"/>
    <col min="4604" max="4604" width="1.8515625" style="195" customWidth="1"/>
    <col min="4605" max="4605" width="18.7109375" style="195" customWidth="1"/>
    <col min="4606" max="4606" width="1.8515625" style="195" customWidth="1"/>
    <col min="4607" max="4607" width="23.00390625" style="195" customWidth="1"/>
    <col min="4608" max="4608" width="1.8515625" style="195" customWidth="1"/>
    <col min="4609" max="4609" width="17.421875" style="195" customWidth="1"/>
    <col min="4610" max="4610" width="3.00390625" style="195" customWidth="1"/>
    <col min="4611" max="4611" width="16.28125" style="195" customWidth="1"/>
    <col min="4612" max="4612" width="3.00390625" style="195" customWidth="1"/>
    <col min="4613" max="4613" width="14.140625" style="195" customWidth="1"/>
    <col min="4614" max="4614" width="2.00390625" style="195" customWidth="1"/>
    <col min="4615" max="4615" width="15.8515625" style="195" customWidth="1"/>
    <col min="4616" max="4616" width="3.140625" style="195" customWidth="1"/>
    <col min="4617" max="4617" width="17.8515625" style="195" customWidth="1"/>
    <col min="4618" max="4618" width="2.57421875" style="195" customWidth="1"/>
    <col min="4619" max="4619" width="15.57421875" style="195" customWidth="1"/>
    <col min="4620" max="4620" width="1.8515625" style="195" customWidth="1"/>
    <col min="4621" max="4621" width="14.140625" style="195" customWidth="1"/>
    <col min="4622" max="4622" width="11.00390625" style="195" customWidth="1"/>
    <col min="4623" max="4624" width="25.00390625" style="195" customWidth="1"/>
    <col min="4625" max="4625" width="1.8515625" style="195" customWidth="1"/>
    <col min="4626" max="4626" width="17.8515625" style="195" customWidth="1"/>
    <col min="4627" max="4627" width="1.8515625" style="195" customWidth="1"/>
    <col min="4628" max="4628" width="19.00390625" style="195" customWidth="1"/>
    <col min="4629" max="4629" width="1.8515625" style="195" customWidth="1"/>
    <col min="4630" max="4630" width="16.7109375" style="195" customWidth="1"/>
    <col min="4631" max="4631" width="1.8515625" style="195" customWidth="1"/>
    <col min="4632" max="4632" width="16.7109375" style="195" customWidth="1"/>
    <col min="4633" max="4633" width="1.8515625" style="195" customWidth="1"/>
    <col min="4634" max="4634" width="16.7109375" style="195" customWidth="1"/>
    <col min="4635" max="4635" width="1.8515625" style="195" customWidth="1"/>
    <col min="4636" max="4636" width="16.7109375" style="195" customWidth="1"/>
    <col min="4637" max="4637" width="1.8515625" style="195" customWidth="1"/>
    <col min="4638" max="4638" width="17.8515625" style="195" customWidth="1"/>
    <col min="4639" max="4639" width="5.28125" style="195" customWidth="1"/>
    <col min="4640" max="4640" width="16.7109375" style="195" customWidth="1"/>
    <col min="4641" max="4641" width="5.28125" style="195" customWidth="1"/>
    <col min="4642" max="4642" width="14.421875" style="195" customWidth="1"/>
    <col min="4643" max="4643" width="1.8515625" style="195" customWidth="1"/>
    <col min="4644" max="4644" width="16.7109375" style="195" customWidth="1"/>
    <col min="4645" max="4854" width="11.00390625" style="195" customWidth="1"/>
    <col min="4855" max="4855" width="7.57421875" style="195" customWidth="1"/>
    <col min="4856" max="4856" width="15.57421875" style="195" customWidth="1"/>
    <col min="4857" max="4857" width="20.140625" style="195" customWidth="1"/>
    <col min="4858" max="4858" width="2.28125" style="195" customWidth="1"/>
    <col min="4859" max="4859" width="17.421875" style="195" customWidth="1"/>
    <col min="4860" max="4860" width="1.8515625" style="195" customWidth="1"/>
    <col min="4861" max="4861" width="18.7109375" style="195" customWidth="1"/>
    <col min="4862" max="4862" width="1.8515625" style="195" customWidth="1"/>
    <col min="4863" max="4863" width="23.00390625" style="195" customWidth="1"/>
    <col min="4864" max="4864" width="1.8515625" style="195" customWidth="1"/>
    <col min="4865" max="4865" width="17.421875" style="195" customWidth="1"/>
    <col min="4866" max="4866" width="3.00390625" style="195" customWidth="1"/>
    <col min="4867" max="4867" width="16.28125" style="195" customWidth="1"/>
    <col min="4868" max="4868" width="3.00390625" style="195" customWidth="1"/>
    <col min="4869" max="4869" width="14.140625" style="195" customWidth="1"/>
    <col min="4870" max="4870" width="2.00390625" style="195" customWidth="1"/>
    <col min="4871" max="4871" width="15.8515625" style="195" customWidth="1"/>
    <col min="4872" max="4872" width="3.140625" style="195" customWidth="1"/>
    <col min="4873" max="4873" width="17.8515625" style="195" customWidth="1"/>
    <col min="4874" max="4874" width="2.57421875" style="195" customWidth="1"/>
    <col min="4875" max="4875" width="15.57421875" style="195" customWidth="1"/>
    <col min="4876" max="4876" width="1.8515625" style="195" customWidth="1"/>
    <col min="4877" max="4877" width="14.140625" style="195" customWidth="1"/>
    <col min="4878" max="4878" width="11.00390625" style="195" customWidth="1"/>
    <col min="4879" max="4880" width="25.00390625" style="195" customWidth="1"/>
    <col min="4881" max="4881" width="1.8515625" style="195" customWidth="1"/>
    <col min="4882" max="4882" width="17.8515625" style="195" customWidth="1"/>
    <col min="4883" max="4883" width="1.8515625" style="195" customWidth="1"/>
    <col min="4884" max="4884" width="19.00390625" style="195" customWidth="1"/>
    <col min="4885" max="4885" width="1.8515625" style="195" customWidth="1"/>
    <col min="4886" max="4886" width="16.7109375" style="195" customWidth="1"/>
    <col min="4887" max="4887" width="1.8515625" style="195" customWidth="1"/>
    <col min="4888" max="4888" width="16.7109375" style="195" customWidth="1"/>
    <col min="4889" max="4889" width="1.8515625" style="195" customWidth="1"/>
    <col min="4890" max="4890" width="16.7109375" style="195" customWidth="1"/>
    <col min="4891" max="4891" width="1.8515625" style="195" customWidth="1"/>
    <col min="4892" max="4892" width="16.7109375" style="195" customWidth="1"/>
    <col min="4893" max="4893" width="1.8515625" style="195" customWidth="1"/>
    <col min="4894" max="4894" width="17.8515625" style="195" customWidth="1"/>
    <col min="4895" max="4895" width="5.28125" style="195" customWidth="1"/>
    <col min="4896" max="4896" width="16.7109375" style="195" customWidth="1"/>
    <col min="4897" max="4897" width="5.28125" style="195" customWidth="1"/>
    <col min="4898" max="4898" width="14.421875" style="195" customWidth="1"/>
    <col min="4899" max="4899" width="1.8515625" style="195" customWidth="1"/>
    <col min="4900" max="4900" width="16.7109375" style="195" customWidth="1"/>
    <col min="4901" max="5110" width="11.00390625" style="195" customWidth="1"/>
    <col min="5111" max="5111" width="7.57421875" style="195" customWidth="1"/>
    <col min="5112" max="5112" width="15.57421875" style="195" customWidth="1"/>
    <col min="5113" max="5113" width="20.140625" style="195" customWidth="1"/>
    <col min="5114" max="5114" width="2.28125" style="195" customWidth="1"/>
    <col min="5115" max="5115" width="17.421875" style="195" customWidth="1"/>
    <col min="5116" max="5116" width="1.8515625" style="195" customWidth="1"/>
    <col min="5117" max="5117" width="18.7109375" style="195" customWidth="1"/>
    <col min="5118" max="5118" width="1.8515625" style="195" customWidth="1"/>
    <col min="5119" max="5119" width="23.00390625" style="195" customWidth="1"/>
    <col min="5120" max="5120" width="1.8515625" style="195" customWidth="1"/>
    <col min="5121" max="5121" width="17.421875" style="195" customWidth="1"/>
    <col min="5122" max="5122" width="3.00390625" style="195" customWidth="1"/>
    <col min="5123" max="5123" width="16.28125" style="195" customWidth="1"/>
    <col min="5124" max="5124" width="3.00390625" style="195" customWidth="1"/>
    <col min="5125" max="5125" width="14.140625" style="195" customWidth="1"/>
    <col min="5126" max="5126" width="2.00390625" style="195" customWidth="1"/>
    <col min="5127" max="5127" width="15.8515625" style="195" customWidth="1"/>
    <col min="5128" max="5128" width="3.140625" style="195" customWidth="1"/>
    <col min="5129" max="5129" width="17.8515625" style="195" customWidth="1"/>
    <col min="5130" max="5130" width="2.57421875" style="195" customWidth="1"/>
    <col min="5131" max="5131" width="15.57421875" style="195" customWidth="1"/>
    <col min="5132" max="5132" width="1.8515625" style="195" customWidth="1"/>
    <col min="5133" max="5133" width="14.140625" style="195" customWidth="1"/>
    <col min="5134" max="5134" width="11.00390625" style="195" customWidth="1"/>
    <col min="5135" max="5136" width="25.00390625" style="195" customWidth="1"/>
    <col min="5137" max="5137" width="1.8515625" style="195" customWidth="1"/>
    <col min="5138" max="5138" width="17.8515625" style="195" customWidth="1"/>
    <col min="5139" max="5139" width="1.8515625" style="195" customWidth="1"/>
    <col min="5140" max="5140" width="19.00390625" style="195" customWidth="1"/>
    <col min="5141" max="5141" width="1.8515625" style="195" customWidth="1"/>
    <col min="5142" max="5142" width="16.7109375" style="195" customWidth="1"/>
    <col min="5143" max="5143" width="1.8515625" style="195" customWidth="1"/>
    <col min="5144" max="5144" width="16.7109375" style="195" customWidth="1"/>
    <col min="5145" max="5145" width="1.8515625" style="195" customWidth="1"/>
    <col min="5146" max="5146" width="16.7109375" style="195" customWidth="1"/>
    <col min="5147" max="5147" width="1.8515625" style="195" customWidth="1"/>
    <col min="5148" max="5148" width="16.7109375" style="195" customWidth="1"/>
    <col min="5149" max="5149" width="1.8515625" style="195" customWidth="1"/>
    <col min="5150" max="5150" width="17.8515625" style="195" customWidth="1"/>
    <col min="5151" max="5151" width="5.28125" style="195" customWidth="1"/>
    <col min="5152" max="5152" width="16.7109375" style="195" customWidth="1"/>
    <col min="5153" max="5153" width="5.28125" style="195" customWidth="1"/>
    <col min="5154" max="5154" width="14.421875" style="195" customWidth="1"/>
    <col min="5155" max="5155" width="1.8515625" style="195" customWidth="1"/>
    <col min="5156" max="5156" width="16.7109375" style="195" customWidth="1"/>
    <col min="5157" max="5366" width="11.00390625" style="195" customWidth="1"/>
    <col min="5367" max="5367" width="7.57421875" style="195" customWidth="1"/>
    <col min="5368" max="5368" width="15.57421875" style="195" customWidth="1"/>
    <col min="5369" max="5369" width="20.140625" style="195" customWidth="1"/>
    <col min="5370" max="5370" width="2.28125" style="195" customWidth="1"/>
    <col min="5371" max="5371" width="17.421875" style="195" customWidth="1"/>
    <col min="5372" max="5372" width="1.8515625" style="195" customWidth="1"/>
    <col min="5373" max="5373" width="18.7109375" style="195" customWidth="1"/>
    <col min="5374" max="5374" width="1.8515625" style="195" customWidth="1"/>
    <col min="5375" max="5375" width="23.00390625" style="195" customWidth="1"/>
    <col min="5376" max="5376" width="1.8515625" style="195" customWidth="1"/>
    <col min="5377" max="5377" width="17.421875" style="195" customWidth="1"/>
    <col min="5378" max="5378" width="3.00390625" style="195" customWidth="1"/>
    <col min="5379" max="5379" width="16.28125" style="195" customWidth="1"/>
    <col min="5380" max="5380" width="3.00390625" style="195" customWidth="1"/>
    <col min="5381" max="5381" width="14.140625" style="195" customWidth="1"/>
    <col min="5382" max="5382" width="2.00390625" style="195" customWidth="1"/>
    <col min="5383" max="5383" width="15.8515625" style="195" customWidth="1"/>
    <col min="5384" max="5384" width="3.140625" style="195" customWidth="1"/>
    <col min="5385" max="5385" width="17.8515625" style="195" customWidth="1"/>
    <col min="5386" max="5386" width="2.57421875" style="195" customWidth="1"/>
    <col min="5387" max="5387" width="15.57421875" style="195" customWidth="1"/>
    <col min="5388" max="5388" width="1.8515625" style="195" customWidth="1"/>
    <col min="5389" max="5389" width="14.140625" style="195" customWidth="1"/>
    <col min="5390" max="5390" width="11.00390625" style="195" customWidth="1"/>
    <col min="5391" max="5392" width="25.00390625" style="195" customWidth="1"/>
    <col min="5393" max="5393" width="1.8515625" style="195" customWidth="1"/>
    <col min="5394" max="5394" width="17.8515625" style="195" customWidth="1"/>
    <col min="5395" max="5395" width="1.8515625" style="195" customWidth="1"/>
    <col min="5396" max="5396" width="19.00390625" style="195" customWidth="1"/>
    <col min="5397" max="5397" width="1.8515625" style="195" customWidth="1"/>
    <col min="5398" max="5398" width="16.7109375" style="195" customWidth="1"/>
    <col min="5399" max="5399" width="1.8515625" style="195" customWidth="1"/>
    <col min="5400" max="5400" width="16.7109375" style="195" customWidth="1"/>
    <col min="5401" max="5401" width="1.8515625" style="195" customWidth="1"/>
    <col min="5402" max="5402" width="16.7109375" style="195" customWidth="1"/>
    <col min="5403" max="5403" width="1.8515625" style="195" customWidth="1"/>
    <col min="5404" max="5404" width="16.7109375" style="195" customWidth="1"/>
    <col min="5405" max="5405" width="1.8515625" style="195" customWidth="1"/>
    <col min="5406" max="5406" width="17.8515625" style="195" customWidth="1"/>
    <col min="5407" max="5407" width="5.28125" style="195" customWidth="1"/>
    <col min="5408" max="5408" width="16.7109375" style="195" customWidth="1"/>
    <col min="5409" max="5409" width="5.28125" style="195" customWidth="1"/>
    <col min="5410" max="5410" width="14.421875" style="195" customWidth="1"/>
    <col min="5411" max="5411" width="1.8515625" style="195" customWidth="1"/>
    <col min="5412" max="5412" width="16.7109375" style="195" customWidth="1"/>
    <col min="5413" max="5622" width="11.00390625" style="195" customWidth="1"/>
    <col min="5623" max="5623" width="7.57421875" style="195" customWidth="1"/>
    <col min="5624" max="5624" width="15.57421875" style="195" customWidth="1"/>
    <col min="5625" max="5625" width="20.140625" style="195" customWidth="1"/>
    <col min="5626" max="5626" width="2.28125" style="195" customWidth="1"/>
    <col min="5627" max="5627" width="17.421875" style="195" customWidth="1"/>
    <col min="5628" max="5628" width="1.8515625" style="195" customWidth="1"/>
    <col min="5629" max="5629" width="18.7109375" style="195" customWidth="1"/>
    <col min="5630" max="5630" width="1.8515625" style="195" customWidth="1"/>
    <col min="5631" max="5631" width="23.00390625" style="195" customWidth="1"/>
    <col min="5632" max="5632" width="1.8515625" style="195" customWidth="1"/>
    <col min="5633" max="5633" width="17.421875" style="195" customWidth="1"/>
    <col min="5634" max="5634" width="3.00390625" style="195" customWidth="1"/>
    <col min="5635" max="5635" width="16.28125" style="195" customWidth="1"/>
    <col min="5636" max="5636" width="3.00390625" style="195" customWidth="1"/>
    <col min="5637" max="5637" width="14.140625" style="195" customWidth="1"/>
    <col min="5638" max="5638" width="2.00390625" style="195" customWidth="1"/>
    <col min="5639" max="5639" width="15.8515625" style="195" customWidth="1"/>
    <col min="5640" max="5640" width="3.140625" style="195" customWidth="1"/>
    <col min="5641" max="5641" width="17.8515625" style="195" customWidth="1"/>
    <col min="5642" max="5642" width="2.57421875" style="195" customWidth="1"/>
    <col min="5643" max="5643" width="15.57421875" style="195" customWidth="1"/>
    <col min="5644" max="5644" width="1.8515625" style="195" customWidth="1"/>
    <col min="5645" max="5645" width="14.140625" style="195" customWidth="1"/>
    <col min="5646" max="5646" width="11.00390625" style="195" customWidth="1"/>
    <col min="5647" max="5648" width="25.00390625" style="195" customWidth="1"/>
    <col min="5649" max="5649" width="1.8515625" style="195" customWidth="1"/>
    <col min="5650" max="5650" width="17.8515625" style="195" customWidth="1"/>
    <col min="5651" max="5651" width="1.8515625" style="195" customWidth="1"/>
    <col min="5652" max="5652" width="19.00390625" style="195" customWidth="1"/>
    <col min="5653" max="5653" width="1.8515625" style="195" customWidth="1"/>
    <col min="5654" max="5654" width="16.7109375" style="195" customWidth="1"/>
    <col min="5655" max="5655" width="1.8515625" style="195" customWidth="1"/>
    <col min="5656" max="5656" width="16.7109375" style="195" customWidth="1"/>
    <col min="5657" max="5657" width="1.8515625" style="195" customWidth="1"/>
    <col min="5658" max="5658" width="16.7109375" style="195" customWidth="1"/>
    <col min="5659" max="5659" width="1.8515625" style="195" customWidth="1"/>
    <col min="5660" max="5660" width="16.7109375" style="195" customWidth="1"/>
    <col min="5661" max="5661" width="1.8515625" style="195" customWidth="1"/>
    <col min="5662" max="5662" width="17.8515625" style="195" customWidth="1"/>
    <col min="5663" max="5663" width="5.28125" style="195" customWidth="1"/>
    <col min="5664" max="5664" width="16.7109375" style="195" customWidth="1"/>
    <col min="5665" max="5665" width="5.28125" style="195" customWidth="1"/>
    <col min="5666" max="5666" width="14.421875" style="195" customWidth="1"/>
    <col min="5667" max="5667" width="1.8515625" style="195" customWidth="1"/>
    <col min="5668" max="5668" width="16.7109375" style="195" customWidth="1"/>
    <col min="5669" max="5878" width="11.00390625" style="195" customWidth="1"/>
    <col min="5879" max="5879" width="7.57421875" style="195" customWidth="1"/>
    <col min="5880" max="5880" width="15.57421875" style="195" customWidth="1"/>
    <col min="5881" max="5881" width="20.140625" style="195" customWidth="1"/>
    <col min="5882" max="5882" width="2.28125" style="195" customWidth="1"/>
    <col min="5883" max="5883" width="17.421875" style="195" customWidth="1"/>
    <col min="5884" max="5884" width="1.8515625" style="195" customWidth="1"/>
    <col min="5885" max="5885" width="18.7109375" style="195" customWidth="1"/>
    <col min="5886" max="5886" width="1.8515625" style="195" customWidth="1"/>
    <col min="5887" max="5887" width="23.00390625" style="195" customWidth="1"/>
    <col min="5888" max="5888" width="1.8515625" style="195" customWidth="1"/>
    <col min="5889" max="5889" width="17.421875" style="195" customWidth="1"/>
    <col min="5890" max="5890" width="3.00390625" style="195" customWidth="1"/>
    <col min="5891" max="5891" width="16.28125" style="195" customWidth="1"/>
    <col min="5892" max="5892" width="3.00390625" style="195" customWidth="1"/>
    <col min="5893" max="5893" width="14.140625" style="195" customWidth="1"/>
    <col min="5894" max="5894" width="2.00390625" style="195" customWidth="1"/>
    <col min="5895" max="5895" width="15.8515625" style="195" customWidth="1"/>
    <col min="5896" max="5896" width="3.140625" style="195" customWidth="1"/>
    <col min="5897" max="5897" width="17.8515625" style="195" customWidth="1"/>
    <col min="5898" max="5898" width="2.57421875" style="195" customWidth="1"/>
    <col min="5899" max="5899" width="15.57421875" style="195" customWidth="1"/>
    <col min="5900" max="5900" width="1.8515625" style="195" customWidth="1"/>
    <col min="5901" max="5901" width="14.140625" style="195" customWidth="1"/>
    <col min="5902" max="5902" width="11.00390625" style="195" customWidth="1"/>
    <col min="5903" max="5904" width="25.00390625" style="195" customWidth="1"/>
    <col min="5905" max="5905" width="1.8515625" style="195" customWidth="1"/>
    <col min="5906" max="5906" width="17.8515625" style="195" customWidth="1"/>
    <col min="5907" max="5907" width="1.8515625" style="195" customWidth="1"/>
    <col min="5908" max="5908" width="19.00390625" style="195" customWidth="1"/>
    <col min="5909" max="5909" width="1.8515625" style="195" customWidth="1"/>
    <col min="5910" max="5910" width="16.7109375" style="195" customWidth="1"/>
    <col min="5911" max="5911" width="1.8515625" style="195" customWidth="1"/>
    <col min="5912" max="5912" width="16.7109375" style="195" customWidth="1"/>
    <col min="5913" max="5913" width="1.8515625" style="195" customWidth="1"/>
    <col min="5914" max="5914" width="16.7109375" style="195" customWidth="1"/>
    <col min="5915" max="5915" width="1.8515625" style="195" customWidth="1"/>
    <col min="5916" max="5916" width="16.7109375" style="195" customWidth="1"/>
    <col min="5917" max="5917" width="1.8515625" style="195" customWidth="1"/>
    <col min="5918" max="5918" width="17.8515625" style="195" customWidth="1"/>
    <col min="5919" max="5919" width="5.28125" style="195" customWidth="1"/>
    <col min="5920" max="5920" width="16.7109375" style="195" customWidth="1"/>
    <col min="5921" max="5921" width="5.28125" style="195" customWidth="1"/>
    <col min="5922" max="5922" width="14.421875" style="195" customWidth="1"/>
    <col min="5923" max="5923" width="1.8515625" style="195" customWidth="1"/>
    <col min="5924" max="5924" width="16.7109375" style="195" customWidth="1"/>
    <col min="5925" max="6134" width="11.00390625" style="195" customWidth="1"/>
    <col min="6135" max="6135" width="7.57421875" style="195" customWidth="1"/>
    <col min="6136" max="6136" width="15.57421875" style="195" customWidth="1"/>
    <col min="6137" max="6137" width="20.140625" style="195" customWidth="1"/>
    <col min="6138" max="6138" width="2.28125" style="195" customWidth="1"/>
    <col min="6139" max="6139" width="17.421875" style="195" customWidth="1"/>
    <col min="6140" max="6140" width="1.8515625" style="195" customWidth="1"/>
    <col min="6141" max="6141" width="18.7109375" style="195" customWidth="1"/>
    <col min="6142" max="6142" width="1.8515625" style="195" customWidth="1"/>
    <col min="6143" max="6143" width="23.00390625" style="195" customWidth="1"/>
    <col min="6144" max="6144" width="1.8515625" style="195" customWidth="1"/>
    <col min="6145" max="6145" width="17.421875" style="195" customWidth="1"/>
    <col min="6146" max="6146" width="3.00390625" style="195" customWidth="1"/>
    <col min="6147" max="6147" width="16.28125" style="195" customWidth="1"/>
    <col min="6148" max="6148" width="3.00390625" style="195" customWidth="1"/>
    <col min="6149" max="6149" width="14.140625" style="195" customWidth="1"/>
    <col min="6150" max="6150" width="2.00390625" style="195" customWidth="1"/>
    <col min="6151" max="6151" width="15.8515625" style="195" customWidth="1"/>
    <col min="6152" max="6152" width="3.140625" style="195" customWidth="1"/>
    <col min="6153" max="6153" width="17.8515625" style="195" customWidth="1"/>
    <col min="6154" max="6154" width="2.57421875" style="195" customWidth="1"/>
    <col min="6155" max="6155" width="15.57421875" style="195" customWidth="1"/>
    <col min="6156" max="6156" width="1.8515625" style="195" customWidth="1"/>
    <col min="6157" max="6157" width="14.140625" style="195" customWidth="1"/>
    <col min="6158" max="6158" width="11.00390625" style="195" customWidth="1"/>
    <col min="6159" max="6160" width="25.00390625" style="195" customWidth="1"/>
    <col min="6161" max="6161" width="1.8515625" style="195" customWidth="1"/>
    <col min="6162" max="6162" width="17.8515625" style="195" customWidth="1"/>
    <col min="6163" max="6163" width="1.8515625" style="195" customWidth="1"/>
    <col min="6164" max="6164" width="19.00390625" style="195" customWidth="1"/>
    <col min="6165" max="6165" width="1.8515625" style="195" customWidth="1"/>
    <col min="6166" max="6166" width="16.7109375" style="195" customWidth="1"/>
    <col min="6167" max="6167" width="1.8515625" style="195" customWidth="1"/>
    <col min="6168" max="6168" width="16.7109375" style="195" customWidth="1"/>
    <col min="6169" max="6169" width="1.8515625" style="195" customWidth="1"/>
    <col min="6170" max="6170" width="16.7109375" style="195" customWidth="1"/>
    <col min="6171" max="6171" width="1.8515625" style="195" customWidth="1"/>
    <col min="6172" max="6172" width="16.7109375" style="195" customWidth="1"/>
    <col min="6173" max="6173" width="1.8515625" style="195" customWidth="1"/>
    <col min="6174" max="6174" width="17.8515625" style="195" customWidth="1"/>
    <col min="6175" max="6175" width="5.28125" style="195" customWidth="1"/>
    <col min="6176" max="6176" width="16.7109375" style="195" customWidth="1"/>
    <col min="6177" max="6177" width="5.28125" style="195" customWidth="1"/>
    <col min="6178" max="6178" width="14.421875" style="195" customWidth="1"/>
    <col min="6179" max="6179" width="1.8515625" style="195" customWidth="1"/>
    <col min="6180" max="6180" width="16.7109375" style="195" customWidth="1"/>
    <col min="6181" max="6390" width="11.00390625" style="195" customWidth="1"/>
    <col min="6391" max="6391" width="7.57421875" style="195" customWidth="1"/>
    <col min="6392" max="6392" width="15.57421875" style="195" customWidth="1"/>
    <col min="6393" max="6393" width="20.140625" style="195" customWidth="1"/>
    <col min="6394" max="6394" width="2.28125" style="195" customWidth="1"/>
    <col min="6395" max="6395" width="17.421875" style="195" customWidth="1"/>
    <col min="6396" max="6396" width="1.8515625" style="195" customWidth="1"/>
    <col min="6397" max="6397" width="18.7109375" style="195" customWidth="1"/>
    <col min="6398" max="6398" width="1.8515625" style="195" customWidth="1"/>
    <col min="6399" max="6399" width="23.00390625" style="195" customWidth="1"/>
    <col min="6400" max="6400" width="1.8515625" style="195" customWidth="1"/>
    <col min="6401" max="6401" width="17.421875" style="195" customWidth="1"/>
    <col min="6402" max="6402" width="3.00390625" style="195" customWidth="1"/>
    <col min="6403" max="6403" width="16.28125" style="195" customWidth="1"/>
    <col min="6404" max="6404" width="3.00390625" style="195" customWidth="1"/>
    <col min="6405" max="6405" width="14.140625" style="195" customWidth="1"/>
    <col min="6406" max="6406" width="2.00390625" style="195" customWidth="1"/>
    <col min="6407" max="6407" width="15.8515625" style="195" customWidth="1"/>
    <col min="6408" max="6408" width="3.140625" style="195" customWidth="1"/>
    <col min="6409" max="6409" width="17.8515625" style="195" customWidth="1"/>
    <col min="6410" max="6410" width="2.57421875" style="195" customWidth="1"/>
    <col min="6411" max="6411" width="15.57421875" style="195" customWidth="1"/>
    <col min="6412" max="6412" width="1.8515625" style="195" customWidth="1"/>
    <col min="6413" max="6413" width="14.140625" style="195" customWidth="1"/>
    <col min="6414" max="6414" width="11.00390625" style="195" customWidth="1"/>
    <col min="6415" max="6416" width="25.00390625" style="195" customWidth="1"/>
    <col min="6417" max="6417" width="1.8515625" style="195" customWidth="1"/>
    <col min="6418" max="6418" width="17.8515625" style="195" customWidth="1"/>
    <col min="6419" max="6419" width="1.8515625" style="195" customWidth="1"/>
    <col min="6420" max="6420" width="19.00390625" style="195" customWidth="1"/>
    <col min="6421" max="6421" width="1.8515625" style="195" customWidth="1"/>
    <col min="6422" max="6422" width="16.7109375" style="195" customWidth="1"/>
    <col min="6423" max="6423" width="1.8515625" style="195" customWidth="1"/>
    <col min="6424" max="6424" width="16.7109375" style="195" customWidth="1"/>
    <col min="6425" max="6425" width="1.8515625" style="195" customWidth="1"/>
    <col min="6426" max="6426" width="16.7109375" style="195" customWidth="1"/>
    <col min="6427" max="6427" width="1.8515625" style="195" customWidth="1"/>
    <col min="6428" max="6428" width="16.7109375" style="195" customWidth="1"/>
    <col min="6429" max="6429" width="1.8515625" style="195" customWidth="1"/>
    <col min="6430" max="6430" width="17.8515625" style="195" customWidth="1"/>
    <col min="6431" max="6431" width="5.28125" style="195" customWidth="1"/>
    <col min="6432" max="6432" width="16.7109375" style="195" customWidth="1"/>
    <col min="6433" max="6433" width="5.28125" style="195" customWidth="1"/>
    <col min="6434" max="6434" width="14.421875" style="195" customWidth="1"/>
    <col min="6435" max="6435" width="1.8515625" style="195" customWidth="1"/>
    <col min="6436" max="6436" width="16.7109375" style="195" customWidth="1"/>
    <col min="6437" max="6646" width="11.00390625" style="195" customWidth="1"/>
    <col min="6647" max="6647" width="7.57421875" style="195" customWidth="1"/>
    <col min="6648" max="6648" width="15.57421875" style="195" customWidth="1"/>
    <col min="6649" max="6649" width="20.140625" style="195" customWidth="1"/>
    <col min="6650" max="6650" width="2.28125" style="195" customWidth="1"/>
    <col min="6651" max="6651" width="17.421875" style="195" customWidth="1"/>
    <col min="6652" max="6652" width="1.8515625" style="195" customWidth="1"/>
    <col min="6653" max="6653" width="18.7109375" style="195" customWidth="1"/>
    <col min="6654" max="6654" width="1.8515625" style="195" customWidth="1"/>
    <col min="6655" max="6655" width="23.00390625" style="195" customWidth="1"/>
    <col min="6656" max="6656" width="1.8515625" style="195" customWidth="1"/>
    <col min="6657" max="6657" width="17.421875" style="195" customWidth="1"/>
    <col min="6658" max="6658" width="3.00390625" style="195" customWidth="1"/>
    <col min="6659" max="6659" width="16.28125" style="195" customWidth="1"/>
    <col min="6660" max="6660" width="3.00390625" style="195" customWidth="1"/>
    <col min="6661" max="6661" width="14.140625" style="195" customWidth="1"/>
    <col min="6662" max="6662" width="2.00390625" style="195" customWidth="1"/>
    <col min="6663" max="6663" width="15.8515625" style="195" customWidth="1"/>
    <col min="6664" max="6664" width="3.140625" style="195" customWidth="1"/>
    <col min="6665" max="6665" width="17.8515625" style="195" customWidth="1"/>
    <col min="6666" max="6666" width="2.57421875" style="195" customWidth="1"/>
    <col min="6667" max="6667" width="15.57421875" style="195" customWidth="1"/>
    <col min="6668" max="6668" width="1.8515625" style="195" customWidth="1"/>
    <col min="6669" max="6669" width="14.140625" style="195" customWidth="1"/>
    <col min="6670" max="6670" width="11.00390625" style="195" customWidth="1"/>
    <col min="6671" max="6672" width="25.00390625" style="195" customWidth="1"/>
    <col min="6673" max="6673" width="1.8515625" style="195" customWidth="1"/>
    <col min="6674" max="6674" width="17.8515625" style="195" customWidth="1"/>
    <col min="6675" max="6675" width="1.8515625" style="195" customWidth="1"/>
    <col min="6676" max="6676" width="19.00390625" style="195" customWidth="1"/>
    <col min="6677" max="6677" width="1.8515625" style="195" customWidth="1"/>
    <col min="6678" max="6678" width="16.7109375" style="195" customWidth="1"/>
    <col min="6679" max="6679" width="1.8515625" style="195" customWidth="1"/>
    <col min="6680" max="6680" width="16.7109375" style="195" customWidth="1"/>
    <col min="6681" max="6681" width="1.8515625" style="195" customWidth="1"/>
    <col min="6682" max="6682" width="16.7109375" style="195" customWidth="1"/>
    <col min="6683" max="6683" width="1.8515625" style="195" customWidth="1"/>
    <col min="6684" max="6684" width="16.7109375" style="195" customWidth="1"/>
    <col min="6685" max="6685" width="1.8515625" style="195" customWidth="1"/>
    <col min="6686" max="6686" width="17.8515625" style="195" customWidth="1"/>
    <col min="6687" max="6687" width="5.28125" style="195" customWidth="1"/>
    <col min="6688" max="6688" width="16.7109375" style="195" customWidth="1"/>
    <col min="6689" max="6689" width="5.28125" style="195" customWidth="1"/>
    <col min="6690" max="6690" width="14.421875" style="195" customWidth="1"/>
    <col min="6691" max="6691" width="1.8515625" style="195" customWidth="1"/>
    <col min="6692" max="6692" width="16.7109375" style="195" customWidth="1"/>
    <col min="6693" max="6902" width="11.00390625" style="195" customWidth="1"/>
    <col min="6903" max="6903" width="7.57421875" style="195" customWidth="1"/>
    <col min="6904" max="6904" width="15.57421875" style="195" customWidth="1"/>
    <col min="6905" max="6905" width="20.140625" style="195" customWidth="1"/>
    <col min="6906" max="6906" width="2.28125" style="195" customWidth="1"/>
    <col min="6907" max="6907" width="17.421875" style="195" customWidth="1"/>
    <col min="6908" max="6908" width="1.8515625" style="195" customWidth="1"/>
    <col min="6909" max="6909" width="18.7109375" style="195" customWidth="1"/>
    <col min="6910" max="6910" width="1.8515625" style="195" customWidth="1"/>
    <col min="6911" max="6911" width="23.00390625" style="195" customWidth="1"/>
    <col min="6912" max="6912" width="1.8515625" style="195" customWidth="1"/>
    <col min="6913" max="6913" width="17.421875" style="195" customWidth="1"/>
    <col min="6914" max="6914" width="3.00390625" style="195" customWidth="1"/>
    <col min="6915" max="6915" width="16.28125" style="195" customWidth="1"/>
    <col min="6916" max="6916" width="3.00390625" style="195" customWidth="1"/>
    <col min="6917" max="6917" width="14.140625" style="195" customWidth="1"/>
    <col min="6918" max="6918" width="2.00390625" style="195" customWidth="1"/>
    <col min="6919" max="6919" width="15.8515625" style="195" customWidth="1"/>
    <col min="6920" max="6920" width="3.140625" style="195" customWidth="1"/>
    <col min="6921" max="6921" width="17.8515625" style="195" customWidth="1"/>
    <col min="6922" max="6922" width="2.57421875" style="195" customWidth="1"/>
    <col min="6923" max="6923" width="15.57421875" style="195" customWidth="1"/>
    <col min="6924" max="6924" width="1.8515625" style="195" customWidth="1"/>
    <col min="6925" max="6925" width="14.140625" style="195" customWidth="1"/>
    <col min="6926" max="6926" width="11.00390625" style="195" customWidth="1"/>
    <col min="6927" max="6928" width="25.00390625" style="195" customWidth="1"/>
    <col min="6929" max="6929" width="1.8515625" style="195" customWidth="1"/>
    <col min="6930" max="6930" width="17.8515625" style="195" customWidth="1"/>
    <col min="6931" max="6931" width="1.8515625" style="195" customWidth="1"/>
    <col min="6932" max="6932" width="19.00390625" style="195" customWidth="1"/>
    <col min="6933" max="6933" width="1.8515625" style="195" customWidth="1"/>
    <col min="6934" max="6934" width="16.7109375" style="195" customWidth="1"/>
    <col min="6935" max="6935" width="1.8515625" style="195" customWidth="1"/>
    <col min="6936" max="6936" width="16.7109375" style="195" customWidth="1"/>
    <col min="6937" max="6937" width="1.8515625" style="195" customWidth="1"/>
    <col min="6938" max="6938" width="16.7109375" style="195" customWidth="1"/>
    <col min="6939" max="6939" width="1.8515625" style="195" customWidth="1"/>
    <col min="6940" max="6940" width="16.7109375" style="195" customWidth="1"/>
    <col min="6941" max="6941" width="1.8515625" style="195" customWidth="1"/>
    <col min="6942" max="6942" width="17.8515625" style="195" customWidth="1"/>
    <col min="6943" max="6943" width="5.28125" style="195" customWidth="1"/>
    <col min="6944" max="6944" width="16.7109375" style="195" customWidth="1"/>
    <col min="6945" max="6945" width="5.28125" style="195" customWidth="1"/>
    <col min="6946" max="6946" width="14.421875" style="195" customWidth="1"/>
    <col min="6947" max="6947" width="1.8515625" style="195" customWidth="1"/>
    <col min="6948" max="6948" width="16.7109375" style="195" customWidth="1"/>
    <col min="6949" max="7158" width="11.00390625" style="195" customWidth="1"/>
    <col min="7159" max="7159" width="7.57421875" style="195" customWidth="1"/>
    <col min="7160" max="7160" width="15.57421875" style="195" customWidth="1"/>
    <col min="7161" max="7161" width="20.140625" style="195" customWidth="1"/>
    <col min="7162" max="7162" width="2.28125" style="195" customWidth="1"/>
    <col min="7163" max="7163" width="17.421875" style="195" customWidth="1"/>
    <col min="7164" max="7164" width="1.8515625" style="195" customWidth="1"/>
    <col min="7165" max="7165" width="18.7109375" style="195" customWidth="1"/>
    <col min="7166" max="7166" width="1.8515625" style="195" customWidth="1"/>
    <col min="7167" max="7167" width="23.00390625" style="195" customWidth="1"/>
    <col min="7168" max="7168" width="1.8515625" style="195" customWidth="1"/>
    <col min="7169" max="7169" width="17.421875" style="195" customWidth="1"/>
    <col min="7170" max="7170" width="3.00390625" style="195" customWidth="1"/>
    <col min="7171" max="7171" width="16.28125" style="195" customWidth="1"/>
    <col min="7172" max="7172" width="3.00390625" style="195" customWidth="1"/>
    <col min="7173" max="7173" width="14.140625" style="195" customWidth="1"/>
    <col min="7174" max="7174" width="2.00390625" style="195" customWidth="1"/>
    <col min="7175" max="7175" width="15.8515625" style="195" customWidth="1"/>
    <col min="7176" max="7176" width="3.140625" style="195" customWidth="1"/>
    <col min="7177" max="7177" width="17.8515625" style="195" customWidth="1"/>
    <col min="7178" max="7178" width="2.57421875" style="195" customWidth="1"/>
    <col min="7179" max="7179" width="15.57421875" style="195" customWidth="1"/>
    <col min="7180" max="7180" width="1.8515625" style="195" customWidth="1"/>
    <col min="7181" max="7181" width="14.140625" style="195" customWidth="1"/>
    <col min="7182" max="7182" width="11.00390625" style="195" customWidth="1"/>
    <col min="7183" max="7184" width="25.00390625" style="195" customWidth="1"/>
    <col min="7185" max="7185" width="1.8515625" style="195" customWidth="1"/>
    <col min="7186" max="7186" width="17.8515625" style="195" customWidth="1"/>
    <col min="7187" max="7187" width="1.8515625" style="195" customWidth="1"/>
    <col min="7188" max="7188" width="19.00390625" style="195" customWidth="1"/>
    <col min="7189" max="7189" width="1.8515625" style="195" customWidth="1"/>
    <col min="7190" max="7190" width="16.7109375" style="195" customWidth="1"/>
    <col min="7191" max="7191" width="1.8515625" style="195" customWidth="1"/>
    <col min="7192" max="7192" width="16.7109375" style="195" customWidth="1"/>
    <col min="7193" max="7193" width="1.8515625" style="195" customWidth="1"/>
    <col min="7194" max="7194" width="16.7109375" style="195" customWidth="1"/>
    <col min="7195" max="7195" width="1.8515625" style="195" customWidth="1"/>
    <col min="7196" max="7196" width="16.7109375" style="195" customWidth="1"/>
    <col min="7197" max="7197" width="1.8515625" style="195" customWidth="1"/>
    <col min="7198" max="7198" width="17.8515625" style="195" customWidth="1"/>
    <col min="7199" max="7199" width="5.28125" style="195" customWidth="1"/>
    <col min="7200" max="7200" width="16.7109375" style="195" customWidth="1"/>
    <col min="7201" max="7201" width="5.28125" style="195" customWidth="1"/>
    <col min="7202" max="7202" width="14.421875" style="195" customWidth="1"/>
    <col min="7203" max="7203" width="1.8515625" style="195" customWidth="1"/>
    <col min="7204" max="7204" width="16.7109375" style="195" customWidth="1"/>
    <col min="7205" max="7414" width="11.00390625" style="195" customWidth="1"/>
    <col min="7415" max="7415" width="7.57421875" style="195" customWidth="1"/>
    <col min="7416" max="7416" width="15.57421875" style="195" customWidth="1"/>
    <col min="7417" max="7417" width="20.140625" style="195" customWidth="1"/>
    <col min="7418" max="7418" width="2.28125" style="195" customWidth="1"/>
    <col min="7419" max="7419" width="17.421875" style="195" customWidth="1"/>
    <col min="7420" max="7420" width="1.8515625" style="195" customWidth="1"/>
    <col min="7421" max="7421" width="18.7109375" style="195" customWidth="1"/>
    <col min="7422" max="7422" width="1.8515625" style="195" customWidth="1"/>
    <col min="7423" max="7423" width="23.00390625" style="195" customWidth="1"/>
    <col min="7424" max="7424" width="1.8515625" style="195" customWidth="1"/>
    <col min="7425" max="7425" width="17.421875" style="195" customWidth="1"/>
    <col min="7426" max="7426" width="3.00390625" style="195" customWidth="1"/>
    <col min="7427" max="7427" width="16.28125" style="195" customWidth="1"/>
    <col min="7428" max="7428" width="3.00390625" style="195" customWidth="1"/>
    <col min="7429" max="7429" width="14.140625" style="195" customWidth="1"/>
    <col min="7430" max="7430" width="2.00390625" style="195" customWidth="1"/>
    <col min="7431" max="7431" width="15.8515625" style="195" customWidth="1"/>
    <col min="7432" max="7432" width="3.140625" style="195" customWidth="1"/>
    <col min="7433" max="7433" width="17.8515625" style="195" customWidth="1"/>
    <col min="7434" max="7434" width="2.57421875" style="195" customWidth="1"/>
    <col min="7435" max="7435" width="15.57421875" style="195" customWidth="1"/>
    <col min="7436" max="7436" width="1.8515625" style="195" customWidth="1"/>
    <col min="7437" max="7437" width="14.140625" style="195" customWidth="1"/>
    <col min="7438" max="7438" width="11.00390625" style="195" customWidth="1"/>
    <col min="7439" max="7440" width="25.00390625" style="195" customWidth="1"/>
    <col min="7441" max="7441" width="1.8515625" style="195" customWidth="1"/>
    <col min="7442" max="7442" width="17.8515625" style="195" customWidth="1"/>
    <col min="7443" max="7443" width="1.8515625" style="195" customWidth="1"/>
    <col min="7444" max="7444" width="19.00390625" style="195" customWidth="1"/>
    <col min="7445" max="7445" width="1.8515625" style="195" customWidth="1"/>
    <col min="7446" max="7446" width="16.7109375" style="195" customWidth="1"/>
    <col min="7447" max="7447" width="1.8515625" style="195" customWidth="1"/>
    <col min="7448" max="7448" width="16.7109375" style="195" customWidth="1"/>
    <col min="7449" max="7449" width="1.8515625" style="195" customWidth="1"/>
    <col min="7450" max="7450" width="16.7109375" style="195" customWidth="1"/>
    <col min="7451" max="7451" width="1.8515625" style="195" customWidth="1"/>
    <col min="7452" max="7452" width="16.7109375" style="195" customWidth="1"/>
    <col min="7453" max="7453" width="1.8515625" style="195" customWidth="1"/>
    <col min="7454" max="7454" width="17.8515625" style="195" customWidth="1"/>
    <col min="7455" max="7455" width="5.28125" style="195" customWidth="1"/>
    <col min="7456" max="7456" width="16.7109375" style="195" customWidth="1"/>
    <col min="7457" max="7457" width="5.28125" style="195" customWidth="1"/>
    <col min="7458" max="7458" width="14.421875" style="195" customWidth="1"/>
    <col min="7459" max="7459" width="1.8515625" style="195" customWidth="1"/>
    <col min="7460" max="7460" width="16.7109375" style="195" customWidth="1"/>
    <col min="7461" max="7670" width="11.00390625" style="195" customWidth="1"/>
    <col min="7671" max="7671" width="7.57421875" style="195" customWidth="1"/>
    <col min="7672" max="7672" width="15.57421875" style="195" customWidth="1"/>
    <col min="7673" max="7673" width="20.140625" style="195" customWidth="1"/>
    <col min="7674" max="7674" width="2.28125" style="195" customWidth="1"/>
    <col min="7675" max="7675" width="17.421875" style="195" customWidth="1"/>
    <col min="7676" max="7676" width="1.8515625" style="195" customWidth="1"/>
    <col min="7677" max="7677" width="18.7109375" style="195" customWidth="1"/>
    <col min="7678" max="7678" width="1.8515625" style="195" customWidth="1"/>
    <col min="7679" max="7679" width="23.00390625" style="195" customWidth="1"/>
    <col min="7680" max="7680" width="1.8515625" style="195" customWidth="1"/>
    <col min="7681" max="7681" width="17.421875" style="195" customWidth="1"/>
    <col min="7682" max="7682" width="3.00390625" style="195" customWidth="1"/>
    <col min="7683" max="7683" width="16.28125" style="195" customWidth="1"/>
    <col min="7684" max="7684" width="3.00390625" style="195" customWidth="1"/>
    <col min="7685" max="7685" width="14.140625" style="195" customWidth="1"/>
    <col min="7686" max="7686" width="2.00390625" style="195" customWidth="1"/>
    <col min="7687" max="7687" width="15.8515625" style="195" customWidth="1"/>
    <col min="7688" max="7688" width="3.140625" style="195" customWidth="1"/>
    <col min="7689" max="7689" width="17.8515625" style="195" customWidth="1"/>
    <col min="7690" max="7690" width="2.57421875" style="195" customWidth="1"/>
    <col min="7691" max="7691" width="15.57421875" style="195" customWidth="1"/>
    <col min="7692" max="7692" width="1.8515625" style="195" customWidth="1"/>
    <col min="7693" max="7693" width="14.140625" style="195" customWidth="1"/>
    <col min="7694" max="7694" width="11.00390625" style="195" customWidth="1"/>
    <col min="7695" max="7696" width="25.00390625" style="195" customWidth="1"/>
    <col min="7697" max="7697" width="1.8515625" style="195" customWidth="1"/>
    <col min="7698" max="7698" width="17.8515625" style="195" customWidth="1"/>
    <col min="7699" max="7699" width="1.8515625" style="195" customWidth="1"/>
    <col min="7700" max="7700" width="19.00390625" style="195" customWidth="1"/>
    <col min="7701" max="7701" width="1.8515625" style="195" customWidth="1"/>
    <col min="7702" max="7702" width="16.7109375" style="195" customWidth="1"/>
    <col min="7703" max="7703" width="1.8515625" style="195" customWidth="1"/>
    <col min="7704" max="7704" width="16.7109375" style="195" customWidth="1"/>
    <col min="7705" max="7705" width="1.8515625" style="195" customWidth="1"/>
    <col min="7706" max="7706" width="16.7109375" style="195" customWidth="1"/>
    <col min="7707" max="7707" width="1.8515625" style="195" customWidth="1"/>
    <col min="7708" max="7708" width="16.7109375" style="195" customWidth="1"/>
    <col min="7709" max="7709" width="1.8515625" style="195" customWidth="1"/>
    <col min="7710" max="7710" width="17.8515625" style="195" customWidth="1"/>
    <col min="7711" max="7711" width="5.28125" style="195" customWidth="1"/>
    <col min="7712" max="7712" width="16.7109375" style="195" customWidth="1"/>
    <col min="7713" max="7713" width="5.28125" style="195" customWidth="1"/>
    <col min="7714" max="7714" width="14.421875" style="195" customWidth="1"/>
    <col min="7715" max="7715" width="1.8515625" style="195" customWidth="1"/>
    <col min="7716" max="7716" width="16.7109375" style="195" customWidth="1"/>
    <col min="7717" max="7926" width="11.00390625" style="195" customWidth="1"/>
    <col min="7927" max="7927" width="7.57421875" style="195" customWidth="1"/>
    <col min="7928" max="7928" width="15.57421875" style="195" customWidth="1"/>
    <col min="7929" max="7929" width="20.140625" style="195" customWidth="1"/>
    <col min="7930" max="7930" width="2.28125" style="195" customWidth="1"/>
    <col min="7931" max="7931" width="17.421875" style="195" customWidth="1"/>
    <col min="7932" max="7932" width="1.8515625" style="195" customWidth="1"/>
    <col min="7933" max="7933" width="18.7109375" style="195" customWidth="1"/>
    <col min="7934" max="7934" width="1.8515625" style="195" customWidth="1"/>
    <col min="7935" max="7935" width="23.00390625" style="195" customWidth="1"/>
    <col min="7936" max="7936" width="1.8515625" style="195" customWidth="1"/>
    <col min="7937" max="7937" width="17.421875" style="195" customWidth="1"/>
    <col min="7938" max="7938" width="3.00390625" style="195" customWidth="1"/>
    <col min="7939" max="7939" width="16.28125" style="195" customWidth="1"/>
    <col min="7940" max="7940" width="3.00390625" style="195" customWidth="1"/>
    <col min="7941" max="7941" width="14.140625" style="195" customWidth="1"/>
    <col min="7942" max="7942" width="2.00390625" style="195" customWidth="1"/>
    <col min="7943" max="7943" width="15.8515625" style="195" customWidth="1"/>
    <col min="7944" max="7944" width="3.140625" style="195" customWidth="1"/>
    <col min="7945" max="7945" width="17.8515625" style="195" customWidth="1"/>
    <col min="7946" max="7946" width="2.57421875" style="195" customWidth="1"/>
    <col min="7947" max="7947" width="15.57421875" style="195" customWidth="1"/>
    <col min="7948" max="7948" width="1.8515625" style="195" customWidth="1"/>
    <col min="7949" max="7949" width="14.140625" style="195" customWidth="1"/>
    <col min="7950" max="7950" width="11.00390625" style="195" customWidth="1"/>
    <col min="7951" max="7952" width="25.00390625" style="195" customWidth="1"/>
    <col min="7953" max="7953" width="1.8515625" style="195" customWidth="1"/>
    <col min="7954" max="7954" width="17.8515625" style="195" customWidth="1"/>
    <col min="7955" max="7955" width="1.8515625" style="195" customWidth="1"/>
    <col min="7956" max="7956" width="19.00390625" style="195" customWidth="1"/>
    <col min="7957" max="7957" width="1.8515625" style="195" customWidth="1"/>
    <col min="7958" max="7958" width="16.7109375" style="195" customWidth="1"/>
    <col min="7959" max="7959" width="1.8515625" style="195" customWidth="1"/>
    <col min="7960" max="7960" width="16.7109375" style="195" customWidth="1"/>
    <col min="7961" max="7961" width="1.8515625" style="195" customWidth="1"/>
    <col min="7962" max="7962" width="16.7109375" style="195" customWidth="1"/>
    <col min="7963" max="7963" width="1.8515625" style="195" customWidth="1"/>
    <col min="7964" max="7964" width="16.7109375" style="195" customWidth="1"/>
    <col min="7965" max="7965" width="1.8515625" style="195" customWidth="1"/>
    <col min="7966" max="7966" width="17.8515625" style="195" customWidth="1"/>
    <col min="7967" max="7967" width="5.28125" style="195" customWidth="1"/>
    <col min="7968" max="7968" width="16.7109375" style="195" customWidth="1"/>
    <col min="7969" max="7969" width="5.28125" style="195" customWidth="1"/>
    <col min="7970" max="7970" width="14.421875" style="195" customWidth="1"/>
    <col min="7971" max="7971" width="1.8515625" style="195" customWidth="1"/>
    <col min="7972" max="7972" width="16.7109375" style="195" customWidth="1"/>
    <col min="7973" max="8182" width="11.00390625" style="195" customWidth="1"/>
    <col min="8183" max="8183" width="7.57421875" style="195" customWidth="1"/>
    <col min="8184" max="8184" width="15.57421875" style="195" customWidth="1"/>
    <col min="8185" max="8185" width="20.140625" style="195" customWidth="1"/>
    <col min="8186" max="8186" width="2.28125" style="195" customWidth="1"/>
    <col min="8187" max="8187" width="17.421875" style="195" customWidth="1"/>
    <col min="8188" max="8188" width="1.8515625" style="195" customWidth="1"/>
    <col min="8189" max="8189" width="18.7109375" style="195" customWidth="1"/>
    <col min="8190" max="8190" width="1.8515625" style="195" customWidth="1"/>
    <col min="8191" max="8191" width="23.00390625" style="195" customWidth="1"/>
    <col min="8192" max="8192" width="1.8515625" style="195" customWidth="1"/>
    <col min="8193" max="8193" width="17.421875" style="195" customWidth="1"/>
    <col min="8194" max="8194" width="3.00390625" style="195" customWidth="1"/>
    <col min="8195" max="8195" width="16.28125" style="195" customWidth="1"/>
    <col min="8196" max="8196" width="3.00390625" style="195" customWidth="1"/>
    <col min="8197" max="8197" width="14.140625" style="195" customWidth="1"/>
    <col min="8198" max="8198" width="2.00390625" style="195" customWidth="1"/>
    <col min="8199" max="8199" width="15.8515625" style="195" customWidth="1"/>
    <col min="8200" max="8200" width="3.140625" style="195" customWidth="1"/>
    <col min="8201" max="8201" width="17.8515625" style="195" customWidth="1"/>
    <col min="8202" max="8202" width="2.57421875" style="195" customWidth="1"/>
    <col min="8203" max="8203" width="15.57421875" style="195" customWidth="1"/>
    <col min="8204" max="8204" width="1.8515625" style="195" customWidth="1"/>
    <col min="8205" max="8205" width="14.140625" style="195" customWidth="1"/>
    <col min="8206" max="8206" width="11.00390625" style="195" customWidth="1"/>
    <col min="8207" max="8208" width="25.00390625" style="195" customWidth="1"/>
    <col min="8209" max="8209" width="1.8515625" style="195" customWidth="1"/>
    <col min="8210" max="8210" width="17.8515625" style="195" customWidth="1"/>
    <col min="8211" max="8211" width="1.8515625" style="195" customWidth="1"/>
    <col min="8212" max="8212" width="19.00390625" style="195" customWidth="1"/>
    <col min="8213" max="8213" width="1.8515625" style="195" customWidth="1"/>
    <col min="8214" max="8214" width="16.7109375" style="195" customWidth="1"/>
    <col min="8215" max="8215" width="1.8515625" style="195" customWidth="1"/>
    <col min="8216" max="8216" width="16.7109375" style="195" customWidth="1"/>
    <col min="8217" max="8217" width="1.8515625" style="195" customWidth="1"/>
    <col min="8218" max="8218" width="16.7109375" style="195" customWidth="1"/>
    <col min="8219" max="8219" width="1.8515625" style="195" customWidth="1"/>
    <col min="8220" max="8220" width="16.7109375" style="195" customWidth="1"/>
    <col min="8221" max="8221" width="1.8515625" style="195" customWidth="1"/>
    <col min="8222" max="8222" width="17.8515625" style="195" customWidth="1"/>
    <col min="8223" max="8223" width="5.28125" style="195" customWidth="1"/>
    <col min="8224" max="8224" width="16.7109375" style="195" customWidth="1"/>
    <col min="8225" max="8225" width="5.28125" style="195" customWidth="1"/>
    <col min="8226" max="8226" width="14.421875" style="195" customWidth="1"/>
    <col min="8227" max="8227" width="1.8515625" style="195" customWidth="1"/>
    <col min="8228" max="8228" width="16.7109375" style="195" customWidth="1"/>
    <col min="8229" max="8438" width="11.00390625" style="195" customWidth="1"/>
    <col min="8439" max="8439" width="7.57421875" style="195" customWidth="1"/>
    <col min="8440" max="8440" width="15.57421875" style="195" customWidth="1"/>
    <col min="8441" max="8441" width="20.140625" style="195" customWidth="1"/>
    <col min="8442" max="8442" width="2.28125" style="195" customWidth="1"/>
    <col min="8443" max="8443" width="17.421875" style="195" customWidth="1"/>
    <col min="8444" max="8444" width="1.8515625" style="195" customWidth="1"/>
    <col min="8445" max="8445" width="18.7109375" style="195" customWidth="1"/>
    <col min="8446" max="8446" width="1.8515625" style="195" customWidth="1"/>
    <col min="8447" max="8447" width="23.00390625" style="195" customWidth="1"/>
    <col min="8448" max="8448" width="1.8515625" style="195" customWidth="1"/>
    <col min="8449" max="8449" width="17.421875" style="195" customWidth="1"/>
    <col min="8450" max="8450" width="3.00390625" style="195" customWidth="1"/>
    <col min="8451" max="8451" width="16.28125" style="195" customWidth="1"/>
    <col min="8452" max="8452" width="3.00390625" style="195" customWidth="1"/>
    <col min="8453" max="8453" width="14.140625" style="195" customWidth="1"/>
    <col min="8454" max="8454" width="2.00390625" style="195" customWidth="1"/>
    <col min="8455" max="8455" width="15.8515625" style="195" customWidth="1"/>
    <col min="8456" max="8456" width="3.140625" style="195" customWidth="1"/>
    <col min="8457" max="8457" width="17.8515625" style="195" customWidth="1"/>
    <col min="8458" max="8458" width="2.57421875" style="195" customWidth="1"/>
    <col min="8459" max="8459" width="15.57421875" style="195" customWidth="1"/>
    <col min="8460" max="8460" width="1.8515625" style="195" customWidth="1"/>
    <col min="8461" max="8461" width="14.140625" style="195" customWidth="1"/>
    <col min="8462" max="8462" width="11.00390625" style="195" customWidth="1"/>
    <col min="8463" max="8464" width="25.00390625" style="195" customWidth="1"/>
    <col min="8465" max="8465" width="1.8515625" style="195" customWidth="1"/>
    <col min="8466" max="8466" width="17.8515625" style="195" customWidth="1"/>
    <col min="8467" max="8467" width="1.8515625" style="195" customWidth="1"/>
    <col min="8468" max="8468" width="19.00390625" style="195" customWidth="1"/>
    <col min="8469" max="8469" width="1.8515625" style="195" customWidth="1"/>
    <col min="8470" max="8470" width="16.7109375" style="195" customWidth="1"/>
    <col min="8471" max="8471" width="1.8515625" style="195" customWidth="1"/>
    <col min="8472" max="8472" width="16.7109375" style="195" customWidth="1"/>
    <col min="8473" max="8473" width="1.8515625" style="195" customWidth="1"/>
    <col min="8474" max="8474" width="16.7109375" style="195" customWidth="1"/>
    <col min="8475" max="8475" width="1.8515625" style="195" customWidth="1"/>
    <col min="8476" max="8476" width="16.7109375" style="195" customWidth="1"/>
    <col min="8477" max="8477" width="1.8515625" style="195" customWidth="1"/>
    <col min="8478" max="8478" width="17.8515625" style="195" customWidth="1"/>
    <col min="8479" max="8479" width="5.28125" style="195" customWidth="1"/>
    <col min="8480" max="8480" width="16.7109375" style="195" customWidth="1"/>
    <col min="8481" max="8481" width="5.28125" style="195" customWidth="1"/>
    <col min="8482" max="8482" width="14.421875" style="195" customWidth="1"/>
    <col min="8483" max="8483" width="1.8515625" style="195" customWidth="1"/>
    <col min="8484" max="8484" width="16.7109375" style="195" customWidth="1"/>
    <col min="8485" max="8694" width="11.00390625" style="195" customWidth="1"/>
    <col min="8695" max="8695" width="7.57421875" style="195" customWidth="1"/>
    <col min="8696" max="8696" width="15.57421875" style="195" customWidth="1"/>
    <col min="8697" max="8697" width="20.140625" style="195" customWidth="1"/>
    <col min="8698" max="8698" width="2.28125" style="195" customWidth="1"/>
    <col min="8699" max="8699" width="17.421875" style="195" customWidth="1"/>
    <col min="8700" max="8700" width="1.8515625" style="195" customWidth="1"/>
    <col min="8701" max="8701" width="18.7109375" style="195" customWidth="1"/>
    <col min="8702" max="8702" width="1.8515625" style="195" customWidth="1"/>
    <col min="8703" max="8703" width="23.00390625" style="195" customWidth="1"/>
    <col min="8704" max="8704" width="1.8515625" style="195" customWidth="1"/>
    <col min="8705" max="8705" width="17.421875" style="195" customWidth="1"/>
    <col min="8706" max="8706" width="3.00390625" style="195" customWidth="1"/>
    <col min="8707" max="8707" width="16.28125" style="195" customWidth="1"/>
    <col min="8708" max="8708" width="3.00390625" style="195" customWidth="1"/>
    <col min="8709" max="8709" width="14.140625" style="195" customWidth="1"/>
    <col min="8710" max="8710" width="2.00390625" style="195" customWidth="1"/>
    <col min="8711" max="8711" width="15.8515625" style="195" customWidth="1"/>
    <col min="8712" max="8712" width="3.140625" style="195" customWidth="1"/>
    <col min="8713" max="8713" width="17.8515625" style="195" customWidth="1"/>
    <col min="8714" max="8714" width="2.57421875" style="195" customWidth="1"/>
    <col min="8715" max="8715" width="15.57421875" style="195" customWidth="1"/>
    <col min="8716" max="8716" width="1.8515625" style="195" customWidth="1"/>
    <col min="8717" max="8717" width="14.140625" style="195" customWidth="1"/>
    <col min="8718" max="8718" width="11.00390625" style="195" customWidth="1"/>
    <col min="8719" max="8720" width="25.00390625" style="195" customWidth="1"/>
    <col min="8721" max="8721" width="1.8515625" style="195" customWidth="1"/>
    <col min="8722" max="8722" width="17.8515625" style="195" customWidth="1"/>
    <col min="8723" max="8723" width="1.8515625" style="195" customWidth="1"/>
    <col min="8724" max="8724" width="19.00390625" style="195" customWidth="1"/>
    <col min="8725" max="8725" width="1.8515625" style="195" customWidth="1"/>
    <col min="8726" max="8726" width="16.7109375" style="195" customWidth="1"/>
    <col min="8727" max="8727" width="1.8515625" style="195" customWidth="1"/>
    <col min="8728" max="8728" width="16.7109375" style="195" customWidth="1"/>
    <col min="8729" max="8729" width="1.8515625" style="195" customWidth="1"/>
    <col min="8730" max="8730" width="16.7109375" style="195" customWidth="1"/>
    <col min="8731" max="8731" width="1.8515625" style="195" customWidth="1"/>
    <col min="8732" max="8732" width="16.7109375" style="195" customWidth="1"/>
    <col min="8733" max="8733" width="1.8515625" style="195" customWidth="1"/>
    <col min="8734" max="8734" width="17.8515625" style="195" customWidth="1"/>
    <col min="8735" max="8735" width="5.28125" style="195" customWidth="1"/>
    <col min="8736" max="8736" width="16.7109375" style="195" customWidth="1"/>
    <col min="8737" max="8737" width="5.28125" style="195" customWidth="1"/>
    <col min="8738" max="8738" width="14.421875" style="195" customWidth="1"/>
    <col min="8739" max="8739" width="1.8515625" style="195" customWidth="1"/>
    <col min="8740" max="8740" width="16.7109375" style="195" customWidth="1"/>
    <col min="8741" max="8950" width="11.00390625" style="195" customWidth="1"/>
    <col min="8951" max="8951" width="7.57421875" style="195" customWidth="1"/>
    <col min="8952" max="8952" width="15.57421875" style="195" customWidth="1"/>
    <col min="8953" max="8953" width="20.140625" style="195" customWidth="1"/>
    <col min="8954" max="8954" width="2.28125" style="195" customWidth="1"/>
    <col min="8955" max="8955" width="17.421875" style="195" customWidth="1"/>
    <col min="8956" max="8956" width="1.8515625" style="195" customWidth="1"/>
    <col min="8957" max="8957" width="18.7109375" style="195" customWidth="1"/>
    <col min="8958" max="8958" width="1.8515625" style="195" customWidth="1"/>
    <col min="8959" max="8959" width="23.00390625" style="195" customWidth="1"/>
    <col min="8960" max="8960" width="1.8515625" style="195" customWidth="1"/>
    <col min="8961" max="8961" width="17.421875" style="195" customWidth="1"/>
    <col min="8962" max="8962" width="3.00390625" style="195" customWidth="1"/>
    <col min="8963" max="8963" width="16.28125" style="195" customWidth="1"/>
    <col min="8964" max="8964" width="3.00390625" style="195" customWidth="1"/>
    <col min="8965" max="8965" width="14.140625" style="195" customWidth="1"/>
    <col min="8966" max="8966" width="2.00390625" style="195" customWidth="1"/>
    <col min="8967" max="8967" width="15.8515625" style="195" customWidth="1"/>
    <col min="8968" max="8968" width="3.140625" style="195" customWidth="1"/>
    <col min="8969" max="8969" width="17.8515625" style="195" customWidth="1"/>
    <col min="8970" max="8970" width="2.57421875" style="195" customWidth="1"/>
    <col min="8971" max="8971" width="15.57421875" style="195" customWidth="1"/>
    <col min="8972" max="8972" width="1.8515625" style="195" customWidth="1"/>
    <col min="8973" max="8973" width="14.140625" style="195" customWidth="1"/>
    <col min="8974" max="8974" width="11.00390625" style="195" customWidth="1"/>
    <col min="8975" max="8976" width="25.00390625" style="195" customWidth="1"/>
    <col min="8977" max="8977" width="1.8515625" style="195" customWidth="1"/>
    <col min="8978" max="8978" width="17.8515625" style="195" customWidth="1"/>
    <col min="8979" max="8979" width="1.8515625" style="195" customWidth="1"/>
    <col min="8980" max="8980" width="19.00390625" style="195" customWidth="1"/>
    <col min="8981" max="8981" width="1.8515625" style="195" customWidth="1"/>
    <col min="8982" max="8982" width="16.7109375" style="195" customWidth="1"/>
    <col min="8983" max="8983" width="1.8515625" style="195" customWidth="1"/>
    <col min="8984" max="8984" width="16.7109375" style="195" customWidth="1"/>
    <col min="8985" max="8985" width="1.8515625" style="195" customWidth="1"/>
    <col min="8986" max="8986" width="16.7109375" style="195" customWidth="1"/>
    <col min="8987" max="8987" width="1.8515625" style="195" customWidth="1"/>
    <col min="8988" max="8988" width="16.7109375" style="195" customWidth="1"/>
    <col min="8989" max="8989" width="1.8515625" style="195" customWidth="1"/>
    <col min="8990" max="8990" width="17.8515625" style="195" customWidth="1"/>
    <col min="8991" max="8991" width="5.28125" style="195" customWidth="1"/>
    <col min="8992" max="8992" width="16.7109375" style="195" customWidth="1"/>
    <col min="8993" max="8993" width="5.28125" style="195" customWidth="1"/>
    <col min="8994" max="8994" width="14.421875" style="195" customWidth="1"/>
    <col min="8995" max="8995" width="1.8515625" style="195" customWidth="1"/>
    <col min="8996" max="8996" width="16.7109375" style="195" customWidth="1"/>
    <col min="8997" max="9206" width="11.00390625" style="195" customWidth="1"/>
    <col min="9207" max="9207" width="7.57421875" style="195" customWidth="1"/>
    <col min="9208" max="9208" width="15.57421875" style="195" customWidth="1"/>
    <col min="9209" max="9209" width="20.140625" style="195" customWidth="1"/>
    <col min="9210" max="9210" width="2.28125" style="195" customWidth="1"/>
    <col min="9211" max="9211" width="17.421875" style="195" customWidth="1"/>
    <col min="9212" max="9212" width="1.8515625" style="195" customWidth="1"/>
    <col min="9213" max="9213" width="18.7109375" style="195" customWidth="1"/>
    <col min="9214" max="9214" width="1.8515625" style="195" customWidth="1"/>
    <col min="9215" max="9215" width="23.00390625" style="195" customWidth="1"/>
    <col min="9216" max="9216" width="1.8515625" style="195" customWidth="1"/>
    <col min="9217" max="9217" width="17.421875" style="195" customWidth="1"/>
    <col min="9218" max="9218" width="3.00390625" style="195" customWidth="1"/>
    <col min="9219" max="9219" width="16.28125" style="195" customWidth="1"/>
    <col min="9220" max="9220" width="3.00390625" style="195" customWidth="1"/>
    <col min="9221" max="9221" width="14.140625" style="195" customWidth="1"/>
    <col min="9222" max="9222" width="2.00390625" style="195" customWidth="1"/>
    <col min="9223" max="9223" width="15.8515625" style="195" customWidth="1"/>
    <col min="9224" max="9224" width="3.140625" style="195" customWidth="1"/>
    <col min="9225" max="9225" width="17.8515625" style="195" customWidth="1"/>
    <col min="9226" max="9226" width="2.57421875" style="195" customWidth="1"/>
    <col min="9227" max="9227" width="15.57421875" style="195" customWidth="1"/>
    <col min="9228" max="9228" width="1.8515625" style="195" customWidth="1"/>
    <col min="9229" max="9229" width="14.140625" style="195" customWidth="1"/>
    <col min="9230" max="9230" width="11.00390625" style="195" customWidth="1"/>
    <col min="9231" max="9232" width="25.00390625" style="195" customWidth="1"/>
    <col min="9233" max="9233" width="1.8515625" style="195" customWidth="1"/>
    <col min="9234" max="9234" width="17.8515625" style="195" customWidth="1"/>
    <col min="9235" max="9235" width="1.8515625" style="195" customWidth="1"/>
    <col min="9236" max="9236" width="19.00390625" style="195" customWidth="1"/>
    <col min="9237" max="9237" width="1.8515625" style="195" customWidth="1"/>
    <col min="9238" max="9238" width="16.7109375" style="195" customWidth="1"/>
    <col min="9239" max="9239" width="1.8515625" style="195" customWidth="1"/>
    <col min="9240" max="9240" width="16.7109375" style="195" customWidth="1"/>
    <col min="9241" max="9241" width="1.8515625" style="195" customWidth="1"/>
    <col min="9242" max="9242" width="16.7109375" style="195" customWidth="1"/>
    <col min="9243" max="9243" width="1.8515625" style="195" customWidth="1"/>
    <col min="9244" max="9244" width="16.7109375" style="195" customWidth="1"/>
    <col min="9245" max="9245" width="1.8515625" style="195" customWidth="1"/>
    <col min="9246" max="9246" width="17.8515625" style="195" customWidth="1"/>
    <col min="9247" max="9247" width="5.28125" style="195" customWidth="1"/>
    <col min="9248" max="9248" width="16.7109375" style="195" customWidth="1"/>
    <col min="9249" max="9249" width="5.28125" style="195" customWidth="1"/>
    <col min="9250" max="9250" width="14.421875" style="195" customWidth="1"/>
    <col min="9251" max="9251" width="1.8515625" style="195" customWidth="1"/>
    <col min="9252" max="9252" width="16.7109375" style="195" customWidth="1"/>
    <col min="9253" max="9462" width="11.00390625" style="195" customWidth="1"/>
    <col min="9463" max="9463" width="7.57421875" style="195" customWidth="1"/>
    <col min="9464" max="9464" width="15.57421875" style="195" customWidth="1"/>
    <col min="9465" max="9465" width="20.140625" style="195" customWidth="1"/>
    <col min="9466" max="9466" width="2.28125" style="195" customWidth="1"/>
    <col min="9467" max="9467" width="17.421875" style="195" customWidth="1"/>
    <col min="9468" max="9468" width="1.8515625" style="195" customWidth="1"/>
    <col min="9469" max="9469" width="18.7109375" style="195" customWidth="1"/>
    <col min="9470" max="9470" width="1.8515625" style="195" customWidth="1"/>
    <col min="9471" max="9471" width="23.00390625" style="195" customWidth="1"/>
    <col min="9472" max="9472" width="1.8515625" style="195" customWidth="1"/>
    <col min="9473" max="9473" width="17.421875" style="195" customWidth="1"/>
    <col min="9474" max="9474" width="3.00390625" style="195" customWidth="1"/>
    <col min="9475" max="9475" width="16.28125" style="195" customWidth="1"/>
    <col min="9476" max="9476" width="3.00390625" style="195" customWidth="1"/>
    <col min="9477" max="9477" width="14.140625" style="195" customWidth="1"/>
    <col min="9478" max="9478" width="2.00390625" style="195" customWidth="1"/>
    <col min="9479" max="9479" width="15.8515625" style="195" customWidth="1"/>
    <col min="9480" max="9480" width="3.140625" style="195" customWidth="1"/>
    <col min="9481" max="9481" width="17.8515625" style="195" customWidth="1"/>
    <col min="9482" max="9482" width="2.57421875" style="195" customWidth="1"/>
    <col min="9483" max="9483" width="15.57421875" style="195" customWidth="1"/>
    <col min="9484" max="9484" width="1.8515625" style="195" customWidth="1"/>
    <col min="9485" max="9485" width="14.140625" style="195" customWidth="1"/>
    <col min="9486" max="9486" width="11.00390625" style="195" customWidth="1"/>
    <col min="9487" max="9488" width="25.00390625" style="195" customWidth="1"/>
    <col min="9489" max="9489" width="1.8515625" style="195" customWidth="1"/>
    <col min="9490" max="9490" width="17.8515625" style="195" customWidth="1"/>
    <col min="9491" max="9491" width="1.8515625" style="195" customWidth="1"/>
    <col min="9492" max="9492" width="19.00390625" style="195" customWidth="1"/>
    <col min="9493" max="9493" width="1.8515625" style="195" customWidth="1"/>
    <col min="9494" max="9494" width="16.7109375" style="195" customWidth="1"/>
    <col min="9495" max="9495" width="1.8515625" style="195" customWidth="1"/>
    <col min="9496" max="9496" width="16.7109375" style="195" customWidth="1"/>
    <col min="9497" max="9497" width="1.8515625" style="195" customWidth="1"/>
    <col min="9498" max="9498" width="16.7109375" style="195" customWidth="1"/>
    <col min="9499" max="9499" width="1.8515625" style="195" customWidth="1"/>
    <col min="9500" max="9500" width="16.7109375" style="195" customWidth="1"/>
    <col min="9501" max="9501" width="1.8515625" style="195" customWidth="1"/>
    <col min="9502" max="9502" width="17.8515625" style="195" customWidth="1"/>
    <col min="9503" max="9503" width="5.28125" style="195" customWidth="1"/>
    <col min="9504" max="9504" width="16.7109375" style="195" customWidth="1"/>
    <col min="9505" max="9505" width="5.28125" style="195" customWidth="1"/>
    <col min="9506" max="9506" width="14.421875" style="195" customWidth="1"/>
    <col min="9507" max="9507" width="1.8515625" style="195" customWidth="1"/>
    <col min="9508" max="9508" width="16.7109375" style="195" customWidth="1"/>
    <col min="9509" max="9718" width="11.00390625" style="195" customWidth="1"/>
    <col min="9719" max="9719" width="7.57421875" style="195" customWidth="1"/>
    <col min="9720" max="9720" width="15.57421875" style="195" customWidth="1"/>
    <col min="9721" max="9721" width="20.140625" style="195" customWidth="1"/>
    <col min="9722" max="9722" width="2.28125" style="195" customWidth="1"/>
    <col min="9723" max="9723" width="17.421875" style="195" customWidth="1"/>
    <col min="9724" max="9724" width="1.8515625" style="195" customWidth="1"/>
    <col min="9725" max="9725" width="18.7109375" style="195" customWidth="1"/>
    <col min="9726" max="9726" width="1.8515625" style="195" customWidth="1"/>
    <col min="9727" max="9727" width="23.00390625" style="195" customWidth="1"/>
    <col min="9728" max="9728" width="1.8515625" style="195" customWidth="1"/>
    <col min="9729" max="9729" width="17.421875" style="195" customWidth="1"/>
    <col min="9730" max="9730" width="3.00390625" style="195" customWidth="1"/>
    <col min="9731" max="9731" width="16.28125" style="195" customWidth="1"/>
    <col min="9732" max="9732" width="3.00390625" style="195" customWidth="1"/>
    <col min="9733" max="9733" width="14.140625" style="195" customWidth="1"/>
    <col min="9734" max="9734" width="2.00390625" style="195" customWidth="1"/>
    <col min="9735" max="9735" width="15.8515625" style="195" customWidth="1"/>
    <col min="9736" max="9736" width="3.140625" style="195" customWidth="1"/>
    <col min="9737" max="9737" width="17.8515625" style="195" customWidth="1"/>
    <col min="9738" max="9738" width="2.57421875" style="195" customWidth="1"/>
    <col min="9739" max="9739" width="15.57421875" style="195" customWidth="1"/>
    <col min="9740" max="9740" width="1.8515625" style="195" customWidth="1"/>
    <col min="9741" max="9741" width="14.140625" style="195" customWidth="1"/>
    <col min="9742" max="9742" width="11.00390625" style="195" customWidth="1"/>
    <col min="9743" max="9744" width="25.00390625" style="195" customWidth="1"/>
    <col min="9745" max="9745" width="1.8515625" style="195" customWidth="1"/>
    <col min="9746" max="9746" width="17.8515625" style="195" customWidth="1"/>
    <col min="9747" max="9747" width="1.8515625" style="195" customWidth="1"/>
    <col min="9748" max="9748" width="19.00390625" style="195" customWidth="1"/>
    <col min="9749" max="9749" width="1.8515625" style="195" customWidth="1"/>
    <col min="9750" max="9750" width="16.7109375" style="195" customWidth="1"/>
    <col min="9751" max="9751" width="1.8515625" style="195" customWidth="1"/>
    <col min="9752" max="9752" width="16.7109375" style="195" customWidth="1"/>
    <col min="9753" max="9753" width="1.8515625" style="195" customWidth="1"/>
    <col min="9754" max="9754" width="16.7109375" style="195" customWidth="1"/>
    <col min="9755" max="9755" width="1.8515625" style="195" customWidth="1"/>
    <col min="9756" max="9756" width="16.7109375" style="195" customWidth="1"/>
    <col min="9757" max="9757" width="1.8515625" style="195" customWidth="1"/>
    <col min="9758" max="9758" width="17.8515625" style="195" customWidth="1"/>
    <col min="9759" max="9759" width="5.28125" style="195" customWidth="1"/>
    <col min="9760" max="9760" width="16.7109375" style="195" customWidth="1"/>
    <col min="9761" max="9761" width="5.28125" style="195" customWidth="1"/>
    <col min="9762" max="9762" width="14.421875" style="195" customWidth="1"/>
    <col min="9763" max="9763" width="1.8515625" style="195" customWidth="1"/>
    <col min="9764" max="9764" width="16.7109375" style="195" customWidth="1"/>
    <col min="9765" max="9974" width="11.00390625" style="195" customWidth="1"/>
    <col min="9975" max="9975" width="7.57421875" style="195" customWidth="1"/>
    <col min="9976" max="9976" width="15.57421875" style="195" customWidth="1"/>
    <col min="9977" max="9977" width="20.140625" style="195" customWidth="1"/>
    <col min="9978" max="9978" width="2.28125" style="195" customWidth="1"/>
    <col min="9979" max="9979" width="17.421875" style="195" customWidth="1"/>
    <col min="9980" max="9980" width="1.8515625" style="195" customWidth="1"/>
    <col min="9981" max="9981" width="18.7109375" style="195" customWidth="1"/>
    <col min="9982" max="9982" width="1.8515625" style="195" customWidth="1"/>
    <col min="9983" max="9983" width="23.00390625" style="195" customWidth="1"/>
    <col min="9984" max="9984" width="1.8515625" style="195" customWidth="1"/>
    <col min="9985" max="9985" width="17.421875" style="195" customWidth="1"/>
    <col min="9986" max="9986" width="3.00390625" style="195" customWidth="1"/>
    <col min="9987" max="9987" width="16.28125" style="195" customWidth="1"/>
    <col min="9988" max="9988" width="3.00390625" style="195" customWidth="1"/>
    <col min="9989" max="9989" width="14.140625" style="195" customWidth="1"/>
    <col min="9990" max="9990" width="2.00390625" style="195" customWidth="1"/>
    <col min="9991" max="9991" width="15.8515625" style="195" customWidth="1"/>
    <col min="9992" max="9992" width="3.140625" style="195" customWidth="1"/>
    <col min="9993" max="9993" width="17.8515625" style="195" customWidth="1"/>
    <col min="9994" max="9994" width="2.57421875" style="195" customWidth="1"/>
    <col min="9995" max="9995" width="15.57421875" style="195" customWidth="1"/>
    <col min="9996" max="9996" width="1.8515625" style="195" customWidth="1"/>
    <col min="9997" max="9997" width="14.140625" style="195" customWidth="1"/>
    <col min="9998" max="9998" width="11.00390625" style="195" customWidth="1"/>
    <col min="9999" max="10000" width="25.00390625" style="195" customWidth="1"/>
    <col min="10001" max="10001" width="1.8515625" style="195" customWidth="1"/>
    <col min="10002" max="10002" width="17.8515625" style="195" customWidth="1"/>
    <col min="10003" max="10003" width="1.8515625" style="195" customWidth="1"/>
    <col min="10004" max="10004" width="19.00390625" style="195" customWidth="1"/>
    <col min="10005" max="10005" width="1.8515625" style="195" customWidth="1"/>
    <col min="10006" max="10006" width="16.7109375" style="195" customWidth="1"/>
    <col min="10007" max="10007" width="1.8515625" style="195" customWidth="1"/>
    <col min="10008" max="10008" width="16.7109375" style="195" customWidth="1"/>
    <col min="10009" max="10009" width="1.8515625" style="195" customWidth="1"/>
    <col min="10010" max="10010" width="16.7109375" style="195" customWidth="1"/>
    <col min="10011" max="10011" width="1.8515625" style="195" customWidth="1"/>
    <col min="10012" max="10012" width="16.7109375" style="195" customWidth="1"/>
    <col min="10013" max="10013" width="1.8515625" style="195" customWidth="1"/>
    <col min="10014" max="10014" width="17.8515625" style="195" customWidth="1"/>
    <col min="10015" max="10015" width="5.28125" style="195" customWidth="1"/>
    <col min="10016" max="10016" width="16.7109375" style="195" customWidth="1"/>
    <col min="10017" max="10017" width="5.28125" style="195" customWidth="1"/>
    <col min="10018" max="10018" width="14.421875" style="195" customWidth="1"/>
    <col min="10019" max="10019" width="1.8515625" style="195" customWidth="1"/>
    <col min="10020" max="10020" width="16.7109375" style="195" customWidth="1"/>
    <col min="10021" max="10230" width="11.00390625" style="195" customWidth="1"/>
    <col min="10231" max="10231" width="7.57421875" style="195" customWidth="1"/>
    <col min="10232" max="10232" width="15.57421875" style="195" customWidth="1"/>
    <col min="10233" max="10233" width="20.140625" style="195" customWidth="1"/>
    <col min="10234" max="10234" width="2.28125" style="195" customWidth="1"/>
    <col min="10235" max="10235" width="17.421875" style="195" customWidth="1"/>
    <col min="10236" max="10236" width="1.8515625" style="195" customWidth="1"/>
    <col min="10237" max="10237" width="18.7109375" style="195" customWidth="1"/>
    <col min="10238" max="10238" width="1.8515625" style="195" customWidth="1"/>
    <col min="10239" max="10239" width="23.00390625" style="195" customWidth="1"/>
    <col min="10240" max="10240" width="1.8515625" style="195" customWidth="1"/>
    <col min="10241" max="10241" width="17.421875" style="195" customWidth="1"/>
    <col min="10242" max="10242" width="3.00390625" style="195" customWidth="1"/>
    <col min="10243" max="10243" width="16.28125" style="195" customWidth="1"/>
    <col min="10244" max="10244" width="3.00390625" style="195" customWidth="1"/>
    <col min="10245" max="10245" width="14.140625" style="195" customWidth="1"/>
    <col min="10246" max="10246" width="2.00390625" style="195" customWidth="1"/>
    <col min="10247" max="10247" width="15.8515625" style="195" customWidth="1"/>
    <col min="10248" max="10248" width="3.140625" style="195" customWidth="1"/>
    <col min="10249" max="10249" width="17.8515625" style="195" customWidth="1"/>
    <col min="10250" max="10250" width="2.57421875" style="195" customWidth="1"/>
    <col min="10251" max="10251" width="15.57421875" style="195" customWidth="1"/>
    <col min="10252" max="10252" width="1.8515625" style="195" customWidth="1"/>
    <col min="10253" max="10253" width="14.140625" style="195" customWidth="1"/>
    <col min="10254" max="10254" width="11.00390625" style="195" customWidth="1"/>
    <col min="10255" max="10256" width="25.00390625" style="195" customWidth="1"/>
    <col min="10257" max="10257" width="1.8515625" style="195" customWidth="1"/>
    <col min="10258" max="10258" width="17.8515625" style="195" customWidth="1"/>
    <col min="10259" max="10259" width="1.8515625" style="195" customWidth="1"/>
    <col min="10260" max="10260" width="19.00390625" style="195" customWidth="1"/>
    <col min="10261" max="10261" width="1.8515625" style="195" customWidth="1"/>
    <col min="10262" max="10262" width="16.7109375" style="195" customWidth="1"/>
    <col min="10263" max="10263" width="1.8515625" style="195" customWidth="1"/>
    <col min="10264" max="10264" width="16.7109375" style="195" customWidth="1"/>
    <col min="10265" max="10265" width="1.8515625" style="195" customWidth="1"/>
    <col min="10266" max="10266" width="16.7109375" style="195" customWidth="1"/>
    <col min="10267" max="10267" width="1.8515625" style="195" customWidth="1"/>
    <col min="10268" max="10268" width="16.7109375" style="195" customWidth="1"/>
    <col min="10269" max="10269" width="1.8515625" style="195" customWidth="1"/>
    <col min="10270" max="10270" width="17.8515625" style="195" customWidth="1"/>
    <col min="10271" max="10271" width="5.28125" style="195" customWidth="1"/>
    <col min="10272" max="10272" width="16.7109375" style="195" customWidth="1"/>
    <col min="10273" max="10273" width="5.28125" style="195" customWidth="1"/>
    <col min="10274" max="10274" width="14.421875" style="195" customWidth="1"/>
    <col min="10275" max="10275" width="1.8515625" style="195" customWidth="1"/>
    <col min="10276" max="10276" width="16.7109375" style="195" customWidth="1"/>
    <col min="10277" max="10486" width="11.00390625" style="195" customWidth="1"/>
    <col min="10487" max="10487" width="7.57421875" style="195" customWidth="1"/>
    <col min="10488" max="10488" width="15.57421875" style="195" customWidth="1"/>
    <col min="10489" max="10489" width="20.140625" style="195" customWidth="1"/>
    <col min="10490" max="10490" width="2.28125" style="195" customWidth="1"/>
    <col min="10491" max="10491" width="17.421875" style="195" customWidth="1"/>
    <col min="10492" max="10492" width="1.8515625" style="195" customWidth="1"/>
    <col min="10493" max="10493" width="18.7109375" style="195" customWidth="1"/>
    <col min="10494" max="10494" width="1.8515625" style="195" customWidth="1"/>
    <col min="10495" max="10495" width="23.00390625" style="195" customWidth="1"/>
    <col min="10496" max="10496" width="1.8515625" style="195" customWidth="1"/>
    <col min="10497" max="10497" width="17.421875" style="195" customWidth="1"/>
    <col min="10498" max="10498" width="3.00390625" style="195" customWidth="1"/>
    <col min="10499" max="10499" width="16.28125" style="195" customWidth="1"/>
    <col min="10500" max="10500" width="3.00390625" style="195" customWidth="1"/>
    <col min="10501" max="10501" width="14.140625" style="195" customWidth="1"/>
    <col min="10502" max="10502" width="2.00390625" style="195" customWidth="1"/>
    <col min="10503" max="10503" width="15.8515625" style="195" customWidth="1"/>
    <col min="10504" max="10504" width="3.140625" style="195" customWidth="1"/>
    <col min="10505" max="10505" width="17.8515625" style="195" customWidth="1"/>
    <col min="10506" max="10506" width="2.57421875" style="195" customWidth="1"/>
    <col min="10507" max="10507" width="15.57421875" style="195" customWidth="1"/>
    <col min="10508" max="10508" width="1.8515625" style="195" customWidth="1"/>
    <col min="10509" max="10509" width="14.140625" style="195" customWidth="1"/>
    <col min="10510" max="10510" width="11.00390625" style="195" customWidth="1"/>
    <col min="10511" max="10512" width="25.00390625" style="195" customWidth="1"/>
    <col min="10513" max="10513" width="1.8515625" style="195" customWidth="1"/>
    <col min="10514" max="10514" width="17.8515625" style="195" customWidth="1"/>
    <col min="10515" max="10515" width="1.8515625" style="195" customWidth="1"/>
    <col min="10516" max="10516" width="19.00390625" style="195" customWidth="1"/>
    <col min="10517" max="10517" width="1.8515625" style="195" customWidth="1"/>
    <col min="10518" max="10518" width="16.7109375" style="195" customWidth="1"/>
    <col min="10519" max="10519" width="1.8515625" style="195" customWidth="1"/>
    <col min="10520" max="10520" width="16.7109375" style="195" customWidth="1"/>
    <col min="10521" max="10521" width="1.8515625" style="195" customWidth="1"/>
    <col min="10522" max="10522" width="16.7109375" style="195" customWidth="1"/>
    <col min="10523" max="10523" width="1.8515625" style="195" customWidth="1"/>
    <col min="10524" max="10524" width="16.7109375" style="195" customWidth="1"/>
    <col min="10525" max="10525" width="1.8515625" style="195" customWidth="1"/>
    <col min="10526" max="10526" width="17.8515625" style="195" customWidth="1"/>
    <col min="10527" max="10527" width="5.28125" style="195" customWidth="1"/>
    <col min="10528" max="10528" width="16.7109375" style="195" customWidth="1"/>
    <col min="10529" max="10529" width="5.28125" style="195" customWidth="1"/>
    <col min="10530" max="10530" width="14.421875" style="195" customWidth="1"/>
    <col min="10531" max="10531" width="1.8515625" style="195" customWidth="1"/>
    <col min="10532" max="10532" width="16.7109375" style="195" customWidth="1"/>
    <col min="10533" max="10742" width="11.00390625" style="195" customWidth="1"/>
    <col min="10743" max="10743" width="7.57421875" style="195" customWidth="1"/>
    <col min="10744" max="10744" width="15.57421875" style="195" customWidth="1"/>
    <col min="10745" max="10745" width="20.140625" style="195" customWidth="1"/>
    <col min="10746" max="10746" width="2.28125" style="195" customWidth="1"/>
    <col min="10747" max="10747" width="17.421875" style="195" customWidth="1"/>
    <col min="10748" max="10748" width="1.8515625" style="195" customWidth="1"/>
    <col min="10749" max="10749" width="18.7109375" style="195" customWidth="1"/>
    <col min="10750" max="10750" width="1.8515625" style="195" customWidth="1"/>
    <col min="10751" max="10751" width="23.00390625" style="195" customWidth="1"/>
    <col min="10752" max="10752" width="1.8515625" style="195" customWidth="1"/>
    <col min="10753" max="10753" width="17.421875" style="195" customWidth="1"/>
    <col min="10754" max="10754" width="3.00390625" style="195" customWidth="1"/>
    <col min="10755" max="10755" width="16.28125" style="195" customWidth="1"/>
    <col min="10756" max="10756" width="3.00390625" style="195" customWidth="1"/>
    <col min="10757" max="10757" width="14.140625" style="195" customWidth="1"/>
    <col min="10758" max="10758" width="2.00390625" style="195" customWidth="1"/>
    <col min="10759" max="10759" width="15.8515625" style="195" customWidth="1"/>
    <col min="10760" max="10760" width="3.140625" style="195" customWidth="1"/>
    <col min="10761" max="10761" width="17.8515625" style="195" customWidth="1"/>
    <col min="10762" max="10762" width="2.57421875" style="195" customWidth="1"/>
    <col min="10763" max="10763" width="15.57421875" style="195" customWidth="1"/>
    <col min="10764" max="10764" width="1.8515625" style="195" customWidth="1"/>
    <col min="10765" max="10765" width="14.140625" style="195" customWidth="1"/>
    <col min="10766" max="10766" width="11.00390625" style="195" customWidth="1"/>
    <col min="10767" max="10768" width="25.00390625" style="195" customWidth="1"/>
    <col min="10769" max="10769" width="1.8515625" style="195" customWidth="1"/>
    <col min="10770" max="10770" width="17.8515625" style="195" customWidth="1"/>
    <col min="10771" max="10771" width="1.8515625" style="195" customWidth="1"/>
    <col min="10772" max="10772" width="19.00390625" style="195" customWidth="1"/>
    <col min="10773" max="10773" width="1.8515625" style="195" customWidth="1"/>
    <col min="10774" max="10774" width="16.7109375" style="195" customWidth="1"/>
    <col min="10775" max="10775" width="1.8515625" style="195" customWidth="1"/>
    <col min="10776" max="10776" width="16.7109375" style="195" customWidth="1"/>
    <col min="10777" max="10777" width="1.8515625" style="195" customWidth="1"/>
    <col min="10778" max="10778" width="16.7109375" style="195" customWidth="1"/>
    <col min="10779" max="10779" width="1.8515625" style="195" customWidth="1"/>
    <col min="10780" max="10780" width="16.7109375" style="195" customWidth="1"/>
    <col min="10781" max="10781" width="1.8515625" style="195" customWidth="1"/>
    <col min="10782" max="10782" width="17.8515625" style="195" customWidth="1"/>
    <col min="10783" max="10783" width="5.28125" style="195" customWidth="1"/>
    <col min="10784" max="10784" width="16.7109375" style="195" customWidth="1"/>
    <col min="10785" max="10785" width="5.28125" style="195" customWidth="1"/>
    <col min="10786" max="10786" width="14.421875" style="195" customWidth="1"/>
    <col min="10787" max="10787" width="1.8515625" style="195" customWidth="1"/>
    <col min="10788" max="10788" width="16.7109375" style="195" customWidth="1"/>
    <col min="10789" max="10998" width="11.00390625" style="195" customWidth="1"/>
    <col min="10999" max="10999" width="7.57421875" style="195" customWidth="1"/>
    <col min="11000" max="11000" width="15.57421875" style="195" customWidth="1"/>
    <col min="11001" max="11001" width="20.140625" style="195" customWidth="1"/>
    <col min="11002" max="11002" width="2.28125" style="195" customWidth="1"/>
    <col min="11003" max="11003" width="17.421875" style="195" customWidth="1"/>
    <col min="11004" max="11004" width="1.8515625" style="195" customWidth="1"/>
    <col min="11005" max="11005" width="18.7109375" style="195" customWidth="1"/>
    <col min="11006" max="11006" width="1.8515625" style="195" customWidth="1"/>
    <col min="11007" max="11007" width="23.00390625" style="195" customWidth="1"/>
    <col min="11008" max="11008" width="1.8515625" style="195" customWidth="1"/>
    <col min="11009" max="11009" width="17.421875" style="195" customWidth="1"/>
    <col min="11010" max="11010" width="3.00390625" style="195" customWidth="1"/>
    <col min="11011" max="11011" width="16.28125" style="195" customWidth="1"/>
    <col min="11012" max="11012" width="3.00390625" style="195" customWidth="1"/>
    <col min="11013" max="11013" width="14.140625" style="195" customWidth="1"/>
    <col min="11014" max="11014" width="2.00390625" style="195" customWidth="1"/>
    <col min="11015" max="11015" width="15.8515625" style="195" customWidth="1"/>
    <col min="11016" max="11016" width="3.140625" style="195" customWidth="1"/>
    <col min="11017" max="11017" width="17.8515625" style="195" customWidth="1"/>
    <col min="11018" max="11018" width="2.57421875" style="195" customWidth="1"/>
    <col min="11019" max="11019" width="15.57421875" style="195" customWidth="1"/>
    <col min="11020" max="11020" width="1.8515625" style="195" customWidth="1"/>
    <col min="11021" max="11021" width="14.140625" style="195" customWidth="1"/>
    <col min="11022" max="11022" width="11.00390625" style="195" customWidth="1"/>
    <col min="11023" max="11024" width="25.00390625" style="195" customWidth="1"/>
    <col min="11025" max="11025" width="1.8515625" style="195" customWidth="1"/>
    <col min="11026" max="11026" width="17.8515625" style="195" customWidth="1"/>
    <col min="11027" max="11027" width="1.8515625" style="195" customWidth="1"/>
    <col min="11028" max="11028" width="19.00390625" style="195" customWidth="1"/>
    <col min="11029" max="11029" width="1.8515625" style="195" customWidth="1"/>
    <col min="11030" max="11030" width="16.7109375" style="195" customWidth="1"/>
    <col min="11031" max="11031" width="1.8515625" style="195" customWidth="1"/>
    <col min="11032" max="11032" width="16.7109375" style="195" customWidth="1"/>
    <col min="11033" max="11033" width="1.8515625" style="195" customWidth="1"/>
    <col min="11034" max="11034" width="16.7109375" style="195" customWidth="1"/>
    <col min="11035" max="11035" width="1.8515625" style="195" customWidth="1"/>
    <col min="11036" max="11036" width="16.7109375" style="195" customWidth="1"/>
    <col min="11037" max="11037" width="1.8515625" style="195" customWidth="1"/>
    <col min="11038" max="11038" width="17.8515625" style="195" customWidth="1"/>
    <col min="11039" max="11039" width="5.28125" style="195" customWidth="1"/>
    <col min="11040" max="11040" width="16.7109375" style="195" customWidth="1"/>
    <col min="11041" max="11041" width="5.28125" style="195" customWidth="1"/>
    <col min="11042" max="11042" width="14.421875" style="195" customWidth="1"/>
    <col min="11043" max="11043" width="1.8515625" style="195" customWidth="1"/>
    <col min="11044" max="11044" width="16.7109375" style="195" customWidth="1"/>
    <col min="11045" max="11254" width="11.00390625" style="195" customWidth="1"/>
    <col min="11255" max="11255" width="7.57421875" style="195" customWidth="1"/>
    <col min="11256" max="11256" width="15.57421875" style="195" customWidth="1"/>
    <col min="11257" max="11257" width="20.140625" style="195" customWidth="1"/>
    <col min="11258" max="11258" width="2.28125" style="195" customWidth="1"/>
    <col min="11259" max="11259" width="17.421875" style="195" customWidth="1"/>
    <col min="11260" max="11260" width="1.8515625" style="195" customWidth="1"/>
    <col min="11261" max="11261" width="18.7109375" style="195" customWidth="1"/>
    <col min="11262" max="11262" width="1.8515625" style="195" customWidth="1"/>
    <col min="11263" max="11263" width="23.00390625" style="195" customWidth="1"/>
    <col min="11264" max="11264" width="1.8515625" style="195" customWidth="1"/>
    <col min="11265" max="11265" width="17.421875" style="195" customWidth="1"/>
    <col min="11266" max="11266" width="3.00390625" style="195" customWidth="1"/>
    <col min="11267" max="11267" width="16.28125" style="195" customWidth="1"/>
    <col min="11268" max="11268" width="3.00390625" style="195" customWidth="1"/>
    <col min="11269" max="11269" width="14.140625" style="195" customWidth="1"/>
    <col min="11270" max="11270" width="2.00390625" style="195" customWidth="1"/>
    <col min="11271" max="11271" width="15.8515625" style="195" customWidth="1"/>
    <col min="11272" max="11272" width="3.140625" style="195" customWidth="1"/>
    <col min="11273" max="11273" width="17.8515625" style="195" customWidth="1"/>
    <col min="11274" max="11274" width="2.57421875" style="195" customWidth="1"/>
    <col min="11275" max="11275" width="15.57421875" style="195" customWidth="1"/>
    <col min="11276" max="11276" width="1.8515625" style="195" customWidth="1"/>
    <col min="11277" max="11277" width="14.140625" style="195" customWidth="1"/>
    <col min="11278" max="11278" width="11.00390625" style="195" customWidth="1"/>
    <col min="11279" max="11280" width="25.00390625" style="195" customWidth="1"/>
    <col min="11281" max="11281" width="1.8515625" style="195" customWidth="1"/>
    <col min="11282" max="11282" width="17.8515625" style="195" customWidth="1"/>
    <col min="11283" max="11283" width="1.8515625" style="195" customWidth="1"/>
    <col min="11284" max="11284" width="19.00390625" style="195" customWidth="1"/>
    <col min="11285" max="11285" width="1.8515625" style="195" customWidth="1"/>
    <col min="11286" max="11286" width="16.7109375" style="195" customWidth="1"/>
    <col min="11287" max="11287" width="1.8515625" style="195" customWidth="1"/>
    <col min="11288" max="11288" width="16.7109375" style="195" customWidth="1"/>
    <col min="11289" max="11289" width="1.8515625" style="195" customWidth="1"/>
    <col min="11290" max="11290" width="16.7109375" style="195" customWidth="1"/>
    <col min="11291" max="11291" width="1.8515625" style="195" customWidth="1"/>
    <col min="11292" max="11292" width="16.7109375" style="195" customWidth="1"/>
    <col min="11293" max="11293" width="1.8515625" style="195" customWidth="1"/>
    <col min="11294" max="11294" width="17.8515625" style="195" customWidth="1"/>
    <col min="11295" max="11295" width="5.28125" style="195" customWidth="1"/>
    <col min="11296" max="11296" width="16.7109375" style="195" customWidth="1"/>
    <col min="11297" max="11297" width="5.28125" style="195" customWidth="1"/>
    <col min="11298" max="11298" width="14.421875" style="195" customWidth="1"/>
    <col min="11299" max="11299" width="1.8515625" style="195" customWidth="1"/>
    <col min="11300" max="11300" width="16.7109375" style="195" customWidth="1"/>
    <col min="11301" max="11510" width="11.00390625" style="195" customWidth="1"/>
    <col min="11511" max="11511" width="7.57421875" style="195" customWidth="1"/>
    <col min="11512" max="11512" width="15.57421875" style="195" customWidth="1"/>
    <col min="11513" max="11513" width="20.140625" style="195" customWidth="1"/>
    <col min="11514" max="11514" width="2.28125" style="195" customWidth="1"/>
    <col min="11515" max="11515" width="17.421875" style="195" customWidth="1"/>
    <col min="11516" max="11516" width="1.8515625" style="195" customWidth="1"/>
    <col min="11517" max="11517" width="18.7109375" style="195" customWidth="1"/>
    <col min="11518" max="11518" width="1.8515625" style="195" customWidth="1"/>
    <col min="11519" max="11519" width="23.00390625" style="195" customWidth="1"/>
    <col min="11520" max="11520" width="1.8515625" style="195" customWidth="1"/>
    <col min="11521" max="11521" width="17.421875" style="195" customWidth="1"/>
    <col min="11522" max="11522" width="3.00390625" style="195" customWidth="1"/>
    <col min="11523" max="11523" width="16.28125" style="195" customWidth="1"/>
    <col min="11524" max="11524" width="3.00390625" style="195" customWidth="1"/>
    <col min="11525" max="11525" width="14.140625" style="195" customWidth="1"/>
    <col min="11526" max="11526" width="2.00390625" style="195" customWidth="1"/>
    <col min="11527" max="11527" width="15.8515625" style="195" customWidth="1"/>
    <col min="11528" max="11528" width="3.140625" style="195" customWidth="1"/>
    <col min="11529" max="11529" width="17.8515625" style="195" customWidth="1"/>
    <col min="11530" max="11530" width="2.57421875" style="195" customWidth="1"/>
    <col min="11531" max="11531" width="15.57421875" style="195" customWidth="1"/>
    <col min="11532" max="11532" width="1.8515625" style="195" customWidth="1"/>
    <col min="11533" max="11533" width="14.140625" style="195" customWidth="1"/>
    <col min="11534" max="11534" width="11.00390625" style="195" customWidth="1"/>
    <col min="11535" max="11536" width="25.00390625" style="195" customWidth="1"/>
    <col min="11537" max="11537" width="1.8515625" style="195" customWidth="1"/>
    <col min="11538" max="11538" width="17.8515625" style="195" customWidth="1"/>
    <col min="11539" max="11539" width="1.8515625" style="195" customWidth="1"/>
    <col min="11540" max="11540" width="19.00390625" style="195" customWidth="1"/>
    <col min="11541" max="11541" width="1.8515625" style="195" customWidth="1"/>
    <col min="11542" max="11542" width="16.7109375" style="195" customWidth="1"/>
    <col min="11543" max="11543" width="1.8515625" style="195" customWidth="1"/>
    <col min="11544" max="11544" width="16.7109375" style="195" customWidth="1"/>
    <col min="11545" max="11545" width="1.8515625" style="195" customWidth="1"/>
    <col min="11546" max="11546" width="16.7109375" style="195" customWidth="1"/>
    <col min="11547" max="11547" width="1.8515625" style="195" customWidth="1"/>
    <col min="11548" max="11548" width="16.7109375" style="195" customWidth="1"/>
    <col min="11549" max="11549" width="1.8515625" style="195" customWidth="1"/>
    <col min="11550" max="11550" width="17.8515625" style="195" customWidth="1"/>
    <col min="11551" max="11551" width="5.28125" style="195" customWidth="1"/>
    <col min="11552" max="11552" width="16.7109375" style="195" customWidth="1"/>
    <col min="11553" max="11553" width="5.28125" style="195" customWidth="1"/>
    <col min="11554" max="11554" width="14.421875" style="195" customWidth="1"/>
    <col min="11555" max="11555" width="1.8515625" style="195" customWidth="1"/>
    <col min="11556" max="11556" width="16.7109375" style="195" customWidth="1"/>
    <col min="11557" max="11766" width="11.00390625" style="195" customWidth="1"/>
    <col min="11767" max="11767" width="7.57421875" style="195" customWidth="1"/>
    <col min="11768" max="11768" width="15.57421875" style="195" customWidth="1"/>
    <col min="11769" max="11769" width="20.140625" style="195" customWidth="1"/>
    <col min="11770" max="11770" width="2.28125" style="195" customWidth="1"/>
    <col min="11771" max="11771" width="17.421875" style="195" customWidth="1"/>
    <col min="11772" max="11772" width="1.8515625" style="195" customWidth="1"/>
    <col min="11773" max="11773" width="18.7109375" style="195" customWidth="1"/>
    <col min="11774" max="11774" width="1.8515625" style="195" customWidth="1"/>
    <col min="11775" max="11775" width="23.00390625" style="195" customWidth="1"/>
    <col min="11776" max="11776" width="1.8515625" style="195" customWidth="1"/>
    <col min="11777" max="11777" width="17.421875" style="195" customWidth="1"/>
    <col min="11778" max="11778" width="3.00390625" style="195" customWidth="1"/>
    <col min="11779" max="11779" width="16.28125" style="195" customWidth="1"/>
    <col min="11780" max="11780" width="3.00390625" style="195" customWidth="1"/>
    <col min="11781" max="11781" width="14.140625" style="195" customWidth="1"/>
    <col min="11782" max="11782" width="2.00390625" style="195" customWidth="1"/>
    <col min="11783" max="11783" width="15.8515625" style="195" customWidth="1"/>
    <col min="11784" max="11784" width="3.140625" style="195" customWidth="1"/>
    <col min="11785" max="11785" width="17.8515625" style="195" customWidth="1"/>
    <col min="11786" max="11786" width="2.57421875" style="195" customWidth="1"/>
    <col min="11787" max="11787" width="15.57421875" style="195" customWidth="1"/>
    <col min="11788" max="11788" width="1.8515625" style="195" customWidth="1"/>
    <col min="11789" max="11789" width="14.140625" style="195" customWidth="1"/>
    <col min="11790" max="11790" width="11.00390625" style="195" customWidth="1"/>
    <col min="11791" max="11792" width="25.00390625" style="195" customWidth="1"/>
    <col min="11793" max="11793" width="1.8515625" style="195" customWidth="1"/>
    <col min="11794" max="11794" width="17.8515625" style="195" customWidth="1"/>
    <col min="11795" max="11795" width="1.8515625" style="195" customWidth="1"/>
    <col min="11796" max="11796" width="19.00390625" style="195" customWidth="1"/>
    <col min="11797" max="11797" width="1.8515625" style="195" customWidth="1"/>
    <col min="11798" max="11798" width="16.7109375" style="195" customWidth="1"/>
    <col min="11799" max="11799" width="1.8515625" style="195" customWidth="1"/>
    <col min="11800" max="11800" width="16.7109375" style="195" customWidth="1"/>
    <col min="11801" max="11801" width="1.8515625" style="195" customWidth="1"/>
    <col min="11802" max="11802" width="16.7109375" style="195" customWidth="1"/>
    <col min="11803" max="11803" width="1.8515625" style="195" customWidth="1"/>
    <col min="11804" max="11804" width="16.7109375" style="195" customWidth="1"/>
    <col min="11805" max="11805" width="1.8515625" style="195" customWidth="1"/>
    <col min="11806" max="11806" width="17.8515625" style="195" customWidth="1"/>
    <col min="11807" max="11807" width="5.28125" style="195" customWidth="1"/>
    <col min="11808" max="11808" width="16.7109375" style="195" customWidth="1"/>
    <col min="11809" max="11809" width="5.28125" style="195" customWidth="1"/>
    <col min="11810" max="11810" width="14.421875" style="195" customWidth="1"/>
    <col min="11811" max="11811" width="1.8515625" style="195" customWidth="1"/>
    <col min="11812" max="11812" width="16.7109375" style="195" customWidth="1"/>
    <col min="11813" max="12022" width="11.00390625" style="195" customWidth="1"/>
    <col min="12023" max="12023" width="7.57421875" style="195" customWidth="1"/>
    <col min="12024" max="12024" width="15.57421875" style="195" customWidth="1"/>
    <col min="12025" max="12025" width="20.140625" style="195" customWidth="1"/>
    <col min="12026" max="12026" width="2.28125" style="195" customWidth="1"/>
    <col min="12027" max="12027" width="17.421875" style="195" customWidth="1"/>
    <col min="12028" max="12028" width="1.8515625" style="195" customWidth="1"/>
    <col min="12029" max="12029" width="18.7109375" style="195" customWidth="1"/>
    <col min="12030" max="12030" width="1.8515625" style="195" customWidth="1"/>
    <col min="12031" max="12031" width="23.00390625" style="195" customWidth="1"/>
    <col min="12032" max="12032" width="1.8515625" style="195" customWidth="1"/>
    <col min="12033" max="12033" width="17.421875" style="195" customWidth="1"/>
    <col min="12034" max="12034" width="3.00390625" style="195" customWidth="1"/>
    <col min="12035" max="12035" width="16.28125" style="195" customWidth="1"/>
    <col min="12036" max="12036" width="3.00390625" style="195" customWidth="1"/>
    <col min="12037" max="12037" width="14.140625" style="195" customWidth="1"/>
    <col min="12038" max="12038" width="2.00390625" style="195" customWidth="1"/>
    <col min="12039" max="12039" width="15.8515625" style="195" customWidth="1"/>
    <col min="12040" max="12040" width="3.140625" style="195" customWidth="1"/>
    <col min="12041" max="12041" width="17.8515625" style="195" customWidth="1"/>
    <col min="12042" max="12042" width="2.57421875" style="195" customWidth="1"/>
    <col min="12043" max="12043" width="15.57421875" style="195" customWidth="1"/>
    <col min="12044" max="12044" width="1.8515625" style="195" customWidth="1"/>
    <col min="12045" max="12045" width="14.140625" style="195" customWidth="1"/>
    <col min="12046" max="12046" width="11.00390625" style="195" customWidth="1"/>
    <col min="12047" max="12048" width="25.00390625" style="195" customWidth="1"/>
    <col min="12049" max="12049" width="1.8515625" style="195" customWidth="1"/>
    <col min="12050" max="12050" width="17.8515625" style="195" customWidth="1"/>
    <col min="12051" max="12051" width="1.8515625" style="195" customWidth="1"/>
    <col min="12052" max="12052" width="19.00390625" style="195" customWidth="1"/>
    <col min="12053" max="12053" width="1.8515625" style="195" customWidth="1"/>
    <col min="12054" max="12054" width="16.7109375" style="195" customWidth="1"/>
    <col min="12055" max="12055" width="1.8515625" style="195" customWidth="1"/>
    <col min="12056" max="12056" width="16.7109375" style="195" customWidth="1"/>
    <col min="12057" max="12057" width="1.8515625" style="195" customWidth="1"/>
    <col min="12058" max="12058" width="16.7109375" style="195" customWidth="1"/>
    <col min="12059" max="12059" width="1.8515625" style="195" customWidth="1"/>
    <col min="12060" max="12060" width="16.7109375" style="195" customWidth="1"/>
    <col min="12061" max="12061" width="1.8515625" style="195" customWidth="1"/>
    <col min="12062" max="12062" width="17.8515625" style="195" customWidth="1"/>
    <col min="12063" max="12063" width="5.28125" style="195" customWidth="1"/>
    <col min="12064" max="12064" width="16.7109375" style="195" customWidth="1"/>
    <col min="12065" max="12065" width="5.28125" style="195" customWidth="1"/>
    <col min="12066" max="12066" width="14.421875" style="195" customWidth="1"/>
    <col min="12067" max="12067" width="1.8515625" style="195" customWidth="1"/>
    <col min="12068" max="12068" width="16.7109375" style="195" customWidth="1"/>
    <col min="12069" max="12278" width="11.00390625" style="195" customWidth="1"/>
    <col min="12279" max="12279" width="7.57421875" style="195" customWidth="1"/>
    <col min="12280" max="12280" width="15.57421875" style="195" customWidth="1"/>
    <col min="12281" max="12281" width="20.140625" style="195" customWidth="1"/>
    <col min="12282" max="12282" width="2.28125" style="195" customWidth="1"/>
    <col min="12283" max="12283" width="17.421875" style="195" customWidth="1"/>
    <col min="12284" max="12284" width="1.8515625" style="195" customWidth="1"/>
    <col min="12285" max="12285" width="18.7109375" style="195" customWidth="1"/>
    <col min="12286" max="12286" width="1.8515625" style="195" customWidth="1"/>
    <col min="12287" max="12287" width="23.00390625" style="195" customWidth="1"/>
    <col min="12288" max="12288" width="1.8515625" style="195" customWidth="1"/>
    <col min="12289" max="12289" width="17.421875" style="195" customWidth="1"/>
    <col min="12290" max="12290" width="3.00390625" style="195" customWidth="1"/>
    <col min="12291" max="12291" width="16.28125" style="195" customWidth="1"/>
    <col min="12292" max="12292" width="3.00390625" style="195" customWidth="1"/>
    <col min="12293" max="12293" width="14.140625" style="195" customWidth="1"/>
    <col min="12294" max="12294" width="2.00390625" style="195" customWidth="1"/>
    <col min="12295" max="12295" width="15.8515625" style="195" customWidth="1"/>
    <col min="12296" max="12296" width="3.140625" style="195" customWidth="1"/>
    <col min="12297" max="12297" width="17.8515625" style="195" customWidth="1"/>
    <col min="12298" max="12298" width="2.57421875" style="195" customWidth="1"/>
    <col min="12299" max="12299" width="15.57421875" style="195" customWidth="1"/>
    <col min="12300" max="12300" width="1.8515625" style="195" customWidth="1"/>
    <col min="12301" max="12301" width="14.140625" style="195" customWidth="1"/>
    <col min="12302" max="12302" width="11.00390625" style="195" customWidth="1"/>
    <col min="12303" max="12304" width="25.00390625" style="195" customWidth="1"/>
    <col min="12305" max="12305" width="1.8515625" style="195" customWidth="1"/>
    <col min="12306" max="12306" width="17.8515625" style="195" customWidth="1"/>
    <col min="12307" max="12307" width="1.8515625" style="195" customWidth="1"/>
    <col min="12308" max="12308" width="19.00390625" style="195" customWidth="1"/>
    <col min="12309" max="12309" width="1.8515625" style="195" customWidth="1"/>
    <col min="12310" max="12310" width="16.7109375" style="195" customWidth="1"/>
    <col min="12311" max="12311" width="1.8515625" style="195" customWidth="1"/>
    <col min="12312" max="12312" width="16.7109375" style="195" customWidth="1"/>
    <col min="12313" max="12313" width="1.8515625" style="195" customWidth="1"/>
    <col min="12314" max="12314" width="16.7109375" style="195" customWidth="1"/>
    <col min="12315" max="12315" width="1.8515625" style="195" customWidth="1"/>
    <col min="12316" max="12316" width="16.7109375" style="195" customWidth="1"/>
    <col min="12317" max="12317" width="1.8515625" style="195" customWidth="1"/>
    <col min="12318" max="12318" width="17.8515625" style="195" customWidth="1"/>
    <col min="12319" max="12319" width="5.28125" style="195" customWidth="1"/>
    <col min="12320" max="12320" width="16.7109375" style="195" customWidth="1"/>
    <col min="12321" max="12321" width="5.28125" style="195" customWidth="1"/>
    <col min="12322" max="12322" width="14.421875" style="195" customWidth="1"/>
    <col min="12323" max="12323" width="1.8515625" style="195" customWidth="1"/>
    <col min="12324" max="12324" width="16.7109375" style="195" customWidth="1"/>
    <col min="12325" max="12534" width="11.00390625" style="195" customWidth="1"/>
    <col min="12535" max="12535" width="7.57421875" style="195" customWidth="1"/>
    <col min="12536" max="12536" width="15.57421875" style="195" customWidth="1"/>
    <col min="12537" max="12537" width="20.140625" style="195" customWidth="1"/>
    <col min="12538" max="12538" width="2.28125" style="195" customWidth="1"/>
    <col min="12539" max="12539" width="17.421875" style="195" customWidth="1"/>
    <col min="12540" max="12540" width="1.8515625" style="195" customWidth="1"/>
    <col min="12541" max="12541" width="18.7109375" style="195" customWidth="1"/>
    <col min="12542" max="12542" width="1.8515625" style="195" customWidth="1"/>
    <col min="12543" max="12543" width="23.00390625" style="195" customWidth="1"/>
    <col min="12544" max="12544" width="1.8515625" style="195" customWidth="1"/>
    <col min="12545" max="12545" width="17.421875" style="195" customWidth="1"/>
    <col min="12546" max="12546" width="3.00390625" style="195" customWidth="1"/>
    <col min="12547" max="12547" width="16.28125" style="195" customWidth="1"/>
    <col min="12548" max="12548" width="3.00390625" style="195" customWidth="1"/>
    <col min="12549" max="12549" width="14.140625" style="195" customWidth="1"/>
    <col min="12550" max="12550" width="2.00390625" style="195" customWidth="1"/>
    <col min="12551" max="12551" width="15.8515625" style="195" customWidth="1"/>
    <col min="12552" max="12552" width="3.140625" style="195" customWidth="1"/>
    <col min="12553" max="12553" width="17.8515625" style="195" customWidth="1"/>
    <col min="12554" max="12554" width="2.57421875" style="195" customWidth="1"/>
    <col min="12555" max="12555" width="15.57421875" style="195" customWidth="1"/>
    <col min="12556" max="12556" width="1.8515625" style="195" customWidth="1"/>
    <col min="12557" max="12557" width="14.140625" style="195" customWidth="1"/>
    <col min="12558" max="12558" width="11.00390625" style="195" customWidth="1"/>
    <col min="12559" max="12560" width="25.00390625" style="195" customWidth="1"/>
    <col min="12561" max="12561" width="1.8515625" style="195" customWidth="1"/>
    <col min="12562" max="12562" width="17.8515625" style="195" customWidth="1"/>
    <col min="12563" max="12563" width="1.8515625" style="195" customWidth="1"/>
    <col min="12564" max="12564" width="19.00390625" style="195" customWidth="1"/>
    <col min="12565" max="12565" width="1.8515625" style="195" customWidth="1"/>
    <col min="12566" max="12566" width="16.7109375" style="195" customWidth="1"/>
    <col min="12567" max="12567" width="1.8515625" style="195" customWidth="1"/>
    <col min="12568" max="12568" width="16.7109375" style="195" customWidth="1"/>
    <col min="12569" max="12569" width="1.8515625" style="195" customWidth="1"/>
    <col min="12570" max="12570" width="16.7109375" style="195" customWidth="1"/>
    <col min="12571" max="12571" width="1.8515625" style="195" customWidth="1"/>
    <col min="12572" max="12572" width="16.7109375" style="195" customWidth="1"/>
    <col min="12573" max="12573" width="1.8515625" style="195" customWidth="1"/>
    <col min="12574" max="12574" width="17.8515625" style="195" customWidth="1"/>
    <col min="12575" max="12575" width="5.28125" style="195" customWidth="1"/>
    <col min="12576" max="12576" width="16.7109375" style="195" customWidth="1"/>
    <col min="12577" max="12577" width="5.28125" style="195" customWidth="1"/>
    <col min="12578" max="12578" width="14.421875" style="195" customWidth="1"/>
    <col min="12579" max="12579" width="1.8515625" style="195" customWidth="1"/>
    <col min="12580" max="12580" width="16.7109375" style="195" customWidth="1"/>
    <col min="12581" max="12790" width="11.00390625" style="195" customWidth="1"/>
    <col min="12791" max="12791" width="7.57421875" style="195" customWidth="1"/>
    <col min="12792" max="12792" width="15.57421875" style="195" customWidth="1"/>
    <col min="12793" max="12793" width="20.140625" style="195" customWidth="1"/>
    <col min="12794" max="12794" width="2.28125" style="195" customWidth="1"/>
    <col min="12795" max="12795" width="17.421875" style="195" customWidth="1"/>
    <col min="12796" max="12796" width="1.8515625" style="195" customWidth="1"/>
    <col min="12797" max="12797" width="18.7109375" style="195" customWidth="1"/>
    <col min="12798" max="12798" width="1.8515625" style="195" customWidth="1"/>
    <col min="12799" max="12799" width="23.00390625" style="195" customWidth="1"/>
    <col min="12800" max="12800" width="1.8515625" style="195" customWidth="1"/>
    <col min="12801" max="12801" width="17.421875" style="195" customWidth="1"/>
    <col min="12802" max="12802" width="3.00390625" style="195" customWidth="1"/>
    <col min="12803" max="12803" width="16.28125" style="195" customWidth="1"/>
    <col min="12804" max="12804" width="3.00390625" style="195" customWidth="1"/>
    <col min="12805" max="12805" width="14.140625" style="195" customWidth="1"/>
    <col min="12806" max="12806" width="2.00390625" style="195" customWidth="1"/>
    <col min="12807" max="12807" width="15.8515625" style="195" customWidth="1"/>
    <col min="12808" max="12808" width="3.140625" style="195" customWidth="1"/>
    <col min="12809" max="12809" width="17.8515625" style="195" customWidth="1"/>
    <col min="12810" max="12810" width="2.57421875" style="195" customWidth="1"/>
    <col min="12811" max="12811" width="15.57421875" style="195" customWidth="1"/>
    <col min="12812" max="12812" width="1.8515625" style="195" customWidth="1"/>
    <col min="12813" max="12813" width="14.140625" style="195" customWidth="1"/>
    <col min="12814" max="12814" width="11.00390625" style="195" customWidth="1"/>
    <col min="12815" max="12816" width="25.00390625" style="195" customWidth="1"/>
    <col min="12817" max="12817" width="1.8515625" style="195" customWidth="1"/>
    <col min="12818" max="12818" width="17.8515625" style="195" customWidth="1"/>
    <col min="12819" max="12819" width="1.8515625" style="195" customWidth="1"/>
    <col min="12820" max="12820" width="19.00390625" style="195" customWidth="1"/>
    <col min="12821" max="12821" width="1.8515625" style="195" customWidth="1"/>
    <col min="12822" max="12822" width="16.7109375" style="195" customWidth="1"/>
    <col min="12823" max="12823" width="1.8515625" style="195" customWidth="1"/>
    <col min="12824" max="12824" width="16.7109375" style="195" customWidth="1"/>
    <col min="12825" max="12825" width="1.8515625" style="195" customWidth="1"/>
    <col min="12826" max="12826" width="16.7109375" style="195" customWidth="1"/>
    <col min="12827" max="12827" width="1.8515625" style="195" customWidth="1"/>
    <col min="12828" max="12828" width="16.7109375" style="195" customWidth="1"/>
    <col min="12829" max="12829" width="1.8515625" style="195" customWidth="1"/>
    <col min="12830" max="12830" width="17.8515625" style="195" customWidth="1"/>
    <col min="12831" max="12831" width="5.28125" style="195" customWidth="1"/>
    <col min="12832" max="12832" width="16.7109375" style="195" customWidth="1"/>
    <col min="12833" max="12833" width="5.28125" style="195" customWidth="1"/>
    <col min="12834" max="12834" width="14.421875" style="195" customWidth="1"/>
    <col min="12835" max="12835" width="1.8515625" style="195" customWidth="1"/>
    <col min="12836" max="12836" width="16.7109375" style="195" customWidth="1"/>
    <col min="12837" max="13046" width="11.00390625" style="195" customWidth="1"/>
    <col min="13047" max="13047" width="7.57421875" style="195" customWidth="1"/>
    <col min="13048" max="13048" width="15.57421875" style="195" customWidth="1"/>
    <col min="13049" max="13049" width="20.140625" style="195" customWidth="1"/>
    <col min="13050" max="13050" width="2.28125" style="195" customWidth="1"/>
    <col min="13051" max="13051" width="17.421875" style="195" customWidth="1"/>
    <col min="13052" max="13052" width="1.8515625" style="195" customWidth="1"/>
    <col min="13053" max="13053" width="18.7109375" style="195" customWidth="1"/>
    <col min="13054" max="13054" width="1.8515625" style="195" customWidth="1"/>
    <col min="13055" max="13055" width="23.00390625" style="195" customWidth="1"/>
    <col min="13056" max="13056" width="1.8515625" style="195" customWidth="1"/>
    <col min="13057" max="13057" width="17.421875" style="195" customWidth="1"/>
    <col min="13058" max="13058" width="3.00390625" style="195" customWidth="1"/>
    <col min="13059" max="13059" width="16.28125" style="195" customWidth="1"/>
    <col min="13060" max="13060" width="3.00390625" style="195" customWidth="1"/>
    <col min="13061" max="13061" width="14.140625" style="195" customWidth="1"/>
    <col min="13062" max="13062" width="2.00390625" style="195" customWidth="1"/>
    <col min="13063" max="13063" width="15.8515625" style="195" customWidth="1"/>
    <col min="13064" max="13064" width="3.140625" style="195" customWidth="1"/>
    <col min="13065" max="13065" width="17.8515625" style="195" customWidth="1"/>
    <col min="13066" max="13066" width="2.57421875" style="195" customWidth="1"/>
    <col min="13067" max="13067" width="15.57421875" style="195" customWidth="1"/>
    <col min="13068" max="13068" width="1.8515625" style="195" customWidth="1"/>
    <col min="13069" max="13069" width="14.140625" style="195" customWidth="1"/>
    <col min="13070" max="13070" width="11.00390625" style="195" customWidth="1"/>
    <col min="13071" max="13072" width="25.00390625" style="195" customWidth="1"/>
    <col min="13073" max="13073" width="1.8515625" style="195" customWidth="1"/>
    <col min="13074" max="13074" width="17.8515625" style="195" customWidth="1"/>
    <col min="13075" max="13075" width="1.8515625" style="195" customWidth="1"/>
    <col min="13076" max="13076" width="19.00390625" style="195" customWidth="1"/>
    <col min="13077" max="13077" width="1.8515625" style="195" customWidth="1"/>
    <col min="13078" max="13078" width="16.7109375" style="195" customWidth="1"/>
    <col min="13079" max="13079" width="1.8515625" style="195" customWidth="1"/>
    <col min="13080" max="13080" width="16.7109375" style="195" customWidth="1"/>
    <col min="13081" max="13081" width="1.8515625" style="195" customWidth="1"/>
    <col min="13082" max="13082" width="16.7109375" style="195" customWidth="1"/>
    <col min="13083" max="13083" width="1.8515625" style="195" customWidth="1"/>
    <col min="13084" max="13084" width="16.7109375" style="195" customWidth="1"/>
    <col min="13085" max="13085" width="1.8515625" style="195" customWidth="1"/>
    <col min="13086" max="13086" width="17.8515625" style="195" customWidth="1"/>
    <col min="13087" max="13087" width="5.28125" style="195" customWidth="1"/>
    <col min="13088" max="13088" width="16.7109375" style="195" customWidth="1"/>
    <col min="13089" max="13089" width="5.28125" style="195" customWidth="1"/>
    <col min="13090" max="13090" width="14.421875" style="195" customWidth="1"/>
    <col min="13091" max="13091" width="1.8515625" style="195" customWidth="1"/>
    <col min="13092" max="13092" width="16.7109375" style="195" customWidth="1"/>
    <col min="13093" max="13302" width="11.00390625" style="195" customWidth="1"/>
    <col min="13303" max="13303" width="7.57421875" style="195" customWidth="1"/>
    <col min="13304" max="13304" width="15.57421875" style="195" customWidth="1"/>
    <col min="13305" max="13305" width="20.140625" style="195" customWidth="1"/>
    <col min="13306" max="13306" width="2.28125" style="195" customWidth="1"/>
    <col min="13307" max="13307" width="17.421875" style="195" customWidth="1"/>
    <col min="13308" max="13308" width="1.8515625" style="195" customWidth="1"/>
    <col min="13309" max="13309" width="18.7109375" style="195" customWidth="1"/>
    <col min="13310" max="13310" width="1.8515625" style="195" customWidth="1"/>
    <col min="13311" max="13311" width="23.00390625" style="195" customWidth="1"/>
    <col min="13312" max="13312" width="1.8515625" style="195" customWidth="1"/>
    <col min="13313" max="13313" width="17.421875" style="195" customWidth="1"/>
    <col min="13314" max="13314" width="3.00390625" style="195" customWidth="1"/>
    <col min="13315" max="13315" width="16.28125" style="195" customWidth="1"/>
    <col min="13316" max="13316" width="3.00390625" style="195" customWidth="1"/>
    <col min="13317" max="13317" width="14.140625" style="195" customWidth="1"/>
    <col min="13318" max="13318" width="2.00390625" style="195" customWidth="1"/>
    <col min="13319" max="13319" width="15.8515625" style="195" customWidth="1"/>
    <col min="13320" max="13320" width="3.140625" style="195" customWidth="1"/>
    <col min="13321" max="13321" width="17.8515625" style="195" customWidth="1"/>
    <col min="13322" max="13322" width="2.57421875" style="195" customWidth="1"/>
    <col min="13323" max="13323" width="15.57421875" style="195" customWidth="1"/>
    <col min="13324" max="13324" width="1.8515625" style="195" customWidth="1"/>
    <col min="13325" max="13325" width="14.140625" style="195" customWidth="1"/>
    <col min="13326" max="13326" width="11.00390625" style="195" customWidth="1"/>
    <col min="13327" max="13328" width="25.00390625" style="195" customWidth="1"/>
    <col min="13329" max="13329" width="1.8515625" style="195" customWidth="1"/>
    <col min="13330" max="13330" width="17.8515625" style="195" customWidth="1"/>
    <col min="13331" max="13331" width="1.8515625" style="195" customWidth="1"/>
    <col min="13332" max="13332" width="19.00390625" style="195" customWidth="1"/>
    <col min="13333" max="13333" width="1.8515625" style="195" customWidth="1"/>
    <col min="13334" max="13334" width="16.7109375" style="195" customWidth="1"/>
    <col min="13335" max="13335" width="1.8515625" style="195" customWidth="1"/>
    <col min="13336" max="13336" width="16.7109375" style="195" customWidth="1"/>
    <col min="13337" max="13337" width="1.8515625" style="195" customWidth="1"/>
    <col min="13338" max="13338" width="16.7109375" style="195" customWidth="1"/>
    <col min="13339" max="13339" width="1.8515625" style="195" customWidth="1"/>
    <col min="13340" max="13340" width="16.7109375" style="195" customWidth="1"/>
    <col min="13341" max="13341" width="1.8515625" style="195" customWidth="1"/>
    <col min="13342" max="13342" width="17.8515625" style="195" customWidth="1"/>
    <col min="13343" max="13343" width="5.28125" style="195" customWidth="1"/>
    <col min="13344" max="13344" width="16.7109375" style="195" customWidth="1"/>
    <col min="13345" max="13345" width="5.28125" style="195" customWidth="1"/>
    <col min="13346" max="13346" width="14.421875" style="195" customWidth="1"/>
    <col min="13347" max="13347" width="1.8515625" style="195" customWidth="1"/>
    <col min="13348" max="13348" width="16.7109375" style="195" customWidth="1"/>
    <col min="13349" max="13558" width="11.00390625" style="195" customWidth="1"/>
    <col min="13559" max="13559" width="7.57421875" style="195" customWidth="1"/>
    <col min="13560" max="13560" width="15.57421875" style="195" customWidth="1"/>
    <col min="13561" max="13561" width="20.140625" style="195" customWidth="1"/>
    <col min="13562" max="13562" width="2.28125" style="195" customWidth="1"/>
    <col min="13563" max="13563" width="17.421875" style="195" customWidth="1"/>
    <col min="13564" max="13564" width="1.8515625" style="195" customWidth="1"/>
    <col min="13565" max="13565" width="18.7109375" style="195" customWidth="1"/>
    <col min="13566" max="13566" width="1.8515625" style="195" customWidth="1"/>
    <col min="13567" max="13567" width="23.00390625" style="195" customWidth="1"/>
    <col min="13568" max="13568" width="1.8515625" style="195" customWidth="1"/>
    <col min="13569" max="13569" width="17.421875" style="195" customWidth="1"/>
    <col min="13570" max="13570" width="3.00390625" style="195" customWidth="1"/>
    <col min="13571" max="13571" width="16.28125" style="195" customWidth="1"/>
    <col min="13572" max="13572" width="3.00390625" style="195" customWidth="1"/>
    <col min="13573" max="13573" width="14.140625" style="195" customWidth="1"/>
    <col min="13574" max="13574" width="2.00390625" style="195" customWidth="1"/>
    <col min="13575" max="13575" width="15.8515625" style="195" customWidth="1"/>
    <col min="13576" max="13576" width="3.140625" style="195" customWidth="1"/>
    <col min="13577" max="13577" width="17.8515625" style="195" customWidth="1"/>
    <col min="13578" max="13578" width="2.57421875" style="195" customWidth="1"/>
    <col min="13579" max="13579" width="15.57421875" style="195" customWidth="1"/>
    <col min="13580" max="13580" width="1.8515625" style="195" customWidth="1"/>
    <col min="13581" max="13581" width="14.140625" style="195" customWidth="1"/>
    <col min="13582" max="13582" width="11.00390625" style="195" customWidth="1"/>
    <col min="13583" max="13584" width="25.00390625" style="195" customWidth="1"/>
    <col min="13585" max="13585" width="1.8515625" style="195" customWidth="1"/>
    <col min="13586" max="13586" width="17.8515625" style="195" customWidth="1"/>
    <col min="13587" max="13587" width="1.8515625" style="195" customWidth="1"/>
    <col min="13588" max="13588" width="19.00390625" style="195" customWidth="1"/>
    <col min="13589" max="13589" width="1.8515625" style="195" customWidth="1"/>
    <col min="13590" max="13590" width="16.7109375" style="195" customWidth="1"/>
    <col min="13591" max="13591" width="1.8515625" style="195" customWidth="1"/>
    <col min="13592" max="13592" width="16.7109375" style="195" customWidth="1"/>
    <col min="13593" max="13593" width="1.8515625" style="195" customWidth="1"/>
    <col min="13594" max="13594" width="16.7109375" style="195" customWidth="1"/>
    <col min="13595" max="13595" width="1.8515625" style="195" customWidth="1"/>
    <col min="13596" max="13596" width="16.7109375" style="195" customWidth="1"/>
    <col min="13597" max="13597" width="1.8515625" style="195" customWidth="1"/>
    <col min="13598" max="13598" width="17.8515625" style="195" customWidth="1"/>
    <col min="13599" max="13599" width="5.28125" style="195" customWidth="1"/>
    <col min="13600" max="13600" width="16.7109375" style="195" customWidth="1"/>
    <col min="13601" max="13601" width="5.28125" style="195" customWidth="1"/>
    <col min="13602" max="13602" width="14.421875" style="195" customWidth="1"/>
    <col min="13603" max="13603" width="1.8515625" style="195" customWidth="1"/>
    <col min="13604" max="13604" width="16.7109375" style="195" customWidth="1"/>
    <col min="13605" max="13814" width="11.00390625" style="195" customWidth="1"/>
    <col min="13815" max="13815" width="7.57421875" style="195" customWidth="1"/>
    <col min="13816" max="13816" width="15.57421875" style="195" customWidth="1"/>
    <col min="13817" max="13817" width="20.140625" style="195" customWidth="1"/>
    <col min="13818" max="13818" width="2.28125" style="195" customWidth="1"/>
    <col min="13819" max="13819" width="17.421875" style="195" customWidth="1"/>
    <col min="13820" max="13820" width="1.8515625" style="195" customWidth="1"/>
    <col min="13821" max="13821" width="18.7109375" style="195" customWidth="1"/>
    <col min="13822" max="13822" width="1.8515625" style="195" customWidth="1"/>
    <col min="13823" max="13823" width="23.00390625" style="195" customWidth="1"/>
    <col min="13824" max="13824" width="1.8515625" style="195" customWidth="1"/>
    <col min="13825" max="13825" width="17.421875" style="195" customWidth="1"/>
    <col min="13826" max="13826" width="3.00390625" style="195" customWidth="1"/>
    <col min="13827" max="13827" width="16.28125" style="195" customWidth="1"/>
    <col min="13828" max="13828" width="3.00390625" style="195" customWidth="1"/>
    <col min="13829" max="13829" width="14.140625" style="195" customWidth="1"/>
    <col min="13830" max="13830" width="2.00390625" style="195" customWidth="1"/>
    <col min="13831" max="13831" width="15.8515625" style="195" customWidth="1"/>
    <col min="13832" max="13832" width="3.140625" style="195" customWidth="1"/>
    <col min="13833" max="13833" width="17.8515625" style="195" customWidth="1"/>
    <col min="13834" max="13834" width="2.57421875" style="195" customWidth="1"/>
    <col min="13835" max="13835" width="15.57421875" style="195" customWidth="1"/>
    <col min="13836" max="13836" width="1.8515625" style="195" customWidth="1"/>
    <col min="13837" max="13837" width="14.140625" style="195" customWidth="1"/>
    <col min="13838" max="13838" width="11.00390625" style="195" customWidth="1"/>
    <col min="13839" max="13840" width="25.00390625" style="195" customWidth="1"/>
    <col min="13841" max="13841" width="1.8515625" style="195" customWidth="1"/>
    <col min="13842" max="13842" width="17.8515625" style="195" customWidth="1"/>
    <col min="13843" max="13843" width="1.8515625" style="195" customWidth="1"/>
    <col min="13844" max="13844" width="19.00390625" style="195" customWidth="1"/>
    <col min="13845" max="13845" width="1.8515625" style="195" customWidth="1"/>
    <col min="13846" max="13846" width="16.7109375" style="195" customWidth="1"/>
    <col min="13847" max="13847" width="1.8515625" style="195" customWidth="1"/>
    <col min="13848" max="13848" width="16.7109375" style="195" customWidth="1"/>
    <col min="13849" max="13849" width="1.8515625" style="195" customWidth="1"/>
    <col min="13850" max="13850" width="16.7109375" style="195" customWidth="1"/>
    <col min="13851" max="13851" width="1.8515625" style="195" customWidth="1"/>
    <col min="13852" max="13852" width="16.7109375" style="195" customWidth="1"/>
    <col min="13853" max="13853" width="1.8515625" style="195" customWidth="1"/>
    <col min="13854" max="13854" width="17.8515625" style="195" customWidth="1"/>
    <col min="13855" max="13855" width="5.28125" style="195" customWidth="1"/>
    <col min="13856" max="13856" width="16.7109375" style="195" customWidth="1"/>
    <col min="13857" max="13857" width="5.28125" style="195" customWidth="1"/>
    <col min="13858" max="13858" width="14.421875" style="195" customWidth="1"/>
    <col min="13859" max="13859" width="1.8515625" style="195" customWidth="1"/>
    <col min="13860" max="13860" width="16.7109375" style="195" customWidth="1"/>
    <col min="13861" max="14070" width="11.00390625" style="195" customWidth="1"/>
    <col min="14071" max="14071" width="7.57421875" style="195" customWidth="1"/>
    <col min="14072" max="14072" width="15.57421875" style="195" customWidth="1"/>
    <col min="14073" max="14073" width="20.140625" style="195" customWidth="1"/>
    <col min="14074" max="14074" width="2.28125" style="195" customWidth="1"/>
    <col min="14075" max="14075" width="17.421875" style="195" customWidth="1"/>
    <col min="14076" max="14076" width="1.8515625" style="195" customWidth="1"/>
    <col min="14077" max="14077" width="18.7109375" style="195" customWidth="1"/>
    <col min="14078" max="14078" width="1.8515625" style="195" customWidth="1"/>
    <col min="14079" max="14079" width="23.00390625" style="195" customWidth="1"/>
    <col min="14080" max="14080" width="1.8515625" style="195" customWidth="1"/>
    <col min="14081" max="14081" width="17.421875" style="195" customWidth="1"/>
    <col min="14082" max="14082" width="3.00390625" style="195" customWidth="1"/>
    <col min="14083" max="14083" width="16.28125" style="195" customWidth="1"/>
    <col min="14084" max="14084" width="3.00390625" style="195" customWidth="1"/>
    <col min="14085" max="14085" width="14.140625" style="195" customWidth="1"/>
    <col min="14086" max="14086" width="2.00390625" style="195" customWidth="1"/>
    <col min="14087" max="14087" width="15.8515625" style="195" customWidth="1"/>
    <col min="14088" max="14088" width="3.140625" style="195" customWidth="1"/>
    <col min="14089" max="14089" width="17.8515625" style="195" customWidth="1"/>
    <col min="14090" max="14090" width="2.57421875" style="195" customWidth="1"/>
    <col min="14091" max="14091" width="15.57421875" style="195" customWidth="1"/>
    <col min="14092" max="14092" width="1.8515625" style="195" customWidth="1"/>
    <col min="14093" max="14093" width="14.140625" style="195" customWidth="1"/>
    <col min="14094" max="14094" width="11.00390625" style="195" customWidth="1"/>
    <col min="14095" max="14096" width="25.00390625" style="195" customWidth="1"/>
    <col min="14097" max="14097" width="1.8515625" style="195" customWidth="1"/>
    <col min="14098" max="14098" width="17.8515625" style="195" customWidth="1"/>
    <col min="14099" max="14099" width="1.8515625" style="195" customWidth="1"/>
    <col min="14100" max="14100" width="19.00390625" style="195" customWidth="1"/>
    <col min="14101" max="14101" width="1.8515625" style="195" customWidth="1"/>
    <col min="14102" max="14102" width="16.7109375" style="195" customWidth="1"/>
    <col min="14103" max="14103" width="1.8515625" style="195" customWidth="1"/>
    <col min="14104" max="14104" width="16.7109375" style="195" customWidth="1"/>
    <col min="14105" max="14105" width="1.8515625" style="195" customWidth="1"/>
    <col min="14106" max="14106" width="16.7109375" style="195" customWidth="1"/>
    <col min="14107" max="14107" width="1.8515625" style="195" customWidth="1"/>
    <col min="14108" max="14108" width="16.7109375" style="195" customWidth="1"/>
    <col min="14109" max="14109" width="1.8515625" style="195" customWidth="1"/>
    <col min="14110" max="14110" width="17.8515625" style="195" customWidth="1"/>
    <col min="14111" max="14111" width="5.28125" style="195" customWidth="1"/>
    <col min="14112" max="14112" width="16.7109375" style="195" customWidth="1"/>
    <col min="14113" max="14113" width="5.28125" style="195" customWidth="1"/>
    <col min="14114" max="14114" width="14.421875" style="195" customWidth="1"/>
    <col min="14115" max="14115" width="1.8515625" style="195" customWidth="1"/>
    <col min="14116" max="14116" width="16.7109375" style="195" customWidth="1"/>
    <col min="14117" max="14326" width="11.00390625" style="195" customWidth="1"/>
    <col min="14327" max="14327" width="7.57421875" style="195" customWidth="1"/>
    <col min="14328" max="14328" width="15.57421875" style="195" customWidth="1"/>
    <col min="14329" max="14329" width="20.140625" style="195" customWidth="1"/>
    <col min="14330" max="14330" width="2.28125" style="195" customWidth="1"/>
    <col min="14331" max="14331" width="17.421875" style="195" customWidth="1"/>
    <col min="14332" max="14332" width="1.8515625" style="195" customWidth="1"/>
    <col min="14333" max="14333" width="18.7109375" style="195" customWidth="1"/>
    <col min="14334" max="14334" width="1.8515625" style="195" customWidth="1"/>
    <col min="14335" max="14335" width="23.00390625" style="195" customWidth="1"/>
    <col min="14336" max="14336" width="1.8515625" style="195" customWidth="1"/>
    <col min="14337" max="14337" width="17.421875" style="195" customWidth="1"/>
    <col min="14338" max="14338" width="3.00390625" style="195" customWidth="1"/>
    <col min="14339" max="14339" width="16.28125" style="195" customWidth="1"/>
    <col min="14340" max="14340" width="3.00390625" style="195" customWidth="1"/>
    <col min="14341" max="14341" width="14.140625" style="195" customWidth="1"/>
    <col min="14342" max="14342" width="2.00390625" style="195" customWidth="1"/>
    <col min="14343" max="14343" width="15.8515625" style="195" customWidth="1"/>
    <col min="14344" max="14344" width="3.140625" style="195" customWidth="1"/>
    <col min="14345" max="14345" width="17.8515625" style="195" customWidth="1"/>
    <col min="14346" max="14346" width="2.57421875" style="195" customWidth="1"/>
    <col min="14347" max="14347" width="15.57421875" style="195" customWidth="1"/>
    <col min="14348" max="14348" width="1.8515625" style="195" customWidth="1"/>
    <col min="14349" max="14349" width="14.140625" style="195" customWidth="1"/>
    <col min="14350" max="14350" width="11.00390625" style="195" customWidth="1"/>
    <col min="14351" max="14352" width="25.00390625" style="195" customWidth="1"/>
    <col min="14353" max="14353" width="1.8515625" style="195" customWidth="1"/>
    <col min="14354" max="14354" width="17.8515625" style="195" customWidth="1"/>
    <col min="14355" max="14355" width="1.8515625" style="195" customWidth="1"/>
    <col min="14356" max="14356" width="19.00390625" style="195" customWidth="1"/>
    <col min="14357" max="14357" width="1.8515625" style="195" customWidth="1"/>
    <col min="14358" max="14358" width="16.7109375" style="195" customWidth="1"/>
    <col min="14359" max="14359" width="1.8515625" style="195" customWidth="1"/>
    <col min="14360" max="14360" width="16.7109375" style="195" customWidth="1"/>
    <col min="14361" max="14361" width="1.8515625" style="195" customWidth="1"/>
    <col min="14362" max="14362" width="16.7109375" style="195" customWidth="1"/>
    <col min="14363" max="14363" width="1.8515625" style="195" customWidth="1"/>
    <col min="14364" max="14364" width="16.7109375" style="195" customWidth="1"/>
    <col min="14365" max="14365" width="1.8515625" style="195" customWidth="1"/>
    <col min="14366" max="14366" width="17.8515625" style="195" customWidth="1"/>
    <col min="14367" max="14367" width="5.28125" style="195" customWidth="1"/>
    <col min="14368" max="14368" width="16.7109375" style="195" customWidth="1"/>
    <col min="14369" max="14369" width="5.28125" style="195" customWidth="1"/>
    <col min="14370" max="14370" width="14.421875" style="195" customWidth="1"/>
    <col min="14371" max="14371" width="1.8515625" style="195" customWidth="1"/>
    <col min="14372" max="14372" width="16.7109375" style="195" customWidth="1"/>
    <col min="14373" max="14582" width="11.00390625" style="195" customWidth="1"/>
    <col min="14583" max="14583" width="7.57421875" style="195" customWidth="1"/>
    <col min="14584" max="14584" width="15.57421875" style="195" customWidth="1"/>
    <col min="14585" max="14585" width="20.140625" style="195" customWidth="1"/>
    <col min="14586" max="14586" width="2.28125" style="195" customWidth="1"/>
    <col min="14587" max="14587" width="17.421875" style="195" customWidth="1"/>
    <col min="14588" max="14588" width="1.8515625" style="195" customWidth="1"/>
    <col min="14589" max="14589" width="18.7109375" style="195" customWidth="1"/>
    <col min="14590" max="14590" width="1.8515625" style="195" customWidth="1"/>
    <col min="14591" max="14591" width="23.00390625" style="195" customWidth="1"/>
    <col min="14592" max="14592" width="1.8515625" style="195" customWidth="1"/>
    <col min="14593" max="14593" width="17.421875" style="195" customWidth="1"/>
    <col min="14594" max="14594" width="3.00390625" style="195" customWidth="1"/>
    <col min="14595" max="14595" width="16.28125" style="195" customWidth="1"/>
    <col min="14596" max="14596" width="3.00390625" style="195" customWidth="1"/>
    <col min="14597" max="14597" width="14.140625" style="195" customWidth="1"/>
    <col min="14598" max="14598" width="2.00390625" style="195" customWidth="1"/>
    <col min="14599" max="14599" width="15.8515625" style="195" customWidth="1"/>
    <col min="14600" max="14600" width="3.140625" style="195" customWidth="1"/>
    <col min="14601" max="14601" width="17.8515625" style="195" customWidth="1"/>
    <col min="14602" max="14602" width="2.57421875" style="195" customWidth="1"/>
    <col min="14603" max="14603" width="15.57421875" style="195" customWidth="1"/>
    <col min="14604" max="14604" width="1.8515625" style="195" customWidth="1"/>
    <col min="14605" max="14605" width="14.140625" style="195" customWidth="1"/>
    <col min="14606" max="14606" width="11.00390625" style="195" customWidth="1"/>
    <col min="14607" max="14608" width="25.00390625" style="195" customWidth="1"/>
    <col min="14609" max="14609" width="1.8515625" style="195" customWidth="1"/>
    <col min="14610" max="14610" width="17.8515625" style="195" customWidth="1"/>
    <col min="14611" max="14611" width="1.8515625" style="195" customWidth="1"/>
    <col min="14612" max="14612" width="19.00390625" style="195" customWidth="1"/>
    <col min="14613" max="14613" width="1.8515625" style="195" customWidth="1"/>
    <col min="14614" max="14614" width="16.7109375" style="195" customWidth="1"/>
    <col min="14615" max="14615" width="1.8515625" style="195" customWidth="1"/>
    <col min="14616" max="14616" width="16.7109375" style="195" customWidth="1"/>
    <col min="14617" max="14617" width="1.8515625" style="195" customWidth="1"/>
    <col min="14618" max="14618" width="16.7109375" style="195" customWidth="1"/>
    <col min="14619" max="14619" width="1.8515625" style="195" customWidth="1"/>
    <col min="14620" max="14620" width="16.7109375" style="195" customWidth="1"/>
    <col min="14621" max="14621" width="1.8515625" style="195" customWidth="1"/>
    <col min="14622" max="14622" width="17.8515625" style="195" customWidth="1"/>
    <col min="14623" max="14623" width="5.28125" style="195" customWidth="1"/>
    <col min="14624" max="14624" width="16.7109375" style="195" customWidth="1"/>
    <col min="14625" max="14625" width="5.28125" style="195" customWidth="1"/>
    <col min="14626" max="14626" width="14.421875" style="195" customWidth="1"/>
    <col min="14627" max="14627" width="1.8515625" style="195" customWidth="1"/>
    <col min="14628" max="14628" width="16.7109375" style="195" customWidth="1"/>
    <col min="14629" max="14838" width="11.00390625" style="195" customWidth="1"/>
    <col min="14839" max="14839" width="7.57421875" style="195" customWidth="1"/>
    <col min="14840" max="14840" width="15.57421875" style="195" customWidth="1"/>
    <col min="14841" max="14841" width="20.140625" style="195" customWidth="1"/>
    <col min="14842" max="14842" width="2.28125" style="195" customWidth="1"/>
    <col min="14843" max="14843" width="17.421875" style="195" customWidth="1"/>
    <col min="14844" max="14844" width="1.8515625" style="195" customWidth="1"/>
    <col min="14845" max="14845" width="18.7109375" style="195" customWidth="1"/>
    <col min="14846" max="14846" width="1.8515625" style="195" customWidth="1"/>
    <col min="14847" max="14847" width="23.00390625" style="195" customWidth="1"/>
    <col min="14848" max="14848" width="1.8515625" style="195" customWidth="1"/>
    <col min="14849" max="14849" width="17.421875" style="195" customWidth="1"/>
    <col min="14850" max="14850" width="3.00390625" style="195" customWidth="1"/>
    <col min="14851" max="14851" width="16.28125" style="195" customWidth="1"/>
    <col min="14852" max="14852" width="3.00390625" style="195" customWidth="1"/>
    <col min="14853" max="14853" width="14.140625" style="195" customWidth="1"/>
    <col min="14854" max="14854" width="2.00390625" style="195" customWidth="1"/>
    <col min="14855" max="14855" width="15.8515625" style="195" customWidth="1"/>
    <col min="14856" max="14856" width="3.140625" style="195" customWidth="1"/>
    <col min="14857" max="14857" width="17.8515625" style="195" customWidth="1"/>
    <col min="14858" max="14858" width="2.57421875" style="195" customWidth="1"/>
    <col min="14859" max="14859" width="15.57421875" style="195" customWidth="1"/>
    <col min="14860" max="14860" width="1.8515625" style="195" customWidth="1"/>
    <col min="14861" max="14861" width="14.140625" style="195" customWidth="1"/>
    <col min="14862" max="14862" width="11.00390625" style="195" customWidth="1"/>
    <col min="14863" max="14864" width="25.00390625" style="195" customWidth="1"/>
    <col min="14865" max="14865" width="1.8515625" style="195" customWidth="1"/>
    <col min="14866" max="14866" width="17.8515625" style="195" customWidth="1"/>
    <col min="14867" max="14867" width="1.8515625" style="195" customWidth="1"/>
    <col min="14868" max="14868" width="19.00390625" style="195" customWidth="1"/>
    <col min="14869" max="14869" width="1.8515625" style="195" customWidth="1"/>
    <col min="14870" max="14870" width="16.7109375" style="195" customWidth="1"/>
    <col min="14871" max="14871" width="1.8515625" style="195" customWidth="1"/>
    <col min="14872" max="14872" width="16.7109375" style="195" customWidth="1"/>
    <col min="14873" max="14873" width="1.8515625" style="195" customWidth="1"/>
    <col min="14874" max="14874" width="16.7109375" style="195" customWidth="1"/>
    <col min="14875" max="14875" width="1.8515625" style="195" customWidth="1"/>
    <col min="14876" max="14876" width="16.7109375" style="195" customWidth="1"/>
    <col min="14877" max="14877" width="1.8515625" style="195" customWidth="1"/>
    <col min="14878" max="14878" width="17.8515625" style="195" customWidth="1"/>
    <col min="14879" max="14879" width="5.28125" style="195" customWidth="1"/>
    <col min="14880" max="14880" width="16.7109375" style="195" customWidth="1"/>
    <col min="14881" max="14881" width="5.28125" style="195" customWidth="1"/>
    <col min="14882" max="14882" width="14.421875" style="195" customWidth="1"/>
    <col min="14883" max="14883" width="1.8515625" style="195" customWidth="1"/>
    <col min="14884" max="14884" width="16.7109375" style="195" customWidth="1"/>
    <col min="14885" max="15094" width="11.00390625" style="195" customWidth="1"/>
    <col min="15095" max="15095" width="7.57421875" style="195" customWidth="1"/>
    <col min="15096" max="15096" width="15.57421875" style="195" customWidth="1"/>
    <col min="15097" max="15097" width="20.140625" style="195" customWidth="1"/>
    <col min="15098" max="15098" width="2.28125" style="195" customWidth="1"/>
    <col min="15099" max="15099" width="17.421875" style="195" customWidth="1"/>
    <col min="15100" max="15100" width="1.8515625" style="195" customWidth="1"/>
    <col min="15101" max="15101" width="18.7109375" style="195" customWidth="1"/>
    <col min="15102" max="15102" width="1.8515625" style="195" customWidth="1"/>
    <col min="15103" max="15103" width="23.00390625" style="195" customWidth="1"/>
    <col min="15104" max="15104" width="1.8515625" style="195" customWidth="1"/>
    <col min="15105" max="15105" width="17.421875" style="195" customWidth="1"/>
    <col min="15106" max="15106" width="3.00390625" style="195" customWidth="1"/>
    <col min="15107" max="15107" width="16.28125" style="195" customWidth="1"/>
    <col min="15108" max="15108" width="3.00390625" style="195" customWidth="1"/>
    <col min="15109" max="15109" width="14.140625" style="195" customWidth="1"/>
    <col min="15110" max="15110" width="2.00390625" style="195" customWidth="1"/>
    <col min="15111" max="15111" width="15.8515625" style="195" customWidth="1"/>
    <col min="15112" max="15112" width="3.140625" style="195" customWidth="1"/>
    <col min="15113" max="15113" width="17.8515625" style="195" customWidth="1"/>
    <col min="15114" max="15114" width="2.57421875" style="195" customWidth="1"/>
    <col min="15115" max="15115" width="15.57421875" style="195" customWidth="1"/>
    <col min="15116" max="15116" width="1.8515625" style="195" customWidth="1"/>
    <col min="15117" max="15117" width="14.140625" style="195" customWidth="1"/>
    <col min="15118" max="15118" width="11.00390625" style="195" customWidth="1"/>
    <col min="15119" max="15120" width="25.00390625" style="195" customWidth="1"/>
    <col min="15121" max="15121" width="1.8515625" style="195" customWidth="1"/>
    <col min="15122" max="15122" width="17.8515625" style="195" customWidth="1"/>
    <col min="15123" max="15123" width="1.8515625" style="195" customWidth="1"/>
    <col min="15124" max="15124" width="19.00390625" style="195" customWidth="1"/>
    <col min="15125" max="15125" width="1.8515625" style="195" customWidth="1"/>
    <col min="15126" max="15126" width="16.7109375" style="195" customWidth="1"/>
    <col min="15127" max="15127" width="1.8515625" style="195" customWidth="1"/>
    <col min="15128" max="15128" width="16.7109375" style="195" customWidth="1"/>
    <col min="15129" max="15129" width="1.8515625" style="195" customWidth="1"/>
    <col min="15130" max="15130" width="16.7109375" style="195" customWidth="1"/>
    <col min="15131" max="15131" width="1.8515625" style="195" customWidth="1"/>
    <col min="15132" max="15132" width="16.7109375" style="195" customWidth="1"/>
    <col min="15133" max="15133" width="1.8515625" style="195" customWidth="1"/>
    <col min="15134" max="15134" width="17.8515625" style="195" customWidth="1"/>
    <col min="15135" max="15135" width="5.28125" style="195" customWidth="1"/>
    <col min="15136" max="15136" width="16.7109375" style="195" customWidth="1"/>
    <col min="15137" max="15137" width="5.28125" style="195" customWidth="1"/>
    <col min="15138" max="15138" width="14.421875" style="195" customWidth="1"/>
    <col min="15139" max="15139" width="1.8515625" style="195" customWidth="1"/>
    <col min="15140" max="15140" width="16.7109375" style="195" customWidth="1"/>
    <col min="15141" max="15350" width="11.00390625" style="195" customWidth="1"/>
    <col min="15351" max="15351" width="7.57421875" style="195" customWidth="1"/>
    <col min="15352" max="15352" width="15.57421875" style="195" customWidth="1"/>
    <col min="15353" max="15353" width="20.140625" style="195" customWidth="1"/>
    <col min="15354" max="15354" width="2.28125" style="195" customWidth="1"/>
    <col min="15355" max="15355" width="17.421875" style="195" customWidth="1"/>
    <col min="15356" max="15356" width="1.8515625" style="195" customWidth="1"/>
    <col min="15357" max="15357" width="18.7109375" style="195" customWidth="1"/>
    <col min="15358" max="15358" width="1.8515625" style="195" customWidth="1"/>
    <col min="15359" max="15359" width="23.00390625" style="195" customWidth="1"/>
    <col min="15360" max="15360" width="1.8515625" style="195" customWidth="1"/>
    <col min="15361" max="15361" width="17.421875" style="195" customWidth="1"/>
    <col min="15362" max="15362" width="3.00390625" style="195" customWidth="1"/>
    <col min="15363" max="15363" width="16.28125" style="195" customWidth="1"/>
    <col min="15364" max="15364" width="3.00390625" style="195" customWidth="1"/>
    <col min="15365" max="15365" width="14.140625" style="195" customWidth="1"/>
    <col min="15366" max="15366" width="2.00390625" style="195" customWidth="1"/>
    <col min="15367" max="15367" width="15.8515625" style="195" customWidth="1"/>
    <col min="15368" max="15368" width="3.140625" style="195" customWidth="1"/>
    <col min="15369" max="15369" width="17.8515625" style="195" customWidth="1"/>
    <col min="15370" max="15370" width="2.57421875" style="195" customWidth="1"/>
    <col min="15371" max="15371" width="15.57421875" style="195" customWidth="1"/>
    <col min="15372" max="15372" width="1.8515625" style="195" customWidth="1"/>
    <col min="15373" max="15373" width="14.140625" style="195" customWidth="1"/>
    <col min="15374" max="15374" width="11.00390625" style="195" customWidth="1"/>
    <col min="15375" max="15376" width="25.00390625" style="195" customWidth="1"/>
    <col min="15377" max="15377" width="1.8515625" style="195" customWidth="1"/>
    <col min="15378" max="15378" width="17.8515625" style="195" customWidth="1"/>
    <col min="15379" max="15379" width="1.8515625" style="195" customWidth="1"/>
    <col min="15380" max="15380" width="19.00390625" style="195" customWidth="1"/>
    <col min="15381" max="15381" width="1.8515625" style="195" customWidth="1"/>
    <col min="15382" max="15382" width="16.7109375" style="195" customWidth="1"/>
    <col min="15383" max="15383" width="1.8515625" style="195" customWidth="1"/>
    <col min="15384" max="15384" width="16.7109375" style="195" customWidth="1"/>
    <col min="15385" max="15385" width="1.8515625" style="195" customWidth="1"/>
    <col min="15386" max="15386" width="16.7109375" style="195" customWidth="1"/>
    <col min="15387" max="15387" width="1.8515625" style="195" customWidth="1"/>
    <col min="15388" max="15388" width="16.7109375" style="195" customWidth="1"/>
    <col min="15389" max="15389" width="1.8515625" style="195" customWidth="1"/>
    <col min="15390" max="15390" width="17.8515625" style="195" customWidth="1"/>
    <col min="15391" max="15391" width="5.28125" style="195" customWidth="1"/>
    <col min="15392" max="15392" width="16.7109375" style="195" customWidth="1"/>
    <col min="15393" max="15393" width="5.28125" style="195" customWidth="1"/>
    <col min="15394" max="15394" width="14.421875" style="195" customWidth="1"/>
    <col min="15395" max="15395" width="1.8515625" style="195" customWidth="1"/>
    <col min="15396" max="15396" width="16.7109375" style="195" customWidth="1"/>
    <col min="15397" max="15606" width="11.00390625" style="195" customWidth="1"/>
    <col min="15607" max="15607" width="7.57421875" style="195" customWidth="1"/>
    <col min="15608" max="15608" width="15.57421875" style="195" customWidth="1"/>
    <col min="15609" max="15609" width="20.140625" style="195" customWidth="1"/>
    <col min="15610" max="15610" width="2.28125" style="195" customWidth="1"/>
    <col min="15611" max="15611" width="17.421875" style="195" customWidth="1"/>
    <col min="15612" max="15612" width="1.8515625" style="195" customWidth="1"/>
    <col min="15613" max="15613" width="18.7109375" style="195" customWidth="1"/>
    <col min="15614" max="15614" width="1.8515625" style="195" customWidth="1"/>
    <col min="15615" max="15615" width="23.00390625" style="195" customWidth="1"/>
    <col min="15616" max="15616" width="1.8515625" style="195" customWidth="1"/>
    <col min="15617" max="15617" width="17.421875" style="195" customWidth="1"/>
    <col min="15618" max="15618" width="3.00390625" style="195" customWidth="1"/>
    <col min="15619" max="15619" width="16.28125" style="195" customWidth="1"/>
    <col min="15620" max="15620" width="3.00390625" style="195" customWidth="1"/>
    <col min="15621" max="15621" width="14.140625" style="195" customWidth="1"/>
    <col min="15622" max="15622" width="2.00390625" style="195" customWidth="1"/>
    <col min="15623" max="15623" width="15.8515625" style="195" customWidth="1"/>
    <col min="15624" max="15624" width="3.140625" style="195" customWidth="1"/>
    <col min="15625" max="15625" width="17.8515625" style="195" customWidth="1"/>
    <col min="15626" max="15626" width="2.57421875" style="195" customWidth="1"/>
    <col min="15627" max="15627" width="15.57421875" style="195" customWidth="1"/>
    <col min="15628" max="15628" width="1.8515625" style="195" customWidth="1"/>
    <col min="15629" max="15629" width="14.140625" style="195" customWidth="1"/>
    <col min="15630" max="15630" width="11.00390625" style="195" customWidth="1"/>
    <col min="15631" max="15632" width="25.00390625" style="195" customWidth="1"/>
    <col min="15633" max="15633" width="1.8515625" style="195" customWidth="1"/>
    <col min="15634" max="15634" width="17.8515625" style="195" customWidth="1"/>
    <col min="15635" max="15635" width="1.8515625" style="195" customWidth="1"/>
    <col min="15636" max="15636" width="19.00390625" style="195" customWidth="1"/>
    <col min="15637" max="15637" width="1.8515625" style="195" customWidth="1"/>
    <col min="15638" max="15638" width="16.7109375" style="195" customWidth="1"/>
    <col min="15639" max="15639" width="1.8515625" style="195" customWidth="1"/>
    <col min="15640" max="15640" width="16.7109375" style="195" customWidth="1"/>
    <col min="15641" max="15641" width="1.8515625" style="195" customWidth="1"/>
    <col min="15642" max="15642" width="16.7109375" style="195" customWidth="1"/>
    <col min="15643" max="15643" width="1.8515625" style="195" customWidth="1"/>
    <col min="15644" max="15644" width="16.7109375" style="195" customWidth="1"/>
    <col min="15645" max="15645" width="1.8515625" style="195" customWidth="1"/>
    <col min="15646" max="15646" width="17.8515625" style="195" customWidth="1"/>
    <col min="15647" max="15647" width="5.28125" style="195" customWidth="1"/>
    <col min="15648" max="15648" width="16.7109375" style="195" customWidth="1"/>
    <col min="15649" max="15649" width="5.28125" style="195" customWidth="1"/>
    <col min="15650" max="15650" width="14.421875" style="195" customWidth="1"/>
    <col min="15651" max="15651" width="1.8515625" style="195" customWidth="1"/>
    <col min="15652" max="15652" width="16.7109375" style="195" customWidth="1"/>
    <col min="15653" max="15862" width="11.00390625" style="195" customWidth="1"/>
    <col min="15863" max="15863" width="7.57421875" style="195" customWidth="1"/>
    <col min="15864" max="15864" width="15.57421875" style="195" customWidth="1"/>
    <col min="15865" max="15865" width="20.140625" style="195" customWidth="1"/>
    <col min="15866" max="15866" width="2.28125" style="195" customWidth="1"/>
    <col min="15867" max="15867" width="17.421875" style="195" customWidth="1"/>
    <col min="15868" max="15868" width="1.8515625" style="195" customWidth="1"/>
    <col min="15869" max="15869" width="18.7109375" style="195" customWidth="1"/>
    <col min="15870" max="15870" width="1.8515625" style="195" customWidth="1"/>
    <col min="15871" max="15871" width="23.00390625" style="195" customWidth="1"/>
    <col min="15872" max="15872" width="1.8515625" style="195" customWidth="1"/>
    <col min="15873" max="15873" width="17.421875" style="195" customWidth="1"/>
    <col min="15874" max="15874" width="3.00390625" style="195" customWidth="1"/>
    <col min="15875" max="15875" width="16.28125" style="195" customWidth="1"/>
    <col min="15876" max="15876" width="3.00390625" style="195" customWidth="1"/>
    <col min="15877" max="15877" width="14.140625" style="195" customWidth="1"/>
    <col min="15878" max="15878" width="2.00390625" style="195" customWidth="1"/>
    <col min="15879" max="15879" width="15.8515625" style="195" customWidth="1"/>
    <col min="15880" max="15880" width="3.140625" style="195" customWidth="1"/>
    <col min="15881" max="15881" width="17.8515625" style="195" customWidth="1"/>
    <col min="15882" max="15882" width="2.57421875" style="195" customWidth="1"/>
    <col min="15883" max="15883" width="15.57421875" style="195" customWidth="1"/>
    <col min="15884" max="15884" width="1.8515625" style="195" customWidth="1"/>
    <col min="15885" max="15885" width="14.140625" style="195" customWidth="1"/>
    <col min="15886" max="15886" width="11.00390625" style="195" customWidth="1"/>
    <col min="15887" max="15888" width="25.00390625" style="195" customWidth="1"/>
    <col min="15889" max="15889" width="1.8515625" style="195" customWidth="1"/>
    <col min="15890" max="15890" width="17.8515625" style="195" customWidth="1"/>
    <col min="15891" max="15891" width="1.8515625" style="195" customWidth="1"/>
    <col min="15892" max="15892" width="19.00390625" style="195" customWidth="1"/>
    <col min="15893" max="15893" width="1.8515625" style="195" customWidth="1"/>
    <col min="15894" max="15894" width="16.7109375" style="195" customWidth="1"/>
    <col min="15895" max="15895" width="1.8515625" style="195" customWidth="1"/>
    <col min="15896" max="15896" width="16.7109375" style="195" customWidth="1"/>
    <col min="15897" max="15897" width="1.8515625" style="195" customWidth="1"/>
    <col min="15898" max="15898" width="16.7109375" style="195" customWidth="1"/>
    <col min="15899" max="15899" width="1.8515625" style="195" customWidth="1"/>
    <col min="15900" max="15900" width="16.7109375" style="195" customWidth="1"/>
    <col min="15901" max="15901" width="1.8515625" style="195" customWidth="1"/>
    <col min="15902" max="15902" width="17.8515625" style="195" customWidth="1"/>
    <col min="15903" max="15903" width="5.28125" style="195" customWidth="1"/>
    <col min="15904" max="15904" width="16.7109375" style="195" customWidth="1"/>
    <col min="15905" max="15905" width="5.28125" style="195" customWidth="1"/>
    <col min="15906" max="15906" width="14.421875" style="195" customWidth="1"/>
    <col min="15907" max="15907" width="1.8515625" style="195" customWidth="1"/>
    <col min="15908" max="15908" width="16.7109375" style="195" customWidth="1"/>
    <col min="15909" max="16118" width="11.00390625" style="195" customWidth="1"/>
    <col min="16119" max="16119" width="7.57421875" style="195" customWidth="1"/>
    <col min="16120" max="16120" width="15.57421875" style="195" customWidth="1"/>
    <col min="16121" max="16121" width="20.140625" style="195" customWidth="1"/>
    <col min="16122" max="16122" width="2.28125" style="195" customWidth="1"/>
    <col min="16123" max="16123" width="17.421875" style="195" customWidth="1"/>
    <col min="16124" max="16124" width="1.8515625" style="195" customWidth="1"/>
    <col min="16125" max="16125" width="18.7109375" style="195" customWidth="1"/>
    <col min="16126" max="16126" width="1.8515625" style="195" customWidth="1"/>
    <col min="16127" max="16127" width="23.00390625" style="195" customWidth="1"/>
    <col min="16128" max="16128" width="1.8515625" style="195" customWidth="1"/>
    <col min="16129" max="16129" width="17.421875" style="195" customWidth="1"/>
    <col min="16130" max="16130" width="3.00390625" style="195" customWidth="1"/>
    <col min="16131" max="16131" width="16.28125" style="195" customWidth="1"/>
    <col min="16132" max="16132" width="3.00390625" style="195" customWidth="1"/>
    <col min="16133" max="16133" width="14.140625" style="195" customWidth="1"/>
    <col min="16134" max="16134" width="2.00390625" style="195" customWidth="1"/>
    <col min="16135" max="16135" width="15.8515625" style="195" customWidth="1"/>
    <col min="16136" max="16136" width="3.140625" style="195" customWidth="1"/>
    <col min="16137" max="16137" width="17.8515625" style="195" customWidth="1"/>
    <col min="16138" max="16138" width="2.57421875" style="195" customWidth="1"/>
    <col min="16139" max="16139" width="15.57421875" style="195" customWidth="1"/>
    <col min="16140" max="16140" width="1.8515625" style="195" customWidth="1"/>
    <col min="16141" max="16141" width="14.140625" style="195" customWidth="1"/>
    <col min="16142" max="16142" width="11.00390625" style="195" customWidth="1"/>
    <col min="16143" max="16144" width="25.00390625" style="195" customWidth="1"/>
    <col min="16145" max="16145" width="1.8515625" style="195" customWidth="1"/>
    <col min="16146" max="16146" width="17.8515625" style="195" customWidth="1"/>
    <col min="16147" max="16147" width="1.8515625" style="195" customWidth="1"/>
    <col min="16148" max="16148" width="19.00390625" style="195" customWidth="1"/>
    <col min="16149" max="16149" width="1.8515625" style="195" customWidth="1"/>
    <col min="16150" max="16150" width="16.7109375" style="195" customWidth="1"/>
    <col min="16151" max="16151" width="1.8515625" style="195" customWidth="1"/>
    <col min="16152" max="16152" width="16.7109375" style="195" customWidth="1"/>
    <col min="16153" max="16153" width="1.8515625" style="195" customWidth="1"/>
    <col min="16154" max="16154" width="16.7109375" style="195" customWidth="1"/>
    <col min="16155" max="16155" width="1.8515625" style="195" customWidth="1"/>
    <col min="16156" max="16156" width="16.7109375" style="195" customWidth="1"/>
    <col min="16157" max="16157" width="1.8515625" style="195" customWidth="1"/>
    <col min="16158" max="16158" width="17.8515625" style="195" customWidth="1"/>
    <col min="16159" max="16159" width="5.28125" style="195" customWidth="1"/>
    <col min="16160" max="16160" width="16.7109375" style="195" customWidth="1"/>
    <col min="16161" max="16161" width="5.28125" style="195" customWidth="1"/>
    <col min="16162" max="16162" width="14.421875" style="195" customWidth="1"/>
    <col min="16163" max="16163" width="1.8515625" style="195" customWidth="1"/>
    <col min="16164" max="16164" width="16.7109375" style="195" customWidth="1"/>
    <col min="16165" max="16384" width="11.00390625" style="195" customWidth="1"/>
  </cols>
  <sheetData>
    <row r="1" ht="12.75" hidden="1">
      <c r="A1" s="195"/>
    </row>
    <row r="2" spans="1:36" ht="12.75" hidden="1">
      <c r="A2" s="195"/>
      <c r="B2" s="407" t="s">
        <v>473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12"/>
      <c r="Q2" s="197"/>
      <c r="R2" s="197"/>
      <c r="S2" s="197"/>
      <c r="T2" s="196"/>
      <c r="U2" s="197"/>
      <c r="V2" s="196"/>
      <c r="W2" s="197"/>
      <c r="X2" s="196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ht="12.75" hidden="1">
      <c r="A3" s="195"/>
      <c r="B3" s="407" t="s">
        <v>474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12"/>
      <c r="Q3" s="197"/>
      <c r="R3" s="197"/>
      <c r="S3" s="197"/>
      <c r="T3" s="196"/>
      <c r="U3" s="197"/>
      <c r="V3" s="196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ht="12.75" hidden="1">
      <c r="A4" s="195"/>
      <c r="B4" s="407" t="s">
        <v>475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212"/>
      <c r="Q4" s="197"/>
      <c r="R4" s="197"/>
      <c r="S4" s="197"/>
      <c r="T4" s="196"/>
      <c r="U4" s="197"/>
      <c r="V4" s="196"/>
      <c r="W4" s="196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2.75" hidden="1">
      <c r="A5" s="195"/>
      <c r="B5" s="407" t="s">
        <v>476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212"/>
      <c r="Q5" s="197"/>
      <c r="R5" s="197"/>
      <c r="S5" s="196"/>
      <c r="T5" s="196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12.75" hidden="1">
      <c r="A6" s="195"/>
      <c r="B6" s="408" t="s">
        <v>477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212"/>
      <c r="Q6" s="197"/>
      <c r="R6" s="197"/>
      <c r="S6" s="197"/>
      <c r="T6" s="196"/>
      <c r="U6" s="197"/>
      <c r="V6" s="197"/>
      <c r="W6" s="197"/>
      <c r="X6" s="196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1:36" ht="12.75" hidden="1">
      <c r="A7" s="195"/>
      <c r="C7" s="196"/>
      <c r="D7" s="197"/>
      <c r="E7" s="197"/>
      <c r="F7" s="197"/>
      <c r="G7" s="196"/>
      <c r="H7" s="197"/>
      <c r="I7" s="197"/>
      <c r="J7" s="197"/>
      <c r="K7" s="213"/>
      <c r="L7" s="213"/>
      <c r="M7" s="213"/>
      <c r="N7" s="212"/>
      <c r="Q7" s="197"/>
      <c r="R7" s="197"/>
      <c r="S7" s="197"/>
      <c r="T7" s="196"/>
      <c r="U7" s="197"/>
      <c r="V7" s="197"/>
      <c r="W7" s="197"/>
      <c r="X7" s="196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</row>
    <row r="8" spans="1:36" ht="12.75" hidden="1">
      <c r="A8" s="195"/>
      <c r="C8" s="198"/>
      <c r="D8" s="198"/>
      <c r="E8" s="198"/>
      <c r="F8" s="198"/>
      <c r="G8" s="198"/>
      <c r="H8" s="198"/>
      <c r="I8" s="198"/>
      <c r="J8" s="198"/>
      <c r="K8" s="214"/>
      <c r="L8" s="214"/>
      <c r="M8" s="214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</row>
    <row r="9" spans="1:36" ht="18" customHeight="1">
      <c r="A9" s="195"/>
      <c r="Q9" s="198"/>
      <c r="R9" s="199"/>
      <c r="S9" s="198"/>
      <c r="T9" s="199"/>
      <c r="U9" s="198"/>
      <c r="V9" s="199"/>
      <c r="W9" s="198"/>
      <c r="X9" s="199"/>
      <c r="Y9" s="198"/>
      <c r="Z9" s="199"/>
      <c r="AA9" s="198"/>
      <c r="AB9" s="199"/>
      <c r="AC9" s="198"/>
      <c r="AD9" s="199"/>
      <c r="AE9" s="198"/>
      <c r="AF9" s="199"/>
      <c r="AG9" s="198"/>
      <c r="AH9" s="199"/>
      <c r="AI9" s="198"/>
      <c r="AJ9" s="199"/>
    </row>
    <row r="10" spans="1:36" ht="12.75">
      <c r="A10" s="195"/>
      <c r="Q10" s="198"/>
      <c r="R10" s="198"/>
      <c r="S10" s="198"/>
      <c r="T10" s="199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</row>
    <row r="11" spans="1:36" ht="12.75">
      <c r="A11" s="195"/>
      <c r="C11" s="283" t="s">
        <v>172</v>
      </c>
      <c r="D11" s="283" t="s">
        <v>173</v>
      </c>
      <c r="E11" s="283" t="s">
        <v>174</v>
      </c>
      <c r="F11" s="283" t="s">
        <v>175</v>
      </c>
      <c r="G11" s="283" t="s">
        <v>176</v>
      </c>
      <c r="H11" s="283" t="s">
        <v>177</v>
      </c>
      <c r="I11" s="283" t="s">
        <v>286</v>
      </c>
      <c r="J11" s="283" t="s">
        <v>287</v>
      </c>
      <c r="K11" s="215" t="s">
        <v>288</v>
      </c>
      <c r="L11" s="215" t="s">
        <v>289</v>
      </c>
      <c r="M11" s="215" t="s">
        <v>290</v>
      </c>
      <c r="Q11" s="198"/>
      <c r="R11" s="198"/>
      <c r="S11" s="198"/>
      <c r="T11" s="199"/>
      <c r="U11" s="198"/>
      <c r="V11" s="198"/>
      <c r="W11" s="198"/>
      <c r="X11" s="199"/>
      <c r="Y11" s="198"/>
      <c r="Z11" s="198"/>
      <c r="AA11" s="198"/>
      <c r="AB11" s="198"/>
      <c r="AC11" s="198"/>
      <c r="AD11" s="199"/>
      <c r="AE11" s="198"/>
      <c r="AF11" s="198"/>
      <c r="AG11" s="198"/>
      <c r="AH11" s="198"/>
      <c r="AI11" s="198"/>
      <c r="AJ11" s="198"/>
    </row>
    <row r="12" spans="1:36" ht="12.75">
      <c r="A12" s="195"/>
      <c r="C12" s="198"/>
      <c r="D12" s="198"/>
      <c r="E12" s="283" t="s">
        <v>478</v>
      </c>
      <c r="F12" s="198"/>
      <c r="G12" s="198"/>
      <c r="H12" s="198"/>
      <c r="I12" s="198"/>
      <c r="J12" s="198"/>
      <c r="K12" s="214"/>
      <c r="L12" s="214"/>
      <c r="M12" s="214"/>
      <c r="Q12" s="198"/>
      <c r="R12" s="199"/>
      <c r="S12" s="198"/>
      <c r="T12" s="199"/>
      <c r="U12" s="198"/>
      <c r="V12" s="198"/>
      <c r="W12" s="198"/>
      <c r="X12" s="199"/>
      <c r="Y12" s="198"/>
      <c r="Z12" s="199"/>
      <c r="AA12" s="198"/>
      <c r="AB12" s="199"/>
      <c r="AC12" s="198"/>
      <c r="AD12" s="199"/>
      <c r="AE12" s="198"/>
      <c r="AF12" s="199"/>
      <c r="AG12" s="198"/>
      <c r="AH12" s="199"/>
      <c r="AI12" s="198"/>
      <c r="AJ12" s="199"/>
    </row>
    <row r="13" spans="1:36" ht="12.75">
      <c r="A13" s="195"/>
      <c r="C13" s="198"/>
      <c r="D13" s="198"/>
      <c r="E13" s="283" t="s">
        <v>479</v>
      </c>
      <c r="F13" s="198"/>
      <c r="H13" s="198"/>
      <c r="I13" s="198"/>
      <c r="J13" s="283" t="s">
        <v>480</v>
      </c>
      <c r="K13" s="214"/>
      <c r="L13" s="214"/>
      <c r="M13" s="214"/>
      <c r="Q13" s="198"/>
      <c r="R13" s="199"/>
      <c r="S13" s="198"/>
      <c r="T13" s="199"/>
      <c r="U13" s="198"/>
      <c r="V13" s="198"/>
      <c r="W13" s="198"/>
      <c r="X13" s="199"/>
      <c r="Y13" s="198"/>
      <c r="Z13" s="199"/>
      <c r="AA13" s="198"/>
      <c r="AB13" s="199"/>
      <c r="AC13" s="198"/>
      <c r="AD13" s="199"/>
      <c r="AE13" s="198"/>
      <c r="AF13" s="199"/>
      <c r="AG13" s="198"/>
      <c r="AH13" s="199"/>
      <c r="AI13" s="198"/>
      <c r="AJ13" s="199"/>
    </row>
    <row r="14" spans="1:36" ht="12.75">
      <c r="A14" s="195"/>
      <c r="B14" s="283" t="s">
        <v>481</v>
      </c>
      <c r="C14" s="198"/>
      <c r="D14" s="283" t="s">
        <v>482</v>
      </c>
      <c r="E14" s="283" t="s">
        <v>483</v>
      </c>
      <c r="F14" s="198"/>
      <c r="G14" s="283" t="s">
        <v>318</v>
      </c>
      <c r="H14" s="283" t="s">
        <v>318</v>
      </c>
      <c r="I14" s="283" t="s">
        <v>484</v>
      </c>
      <c r="J14" s="283" t="s">
        <v>485</v>
      </c>
      <c r="K14" s="215" t="s">
        <v>215</v>
      </c>
      <c r="L14" s="215" t="s">
        <v>486</v>
      </c>
      <c r="M14" s="215" t="s">
        <v>318</v>
      </c>
      <c r="Q14" s="198"/>
      <c r="R14" s="199"/>
      <c r="S14" s="198"/>
      <c r="T14" s="199"/>
      <c r="U14" s="198"/>
      <c r="V14" s="199"/>
      <c r="W14" s="198"/>
      <c r="X14" s="199"/>
      <c r="Y14" s="198"/>
      <c r="Z14" s="199"/>
      <c r="AA14" s="198"/>
      <c r="AB14" s="199"/>
      <c r="AC14" s="198"/>
      <c r="AD14" s="199"/>
      <c r="AE14" s="198"/>
      <c r="AF14" s="199"/>
      <c r="AG14" s="198"/>
      <c r="AH14" s="199"/>
      <c r="AI14" s="198"/>
      <c r="AJ14" s="199"/>
    </row>
    <row r="15" spans="1:13" ht="12.75">
      <c r="A15" s="195"/>
      <c r="B15" s="283" t="s">
        <v>487</v>
      </c>
      <c r="C15" s="276" t="s">
        <v>488</v>
      </c>
      <c r="D15" s="276" t="s">
        <v>489</v>
      </c>
      <c r="E15" s="276" t="s">
        <v>490</v>
      </c>
      <c r="F15" s="277"/>
      <c r="G15" s="276" t="s">
        <v>202</v>
      </c>
      <c r="H15" s="276" t="s">
        <v>488</v>
      </c>
      <c r="I15" s="276" t="s">
        <v>491</v>
      </c>
      <c r="J15" s="276" t="s">
        <v>492</v>
      </c>
      <c r="K15" s="278" t="s">
        <v>493</v>
      </c>
      <c r="L15" s="278" t="s">
        <v>215</v>
      </c>
      <c r="M15" s="215" t="s">
        <v>494</v>
      </c>
    </row>
    <row r="16" spans="1:13" ht="12.75">
      <c r="A16" s="195"/>
      <c r="B16" s="200" t="s">
        <v>495</v>
      </c>
      <c r="C16" s="276" t="s">
        <v>496</v>
      </c>
      <c r="D16" s="276" t="s">
        <v>497</v>
      </c>
      <c r="E16" s="276" t="s">
        <v>497</v>
      </c>
      <c r="F16" s="276" t="s">
        <v>214</v>
      </c>
      <c r="G16" s="276" t="s">
        <v>498</v>
      </c>
      <c r="H16" s="276" t="s">
        <v>499</v>
      </c>
      <c r="I16" s="276" t="s">
        <v>500</v>
      </c>
      <c r="J16" s="276" t="s">
        <v>501</v>
      </c>
      <c r="K16" s="278" t="s">
        <v>502</v>
      </c>
      <c r="L16" s="278" t="s">
        <v>503</v>
      </c>
      <c r="M16" s="215" t="s">
        <v>504</v>
      </c>
    </row>
    <row r="17" spans="1:36" ht="12.75" hidden="1">
      <c r="A17" s="194">
        <v>1</v>
      </c>
      <c r="B17" s="283" t="s">
        <v>505</v>
      </c>
      <c r="C17" s="201">
        <v>3298951</v>
      </c>
      <c r="D17" s="201">
        <v>963839</v>
      </c>
      <c r="E17" s="201">
        <v>348748</v>
      </c>
      <c r="F17" s="201">
        <v>807047</v>
      </c>
      <c r="G17" s="201">
        <v>1220170</v>
      </c>
      <c r="H17" s="201">
        <f>C17-D17-E17-F17-G17</f>
        <v>-40853</v>
      </c>
      <c r="I17" s="201">
        <f>F17</f>
        <v>807047</v>
      </c>
      <c r="J17" s="201">
        <f>H17+I17</f>
        <v>766194</v>
      </c>
      <c r="K17" s="216">
        <v>628460</v>
      </c>
      <c r="M17" s="216">
        <f>J17-K17</f>
        <v>137734</v>
      </c>
      <c r="R17" s="201"/>
      <c r="T17" s="201"/>
      <c r="V17" s="201"/>
      <c r="X17" s="201"/>
      <c r="Z17" s="201"/>
      <c r="AB17" s="201"/>
      <c r="AD17" s="201"/>
      <c r="AF17" s="201"/>
      <c r="AJ17" s="201"/>
    </row>
    <row r="18" ht="12.75" hidden="1">
      <c r="A18" s="194">
        <v>3</v>
      </c>
    </row>
    <row r="19" spans="1:36" ht="12.75" hidden="1">
      <c r="A19" s="194">
        <v>4</v>
      </c>
      <c r="B19" s="283" t="s">
        <v>506</v>
      </c>
      <c r="C19" s="201">
        <v>217534</v>
      </c>
      <c r="D19" s="201">
        <v>40331</v>
      </c>
      <c r="E19" s="201">
        <v>51130</v>
      </c>
      <c r="F19" s="201">
        <v>36511</v>
      </c>
      <c r="G19" s="201">
        <v>81883</v>
      </c>
      <c r="H19" s="201">
        <f>C19-D19-E19-F19-G19</f>
        <v>7679</v>
      </c>
      <c r="I19" s="201">
        <f>F19+10010</f>
        <v>46521</v>
      </c>
      <c r="J19" s="201">
        <f>H19+I19</f>
        <v>54200</v>
      </c>
      <c r="K19" s="216">
        <v>6937</v>
      </c>
      <c r="M19" s="216">
        <f>J19-K19-L19</f>
        <v>47263</v>
      </c>
      <c r="R19" s="201"/>
      <c r="T19" s="201"/>
      <c r="V19" s="201"/>
      <c r="X19" s="201"/>
      <c r="Z19" s="201"/>
      <c r="AB19" s="201"/>
      <c r="AD19" s="201"/>
      <c r="AF19" s="201"/>
      <c r="AJ19" s="201"/>
    </row>
    <row r="20" spans="1:36" ht="12.75" hidden="1">
      <c r="A20" s="194">
        <v>5</v>
      </c>
      <c r="B20" s="283" t="s">
        <v>507</v>
      </c>
      <c r="C20" s="201">
        <v>189542</v>
      </c>
      <c r="D20" s="201">
        <f>9898+39449</f>
        <v>49347</v>
      </c>
      <c r="E20" s="201">
        <v>25195</v>
      </c>
      <c r="F20" s="201">
        <v>39083</v>
      </c>
      <c r="G20" s="201">
        <v>98889</v>
      </c>
      <c r="H20" s="201">
        <f>C20-D20-E20-F20-G20</f>
        <v>-22972</v>
      </c>
      <c r="I20" s="201">
        <f>F20+3503</f>
        <v>42586</v>
      </c>
      <c r="J20" s="201">
        <f>H20+I20</f>
        <v>19614</v>
      </c>
      <c r="K20" s="216">
        <v>914</v>
      </c>
      <c r="M20" s="216">
        <f>J20-K20-L20</f>
        <v>18700</v>
      </c>
      <c r="R20" s="201"/>
      <c r="T20" s="201"/>
      <c r="V20" s="201"/>
      <c r="X20" s="201"/>
      <c r="Z20" s="201"/>
      <c r="AB20" s="201"/>
      <c r="AD20" s="201"/>
      <c r="AF20" s="201"/>
      <c r="AJ20" s="201"/>
    </row>
    <row r="21" spans="1:36" ht="12.75" hidden="1">
      <c r="A21" s="194">
        <v>6</v>
      </c>
      <c r="B21" s="283" t="s">
        <v>508</v>
      </c>
      <c r="C21" s="201">
        <v>341863</v>
      </c>
      <c r="D21" s="201">
        <v>76460</v>
      </c>
      <c r="E21" s="201">
        <f>89272+93471</f>
        <v>182743</v>
      </c>
      <c r="F21" s="201">
        <v>41237</v>
      </c>
      <c r="G21" s="201">
        <v>105740</v>
      </c>
      <c r="H21" s="201">
        <f>C21-D21-E21-F21-G21</f>
        <v>-64317</v>
      </c>
      <c r="I21" s="201">
        <f>F21+44210+8994</f>
        <v>94441</v>
      </c>
      <c r="J21" s="201">
        <f>H21+I21</f>
        <v>30124</v>
      </c>
      <c r="K21" s="216">
        <v>73</v>
      </c>
      <c r="M21" s="216">
        <f>J21-K21-L21</f>
        <v>30051</v>
      </c>
      <c r="R21" s="201"/>
      <c r="T21" s="201"/>
      <c r="V21" s="201"/>
      <c r="X21" s="201"/>
      <c r="Z21" s="201"/>
      <c r="AB21" s="201"/>
      <c r="AD21" s="201"/>
      <c r="AF21" s="201"/>
      <c r="AJ21" s="201"/>
    </row>
    <row r="22" spans="1:36" ht="12.75" hidden="1">
      <c r="A22" s="194">
        <v>7</v>
      </c>
      <c r="B22" s="283" t="s">
        <v>509</v>
      </c>
      <c r="C22" s="201">
        <v>502589</v>
      </c>
      <c r="D22" s="201">
        <f>43497+49493</f>
        <v>92990</v>
      </c>
      <c r="E22" s="201">
        <f>205636+63989</f>
        <v>269625</v>
      </c>
      <c r="F22" s="201">
        <v>42870</v>
      </c>
      <c r="G22" s="201">
        <v>118861</v>
      </c>
      <c r="H22" s="201">
        <f>C22-D22-E22-F22-G22</f>
        <v>-21757</v>
      </c>
      <c r="I22" s="201">
        <f>F22+6071</f>
        <v>48941</v>
      </c>
      <c r="J22" s="201">
        <f>H22+I22</f>
        <v>27184</v>
      </c>
      <c r="K22" s="216">
        <f>1650+2760</f>
        <v>4410</v>
      </c>
      <c r="M22" s="216">
        <f>J22-K22-L22</f>
        <v>22774</v>
      </c>
      <c r="R22" s="201"/>
      <c r="T22" s="201"/>
      <c r="V22" s="201"/>
      <c r="X22" s="201"/>
      <c r="Z22" s="201"/>
      <c r="AB22" s="201"/>
      <c r="AD22" s="201"/>
      <c r="AF22" s="201"/>
      <c r="AG22" s="200"/>
      <c r="AJ22" s="201"/>
    </row>
    <row r="23" spans="1:36" ht="12.75" hidden="1">
      <c r="A23" s="194">
        <v>8</v>
      </c>
      <c r="B23" s="283" t="s">
        <v>510</v>
      </c>
      <c r="C23" s="201">
        <v>1067604</v>
      </c>
      <c r="D23" s="201">
        <f>61354+55494-1418</f>
        <v>115430</v>
      </c>
      <c r="E23" s="201">
        <f>135662+381409+428371</f>
        <v>945442</v>
      </c>
      <c r="F23" s="201">
        <f>47937+1418</f>
        <v>49355</v>
      </c>
      <c r="G23" s="201">
        <v>145610</v>
      </c>
      <c r="H23" s="201">
        <f>C23-D23-E23-F23-G23</f>
        <v>-188233</v>
      </c>
      <c r="I23" s="201">
        <f>F23+6072</f>
        <v>55427</v>
      </c>
      <c r="J23" s="201">
        <f>H23+I23</f>
        <v>-132806</v>
      </c>
      <c r="K23" s="216">
        <v>0</v>
      </c>
      <c r="M23" s="216">
        <f>J23-K23-L23</f>
        <v>-132806</v>
      </c>
      <c r="O23" s="216"/>
      <c r="R23" s="201"/>
      <c r="T23" s="201"/>
      <c r="V23" s="201"/>
      <c r="X23" s="201"/>
      <c r="Z23" s="201"/>
      <c r="AB23" s="201"/>
      <c r="AD23" s="201"/>
      <c r="AF23" s="201"/>
      <c r="AG23" s="198"/>
      <c r="AJ23" s="201"/>
    </row>
    <row r="24" spans="1:36" ht="12.75" hidden="1">
      <c r="A24" s="194">
        <v>9</v>
      </c>
      <c r="B24" s="283"/>
      <c r="C24" s="201"/>
      <c r="D24" s="201"/>
      <c r="E24" s="201"/>
      <c r="F24" s="201"/>
      <c r="G24" s="201"/>
      <c r="H24" s="201"/>
      <c r="I24" s="201"/>
      <c r="J24" s="201"/>
      <c r="K24" s="216"/>
      <c r="M24" s="216"/>
      <c r="O24" s="216"/>
      <c r="R24" s="201"/>
      <c r="T24" s="201"/>
      <c r="V24" s="201"/>
      <c r="X24" s="201"/>
      <c r="Z24" s="201"/>
      <c r="AB24" s="201"/>
      <c r="AD24" s="201"/>
      <c r="AF24" s="201"/>
      <c r="AG24" s="198"/>
      <c r="AJ24" s="201"/>
    </row>
    <row r="25" spans="1:36" ht="12.75" hidden="1">
      <c r="A25" s="194">
        <v>10</v>
      </c>
      <c r="B25" s="283" t="s">
        <v>511</v>
      </c>
      <c r="C25" s="201">
        <f>1549866-64125</f>
        <v>1485741</v>
      </c>
      <c r="D25" s="201">
        <f>55616+64508-5164</f>
        <v>114960</v>
      </c>
      <c r="E25" s="201">
        <f>73334+633007+549469</f>
        <v>1255810</v>
      </c>
      <c r="F25" s="201">
        <f>52803+5164</f>
        <v>57967</v>
      </c>
      <c r="G25" s="201">
        <v>153763</v>
      </c>
      <c r="H25" s="201">
        <f>C25-D25-E25-F25-G25</f>
        <v>-96759</v>
      </c>
      <c r="I25" s="201">
        <f>F25+6072</f>
        <v>64039</v>
      </c>
      <c r="J25" s="201">
        <f>H25+I25</f>
        <v>-32720</v>
      </c>
      <c r="K25" s="216">
        <v>0</v>
      </c>
      <c r="M25" s="216">
        <f>J25-K25-L25</f>
        <v>-32720</v>
      </c>
      <c r="R25" s="201"/>
      <c r="T25" s="201"/>
      <c r="V25" s="201"/>
      <c r="X25" s="201"/>
      <c r="Z25" s="201"/>
      <c r="AB25" s="201"/>
      <c r="AD25" s="201"/>
      <c r="AF25" s="201"/>
      <c r="AG25" s="198"/>
      <c r="AJ25" s="201"/>
    </row>
    <row r="26" spans="1:36" ht="12.75" hidden="1">
      <c r="A26" s="194">
        <v>11</v>
      </c>
      <c r="B26" s="283" t="s">
        <v>512</v>
      </c>
      <c r="C26" s="201">
        <v>2248654</v>
      </c>
      <c r="D26" s="201">
        <v>146870</v>
      </c>
      <c r="E26" s="201">
        <v>1898859</v>
      </c>
      <c r="F26" s="201">
        <f>54008+13636</f>
        <v>67644</v>
      </c>
      <c r="G26" s="201">
        <v>170942</v>
      </c>
      <c r="H26" s="201">
        <f>C26-D26-E26-F26-G26</f>
        <v>-35661</v>
      </c>
      <c r="I26" s="201">
        <f>F26+189738</f>
        <v>257382</v>
      </c>
      <c r="J26" s="201">
        <f>H26+I26</f>
        <v>221721</v>
      </c>
      <c r="K26" s="216">
        <f>1342+190952</f>
        <v>192294</v>
      </c>
      <c r="M26" s="216">
        <f>J26-K26-L26</f>
        <v>29427</v>
      </c>
      <c r="R26" s="201"/>
      <c r="T26" s="201"/>
      <c r="V26" s="201"/>
      <c r="X26" s="201"/>
      <c r="Z26" s="201"/>
      <c r="AB26" s="201"/>
      <c r="AD26" s="201"/>
      <c r="AF26" s="201"/>
      <c r="AG26" s="200"/>
      <c r="AJ26" s="201"/>
    </row>
    <row r="27" spans="1:36" ht="12.75" hidden="1">
      <c r="A27" s="194">
        <v>12</v>
      </c>
      <c r="B27" s="283" t="s">
        <v>513</v>
      </c>
      <c r="C27" s="201">
        <v>2371829</v>
      </c>
      <c r="D27" s="201">
        <f>74671+44018+14627+4348</f>
        <v>137664</v>
      </c>
      <c r="E27" s="201">
        <f>51079+51816+206272+357843+206239+16166+1008762+1</f>
        <v>1898178</v>
      </c>
      <c r="F27" s="201">
        <f>57987+17724</f>
        <v>75711</v>
      </c>
      <c r="G27" s="201">
        <v>173888</v>
      </c>
      <c r="H27" s="201">
        <f>C27-D27-E27-F27-G27</f>
        <v>86388</v>
      </c>
      <c r="I27" s="201">
        <f>F27</f>
        <v>75711</v>
      </c>
      <c r="J27" s="201">
        <f>H27+I27</f>
        <v>162099</v>
      </c>
      <c r="K27" s="216">
        <v>37354</v>
      </c>
      <c r="M27" s="216">
        <f>J27-K27-L27</f>
        <v>124745</v>
      </c>
      <c r="R27" s="201"/>
      <c r="T27" s="201"/>
      <c r="V27" s="201"/>
      <c r="X27" s="201"/>
      <c r="Z27" s="201"/>
      <c r="AB27" s="201"/>
      <c r="AD27" s="201"/>
      <c r="AF27" s="201"/>
      <c r="AJ27" s="201"/>
    </row>
    <row r="28" spans="1:36" ht="12.75" hidden="1">
      <c r="A28" s="194">
        <v>13</v>
      </c>
      <c r="B28" s="283" t="s">
        <v>514</v>
      </c>
      <c r="C28" s="201">
        <v>2179326</v>
      </c>
      <c r="D28" s="201">
        <f>76520+41909+13847+3356</f>
        <v>135632</v>
      </c>
      <c r="E28" s="201">
        <f>37500+54116+199046+375937+176102+6074+1046379-1</f>
        <v>1895153</v>
      </c>
      <c r="F28" s="201">
        <f>60548+23614</f>
        <v>84162</v>
      </c>
      <c r="G28" s="201">
        <v>175257</v>
      </c>
      <c r="H28" s="201">
        <f>C28-D28-E28-F28-G28</f>
        <v>-110878</v>
      </c>
      <c r="I28" s="201">
        <f>F28</f>
        <v>84162</v>
      </c>
      <c r="J28" s="201">
        <f>H28+I28</f>
        <v>-26716</v>
      </c>
      <c r="K28" s="216">
        <v>10587</v>
      </c>
      <c r="M28" s="216">
        <f>J28-K28-L28</f>
        <v>-37303</v>
      </c>
      <c r="R28" s="201"/>
      <c r="T28" s="201"/>
      <c r="V28" s="201"/>
      <c r="X28" s="201"/>
      <c r="Z28" s="201"/>
      <c r="AB28" s="201"/>
      <c r="AD28" s="201"/>
      <c r="AF28" s="201"/>
      <c r="AJ28" s="201"/>
    </row>
    <row r="29" spans="1:36" ht="12.75" hidden="1">
      <c r="A29" s="194">
        <v>14</v>
      </c>
      <c r="B29" s="283" t="s">
        <v>515</v>
      </c>
      <c r="C29" s="201">
        <f>1217315+796725</f>
        <v>2014040</v>
      </c>
      <c r="D29" s="201">
        <f>149231+4953</f>
        <v>154184</v>
      </c>
      <c r="E29" s="201">
        <f>17100+56538+199668+346352+183669+9428+1013956</f>
        <v>1826711</v>
      </c>
      <c r="F29" s="201">
        <f>63134+28418</f>
        <v>91552</v>
      </c>
      <c r="G29" s="201">
        <v>199448</v>
      </c>
      <c r="H29" s="201">
        <f>C29-D29-E29-F29-G29</f>
        <v>-257855</v>
      </c>
      <c r="I29" s="201">
        <f>F29</f>
        <v>91552</v>
      </c>
      <c r="J29" s="201">
        <f>H29+I29</f>
        <v>-166303</v>
      </c>
      <c r="K29" s="216">
        <v>2471</v>
      </c>
      <c r="M29" s="216">
        <f>J29-K29-L29</f>
        <v>-168774</v>
      </c>
      <c r="R29" s="201"/>
      <c r="T29" s="201"/>
      <c r="V29" s="201"/>
      <c r="X29" s="201"/>
      <c r="Z29" s="201"/>
      <c r="AB29" s="201"/>
      <c r="AD29" s="201"/>
      <c r="AF29" s="201"/>
      <c r="AJ29" s="201"/>
    </row>
    <row r="30" ht="12.75" hidden="1">
      <c r="A30" s="194">
        <v>15</v>
      </c>
    </row>
    <row r="31" spans="1:36" ht="12.75" hidden="1">
      <c r="A31" s="194">
        <v>16</v>
      </c>
      <c r="B31" s="283" t="s">
        <v>516</v>
      </c>
      <c r="C31" s="201">
        <f>1541742+761737</f>
        <v>2303479</v>
      </c>
      <c r="D31" s="201">
        <v>183326</v>
      </c>
      <c r="E31" s="201">
        <v>1796029</v>
      </c>
      <c r="F31" s="201">
        <v>98288</v>
      </c>
      <c r="G31" s="201">
        <v>204416</v>
      </c>
      <c r="H31" s="201">
        <f>C31-D31-E31-F31-G31</f>
        <v>21420</v>
      </c>
      <c r="I31" s="201">
        <f>F31</f>
        <v>98288</v>
      </c>
      <c r="J31" s="201">
        <f>H31+I31</f>
        <v>119708</v>
      </c>
      <c r="K31" s="216">
        <v>149778</v>
      </c>
      <c r="M31" s="216">
        <f>J31-K31-L31</f>
        <v>-30070</v>
      </c>
      <c r="R31" s="201"/>
      <c r="T31" s="201"/>
      <c r="V31" s="201"/>
      <c r="X31" s="201"/>
      <c r="Z31" s="201"/>
      <c r="AB31" s="201"/>
      <c r="AD31" s="201"/>
      <c r="AF31" s="201"/>
      <c r="AJ31" s="201"/>
    </row>
    <row r="32" spans="1:36" ht="12.75" hidden="1">
      <c r="A32" s="194">
        <v>17</v>
      </c>
      <c r="B32" s="283" t="s">
        <v>517</v>
      </c>
      <c r="C32" s="201">
        <v>2273508</v>
      </c>
      <c r="D32" s="201">
        <v>173694</v>
      </c>
      <c r="E32" s="201">
        <v>1760205</v>
      </c>
      <c r="F32" s="201">
        <v>100104</v>
      </c>
      <c r="G32" s="201">
        <v>189446</v>
      </c>
      <c r="H32" s="201">
        <f>C32-D32-E32-F32-G32</f>
        <v>50059</v>
      </c>
      <c r="I32" s="201">
        <f>F32</f>
        <v>100104</v>
      </c>
      <c r="J32" s="201">
        <f>H32+I32</f>
        <v>150163</v>
      </c>
      <c r="K32" s="216">
        <v>32875</v>
      </c>
      <c r="M32" s="216">
        <f>J32-K32-L32</f>
        <v>117288</v>
      </c>
      <c r="R32" s="201"/>
      <c r="T32" s="201"/>
      <c r="V32" s="201"/>
      <c r="X32" s="201"/>
      <c r="Z32" s="201"/>
      <c r="AB32" s="201"/>
      <c r="AD32" s="201"/>
      <c r="AF32" s="201"/>
      <c r="AJ32" s="201"/>
    </row>
    <row r="33" spans="1:36" ht="12.75" hidden="1">
      <c r="A33" s="194">
        <v>18</v>
      </c>
      <c r="B33" s="283" t="s">
        <v>518</v>
      </c>
      <c r="C33" s="201">
        <v>2315035</v>
      </c>
      <c r="D33" s="201">
        <v>198721</v>
      </c>
      <c r="E33" s="201">
        <v>1527829</v>
      </c>
      <c r="F33" s="201">
        <v>105338</v>
      </c>
      <c r="G33" s="201">
        <v>197462</v>
      </c>
      <c r="H33" s="201">
        <f>C33-D33-E33-F33-G33</f>
        <v>285685</v>
      </c>
      <c r="I33" s="201">
        <f>F33</f>
        <v>105338</v>
      </c>
      <c r="J33" s="201">
        <f>H33+I33</f>
        <v>391023</v>
      </c>
      <c r="K33" s="216">
        <v>63336</v>
      </c>
      <c r="M33" s="216">
        <f>J33-K33-L33</f>
        <v>327687</v>
      </c>
      <c r="R33" s="201"/>
      <c r="T33" s="201"/>
      <c r="V33" s="201"/>
      <c r="X33" s="201"/>
      <c r="Z33" s="201"/>
      <c r="AB33" s="201"/>
      <c r="AD33" s="201"/>
      <c r="AF33" s="201"/>
      <c r="AJ33" s="201"/>
    </row>
    <row r="34" spans="1:36" ht="12.75" hidden="1">
      <c r="A34" s="194">
        <v>19</v>
      </c>
      <c r="B34" s="283" t="s">
        <v>519</v>
      </c>
      <c r="C34" s="201">
        <v>2482482</v>
      </c>
      <c r="D34" s="201">
        <v>216777</v>
      </c>
      <c r="E34" s="201">
        <v>1572046</v>
      </c>
      <c r="F34" s="201">
        <v>103047</v>
      </c>
      <c r="G34" s="201">
        <v>167559</v>
      </c>
      <c r="H34" s="201">
        <f>C34-D34-E34-F34-G34</f>
        <v>423053</v>
      </c>
      <c r="I34" s="201">
        <f>F34</f>
        <v>103047</v>
      </c>
      <c r="J34" s="201">
        <f>H34+I34</f>
        <v>526100</v>
      </c>
      <c r="K34" s="216">
        <v>114583</v>
      </c>
      <c r="M34" s="216">
        <f>J34-K34-L34</f>
        <v>411517</v>
      </c>
      <c r="R34" s="201"/>
      <c r="T34" s="201"/>
      <c r="V34" s="201"/>
      <c r="X34" s="201"/>
      <c r="Z34" s="201"/>
      <c r="AB34" s="201"/>
      <c r="AD34" s="201"/>
      <c r="AF34" s="201"/>
      <c r="AJ34" s="201"/>
    </row>
    <row r="35" spans="1:36" ht="12.75" hidden="1">
      <c r="A35" s="194">
        <v>20</v>
      </c>
      <c r="B35" s="283" t="s">
        <v>520</v>
      </c>
      <c r="C35" s="201">
        <v>2142645</v>
      </c>
      <c r="D35" s="201">
        <v>287360</v>
      </c>
      <c r="E35" s="201">
        <v>1821930</v>
      </c>
      <c r="F35" s="201">
        <v>110403</v>
      </c>
      <c r="G35" s="201">
        <v>169711</v>
      </c>
      <c r="H35" s="201">
        <f>C35-D35-E35-F35-G35</f>
        <v>-246759</v>
      </c>
      <c r="I35" s="201">
        <f>F35</f>
        <v>110403</v>
      </c>
      <c r="J35" s="201">
        <f>H35+I35</f>
        <v>-136356</v>
      </c>
      <c r="K35" s="216">
        <v>57543</v>
      </c>
      <c r="M35" s="216">
        <f>J35-K35-L35</f>
        <v>-193899</v>
      </c>
      <c r="R35" s="201"/>
      <c r="T35" s="201"/>
      <c r="V35" s="201"/>
      <c r="X35" s="201"/>
      <c r="Z35" s="201"/>
      <c r="AB35" s="201"/>
      <c r="AD35" s="201"/>
      <c r="AF35" s="201"/>
      <c r="AJ35" s="201"/>
    </row>
    <row r="36" spans="1:36" ht="12.75" hidden="1">
      <c r="A36" s="194">
        <v>21</v>
      </c>
      <c r="B36" s="283"/>
      <c r="C36" s="201"/>
      <c r="D36" s="201"/>
      <c r="E36" s="201"/>
      <c r="F36" s="201"/>
      <c r="G36" s="201"/>
      <c r="H36" s="201"/>
      <c r="I36" s="201"/>
      <c r="J36" s="201"/>
      <c r="K36" s="216"/>
      <c r="M36" s="216"/>
      <c r="R36" s="201"/>
      <c r="T36" s="201"/>
      <c r="V36" s="201"/>
      <c r="X36" s="201"/>
      <c r="Z36" s="201"/>
      <c r="AB36" s="201"/>
      <c r="AD36" s="201"/>
      <c r="AF36" s="201"/>
      <c r="AJ36" s="201"/>
    </row>
    <row r="37" spans="1:36" ht="12.75" hidden="1">
      <c r="A37" s="194">
        <v>22</v>
      </c>
      <c r="B37" s="283" t="s">
        <v>521</v>
      </c>
      <c r="C37" s="201">
        <v>2233989</v>
      </c>
      <c r="D37" s="201">
        <v>309915</v>
      </c>
      <c r="E37" s="201">
        <v>1868863</v>
      </c>
      <c r="F37" s="202">
        <v>118143</v>
      </c>
      <c r="G37" s="201">
        <v>186455</v>
      </c>
      <c r="H37" s="201">
        <f>C37-D37-E37-F37-G37</f>
        <v>-249387</v>
      </c>
      <c r="I37" s="201">
        <f>F37</f>
        <v>118143</v>
      </c>
      <c r="J37" s="201">
        <f>H37+I37</f>
        <v>-131244</v>
      </c>
      <c r="K37" s="216">
        <v>117974</v>
      </c>
      <c r="M37" s="216">
        <f>J37-K37-L37</f>
        <v>-249218</v>
      </c>
      <c r="R37" s="201"/>
      <c r="T37" s="201"/>
      <c r="V37" s="201"/>
      <c r="X37" s="201"/>
      <c r="Z37" s="201"/>
      <c r="AB37" s="201"/>
      <c r="AD37" s="201"/>
      <c r="AF37" s="201"/>
      <c r="AJ37" s="201"/>
    </row>
    <row r="38" spans="1:36" ht="12.75" hidden="1">
      <c r="A38" s="194">
        <v>23</v>
      </c>
      <c r="B38" s="203">
        <v>1994</v>
      </c>
      <c r="C38" s="204">
        <v>2536059</v>
      </c>
      <c r="D38" s="201">
        <v>316352</v>
      </c>
      <c r="E38" s="201">
        <v>1934944</v>
      </c>
      <c r="F38" s="202">
        <v>125396</v>
      </c>
      <c r="G38" s="201">
        <v>197222</v>
      </c>
      <c r="H38" s="201">
        <f>C38-D38-E38-F38-G38</f>
        <v>-37855</v>
      </c>
      <c r="I38" s="201">
        <f>F38</f>
        <v>125396</v>
      </c>
      <c r="J38" s="201">
        <f>H38+I38</f>
        <v>87541</v>
      </c>
      <c r="K38" s="216">
        <v>135018</v>
      </c>
      <c r="M38" s="216">
        <f>J38-K38-L38</f>
        <v>-47477</v>
      </c>
      <c r="R38" s="201"/>
      <c r="T38" s="201"/>
      <c r="V38" s="201"/>
      <c r="X38" s="201"/>
      <c r="Z38" s="201"/>
      <c r="AB38" s="201"/>
      <c r="AD38" s="201"/>
      <c r="AF38" s="201"/>
      <c r="AJ38" s="201"/>
    </row>
    <row r="39" spans="1:36" ht="12.75" hidden="1">
      <c r="A39" s="194">
        <v>24</v>
      </c>
      <c r="B39" s="203">
        <v>1995</v>
      </c>
      <c r="C39" s="204">
        <v>2704285</v>
      </c>
      <c r="D39" s="201">
        <v>327420</v>
      </c>
      <c r="E39" s="201">
        <v>1915529</v>
      </c>
      <c r="F39" s="202">
        <v>141798</v>
      </c>
      <c r="G39" s="201">
        <v>215850</v>
      </c>
      <c r="H39" s="201">
        <f>C39-D39-E39-F39-G39</f>
        <v>103688</v>
      </c>
      <c r="I39" s="201">
        <f>F39</f>
        <v>141798</v>
      </c>
      <c r="J39" s="201">
        <f>H39+I39</f>
        <v>245486</v>
      </c>
      <c r="K39" s="216">
        <v>196544</v>
      </c>
      <c r="M39" s="216">
        <f>J39-K39-L39</f>
        <v>48942</v>
      </c>
      <c r="R39" s="201"/>
      <c r="T39" s="201"/>
      <c r="V39" s="201"/>
      <c r="X39" s="201"/>
      <c r="Z39" s="201"/>
      <c r="AB39" s="201"/>
      <c r="AD39" s="201"/>
      <c r="AF39" s="201"/>
      <c r="AJ39" s="201"/>
    </row>
    <row r="40" spans="1:36" ht="12.75" hidden="1">
      <c r="A40" s="194">
        <v>25</v>
      </c>
      <c r="B40" s="203">
        <v>1996</v>
      </c>
      <c r="C40" s="201">
        <f>1893145+851365</f>
        <v>2744510</v>
      </c>
      <c r="D40" s="201">
        <v>366808</v>
      </c>
      <c r="E40" s="201">
        <v>1959406</v>
      </c>
      <c r="F40" s="201">
        <v>151122</v>
      </c>
      <c r="G40" s="201">
        <v>208509</v>
      </c>
      <c r="H40" s="201">
        <f>C40-D40-E40-F40-G40</f>
        <v>58665</v>
      </c>
      <c r="I40" s="201">
        <f>F40+2902</f>
        <v>154024</v>
      </c>
      <c r="J40" s="201">
        <f>H40+I40-15000</f>
        <v>197689</v>
      </c>
      <c r="K40" s="216">
        <v>135010</v>
      </c>
      <c r="L40" s="216"/>
      <c r="M40" s="216">
        <f>J40-K40-L40</f>
        <v>62679</v>
      </c>
      <c r="R40" s="201"/>
      <c r="T40" s="201"/>
      <c r="V40" s="201"/>
      <c r="X40" s="201"/>
      <c r="Z40" s="201"/>
      <c r="AB40" s="201"/>
      <c r="AD40" s="201"/>
      <c r="AE40" s="198"/>
      <c r="AF40" s="201"/>
      <c r="AJ40" s="201"/>
    </row>
    <row r="41" spans="1:13" ht="12.75" hidden="1">
      <c r="A41" s="194">
        <v>26</v>
      </c>
      <c r="B41" s="203">
        <v>1997</v>
      </c>
      <c r="C41" s="201">
        <f>1996003+436</f>
        <v>1996439</v>
      </c>
      <c r="D41" s="195">
        <f>403212+209749</f>
        <v>612961</v>
      </c>
      <c r="E41" s="195">
        <v>924789</v>
      </c>
      <c r="F41" s="195">
        <f>76910+71305</f>
        <v>148215</v>
      </c>
      <c r="G41" s="195">
        <v>197238</v>
      </c>
      <c r="H41" s="201">
        <f>C41-D41-E41-F41-G41</f>
        <v>113236</v>
      </c>
      <c r="I41" s="201">
        <f>F41-43583+1324</f>
        <v>105956</v>
      </c>
      <c r="J41" s="201">
        <f>H41+I41</f>
        <v>219192</v>
      </c>
      <c r="K41" s="211">
        <f>108114-L41</f>
        <v>82971</v>
      </c>
      <c r="L41" s="216">
        <v>25143</v>
      </c>
      <c r="M41" s="216">
        <f>J41-K41-L41</f>
        <v>111078</v>
      </c>
    </row>
    <row r="42" spans="1:14" ht="12.75" hidden="1">
      <c r="A42" s="194">
        <v>27</v>
      </c>
      <c r="B42" s="205"/>
      <c r="N42" s="217"/>
    </row>
    <row r="43" spans="1:14" ht="12.75" hidden="1">
      <c r="A43" s="194">
        <v>28</v>
      </c>
      <c r="B43" s="203">
        <v>1998</v>
      </c>
      <c r="C43" s="195">
        <f>2056052+4698</f>
        <v>2060750</v>
      </c>
      <c r="D43" s="195">
        <f>420912+244093</f>
        <v>665005</v>
      </c>
      <c r="E43" s="195">
        <v>1091678</v>
      </c>
      <c r="F43" s="195">
        <v>162562</v>
      </c>
      <c r="G43" s="195">
        <f>201930</f>
        <v>201930</v>
      </c>
      <c r="H43" s="201">
        <f>C43-D43-E43-F43-G43</f>
        <v>-60425</v>
      </c>
      <c r="I43" s="201">
        <f>F43-44122+452</f>
        <v>118892</v>
      </c>
      <c r="J43" s="201">
        <f>H43+I43+20000-1655</f>
        <v>76812</v>
      </c>
      <c r="K43" s="211">
        <v>61000</v>
      </c>
      <c r="M43" s="216">
        <f>J43-K43-L43</f>
        <v>15812</v>
      </c>
      <c r="N43" s="215"/>
    </row>
    <row r="44" spans="1:14" ht="12.75" hidden="1">
      <c r="A44" s="194">
        <v>29</v>
      </c>
      <c r="B44" s="203">
        <v>1999</v>
      </c>
      <c r="C44" s="195">
        <v>2366423</v>
      </c>
      <c r="D44" s="195">
        <f>443669+259048</f>
        <v>702717</v>
      </c>
      <c r="E44" s="195">
        <v>1196308</v>
      </c>
      <c r="F44" s="195">
        <v>162008</v>
      </c>
      <c r="G44" s="195">
        <v>182079</v>
      </c>
      <c r="H44" s="201">
        <f>C44-D44-E44-F44-G44</f>
        <v>123311</v>
      </c>
      <c r="I44" s="201">
        <f>F44-44122+1065</f>
        <v>118951</v>
      </c>
      <c r="J44" s="201">
        <f>H44+I44+74000-5179</f>
        <v>311083</v>
      </c>
      <c r="K44" s="211">
        <v>25000</v>
      </c>
      <c r="M44" s="216">
        <f>J44-K44-L44</f>
        <v>286083</v>
      </c>
      <c r="N44" s="215"/>
    </row>
    <row r="45" spans="1:36" ht="12.75" hidden="1">
      <c r="A45" s="194">
        <v>30</v>
      </c>
      <c r="B45" s="203">
        <v>2000</v>
      </c>
      <c r="C45" s="195">
        <v>2720940</v>
      </c>
      <c r="D45" s="195">
        <v>723377</v>
      </c>
      <c r="E45" s="195">
        <v>1410029</v>
      </c>
      <c r="F45" s="195">
        <v>165874</v>
      </c>
      <c r="G45" s="195">
        <v>169320</v>
      </c>
      <c r="H45" s="201">
        <f>C45-D45-E45-F45-G45</f>
        <v>252340</v>
      </c>
      <c r="I45" s="201">
        <f>F45-47755+1065</f>
        <v>119184</v>
      </c>
      <c r="J45" s="201">
        <f>H45+I45-5179</f>
        <v>366345</v>
      </c>
      <c r="K45" s="211">
        <v>175338</v>
      </c>
      <c r="L45" s="216"/>
      <c r="M45" s="216">
        <f>J45-K45-L45</f>
        <v>191007</v>
      </c>
      <c r="R45" s="201"/>
      <c r="T45" s="201"/>
      <c r="V45" s="201"/>
      <c r="X45" s="201"/>
      <c r="Z45" s="201"/>
      <c r="AB45" s="201"/>
      <c r="AD45" s="201"/>
      <c r="AE45" s="198"/>
      <c r="AF45" s="201"/>
      <c r="AH45" s="201"/>
      <c r="AJ45" s="201"/>
    </row>
    <row r="46" spans="1:36" ht="12.75" hidden="1">
      <c r="A46" s="194">
        <v>31</v>
      </c>
      <c r="B46" s="203">
        <v>2001</v>
      </c>
      <c r="C46" s="201">
        <v>3888051</v>
      </c>
      <c r="D46" s="201">
        <v>819270</v>
      </c>
      <c r="E46" s="201">
        <v>2945886</v>
      </c>
      <c r="F46" s="201">
        <v>168433</v>
      </c>
      <c r="G46" s="201">
        <v>166504</v>
      </c>
      <c r="H46" s="201">
        <f>C46-D46-E46-F46-G46</f>
        <v>-212042</v>
      </c>
      <c r="I46" s="201">
        <f>F46-47992+1065</f>
        <v>121506</v>
      </c>
      <c r="J46" s="201">
        <f>H46+I46-53056</f>
        <v>-143592</v>
      </c>
      <c r="K46" s="216">
        <f>167622-L46</f>
        <v>151062</v>
      </c>
      <c r="L46" s="211">
        <v>16560</v>
      </c>
      <c r="M46" s="216">
        <f>J46-K46-L46</f>
        <v>-311214</v>
      </c>
      <c r="O46" s="216"/>
      <c r="P46" s="216"/>
      <c r="R46" s="201"/>
      <c r="T46" s="201"/>
      <c r="V46" s="201"/>
      <c r="X46" s="201"/>
      <c r="Z46" s="201"/>
      <c r="AB46" s="201"/>
      <c r="AD46" s="201"/>
      <c r="AE46" s="198"/>
      <c r="AF46" s="201"/>
      <c r="AH46" s="201"/>
      <c r="AJ46" s="201"/>
    </row>
    <row r="47" spans="1:36" ht="13.5" customHeight="1" hidden="1">
      <c r="A47" s="194">
        <v>32</v>
      </c>
      <c r="B47" s="203">
        <f>B46+1</f>
        <v>2002</v>
      </c>
      <c r="C47" s="201">
        <v>3047803</v>
      </c>
      <c r="D47" s="201">
        <v>833606</v>
      </c>
      <c r="E47" s="201">
        <v>1925873</v>
      </c>
      <c r="F47" s="201">
        <v>174164</v>
      </c>
      <c r="G47" s="201">
        <v>201582</v>
      </c>
      <c r="H47" s="201">
        <f>C47-D47-E47-F47-G47</f>
        <v>-87422</v>
      </c>
      <c r="I47" s="201">
        <f>F47-47738+1065</f>
        <v>127491</v>
      </c>
      <c r="J47" s="201">
        <f>H47+I47-43483</f>
        <v>-3414</v>
      </c>
      <c r="K47" s="216">
        <v>373345</v>
      </c>
      <c r="L47" s="216"/>
      <c r="M47" s="216">
        <f>J47-K47-L47</f>
        <v>-376759</v>
      </c>
      <c r="O47" s="216"/>
      <c r="P47" s="216"/>
      <c r="R47" s="201"/>
      <c r="T47" s="201"/>
      <c r="V47" s="201"/>
      <c r="X47" s="201"/>
      <c r="Z47" s="201"/>
      <c r="AB47" s="201"/>
      <c r="AD47" s="201"/>
      <c r="AF47" s="201"/>
      <c r="AH47" s="201"/>
      <c r="AJ47" s="201"/>
    </row>
    <row r="48" spans="1:36" ht="12.75" hidden="1">
      <c r="A48" s="194">
        <v>4</v>
      </c>
      <c r="B48" s="203">
        <v>2003</v>
      </c>
      <c r="C48" s="201">
        <v>3144811</v>
      </c>
      <c r="D48" s="201">
        <v>705289</v>
      </c>
      <c r="E48" s="201">
        <v>1841035</v>
      </c>
      <c r="F48" s="201">
        <v>178896</v>
      </c>
      <c r="G48" s="201">
        <v>176595</v>
      </c>
      <c r="H48" s="201">
        <v>242996</v>
      </c>
      <c r="I48" s="201">
        <v>131592</v>
      </c>
      <c r="J48" s="201">
        <v>314144</v>
      </c>
      <c r="K48" s="216">
        <v>73000</v>
      </c>
      <c r="L48" s="216"/>
      <c r="M48" s="216">
        <v>241144</v>
      </c>
      <c r="O48" s="216"/>
      <c r="P48" s="216"/>
      <c r="R48" s="201"/>
      <c r="T48" s="201"/>
      <c r="V48" s="201"/>
      <c r="X48" s="201"/>
      <c r="Z48" s="201"/>
      <c r="AB48" s="201"/>
      <c r="AD48" s="201"/>
      <c r="AF48" s="201"/>
      <c r="AH48" s="201"/>
      <c r="AJ48" s="201"/>
    </row>
    <row r="49" spans="1:36" ht="12.75" hidden="1">
      <c r="A49" s="194">
        <v>5</v>
      </c>
      <c r="B49" s="203">
        <v>2004</v>
      </c>
      <c r="C49" s="201">
        <v>2738898</v>
      </c>
      <c r="D49" s="201">
        <v>713549</v>
      </c>
      <c r="E49" s="201">
        <v>1366265</v>
      </c>
      <c r="F49" s="201">
        <v>177298</v>
      </c>
      <c r="G49" s="201">
        <v>162531</v>
      </c>
      <c r="H49" s="201">
        <v>319255</v>
      </c>
      <c r="I49" s="201">
        <v>129789</v>
      </c>
      <c r="J49" s="201">
        <v>354413</v>
      </c>
      <c r="K49" s="216">
        <v>233000</v>
      </c>
      <c r="L49" s="216">
        <v>739</v>
      </c>
      <c r="M49" s="216">
        <v>120674</v>
      </c>
      <c r="O49" s="216"/>
      <c r="P49" s="216"/>
      <c r="R49" s="201"/>
      <c r="T49" s="201"/>
      <c r="V49" s="201"/>
      <c r="X49" s="201"/>
      <c r="Z49" s="201"/>
      <c r="AB49" s="201"/>
      <c r="AD49" s="201"/>
      <c r="AF49" s="201"/>
      <c r="AH49" s="201"/>
      <c r="AJ49" s="201"/>
    </row>
    <row r="50" spans="1:36" ht="12.75" hidden="1">
      <c r="A50" s="194">
        <v>6</v>
      </c>
      <c r="B50" s="203">
        <v>2005</v>
      </c>
      <c r="C50" s="201">
        <v>2814224</v>
      </c>
      <c r="D50" s="201">
        <v>711713</v>
      </c>
      <c r="E50" s="201">
        <v>1420735</v>
      </c>
      <c r="F50" s="201">
        <v>186099</v>
      </c>
      <c r="G50" s="201">
        <v>166610</v>
      </c>
      <c r="H50" s="201">
        <v>329067</v>
      </c>
      <c r="I50" s="201">
        <v>-98072</v>
      </c>
      <c r="J50" s="201">
        <v>320734</v>
      </c>
      <c r="K50" s="216">
        <v>271301</v>
      </c>
      <c r="L50" s="216"/>
      <c r="M50" s="216">
        <v>49433</v>
      </c>
      <c r="O50" s="216"/>
      <c r="P50" s="216"/>
      <c r="R50" s="201"/>
      <c r="T50" s="201"/>
      <c r="V50" s="201"/>
      <c r="X50" s="201"/>
      <c r="Z50" s="201"/>
      <c r="AB50" s="201"/>
      <c r="AD50" s="201"/>
      <c r="AF50" s="201"/>
      <c r="AH50" s="201"/>
      <c r="AJ50" s="201"/>
    </row>
    <row r="51" spans="1:36" ht="12.75" hidden="1">
      <c r="A51" s="194">
        <v>7</v>
      </c>
      <c r="B51" s="203">
        <v>2006</v>
      </c>
      <c r="C51" s="201">
        <v>2853659</v>
      </c>
      <c r="D51" s="201">
        <v>773510</v>
      </c>
      <c r="E51" s="201">
        <v>1436548</v>
      </c>
      <c r="F51" s="201">
        <v>181878</v>
      </c>
      <c r="G51" s="201">
        <v>157609</v>
      </c>
      <c r="H51" s="201">
        <v>304114</v>
      </c>
      <c r="I51" s="201">
        <v>-84357</v>
      </c>
      <c r="J51" s="201">
        <v>537237</v>
      </c>
      <c r="K51" s="216">
        <v>261276</v>
      </c>
      <c r="M51" s="216">
        <v>275961</v>
      </c>
      <c r="O51" s="216"/>
      <c r="P51" s="216"/>
      <c r="R51" s="201"/>
      <c r="T51" s="201"/>
      <c r="V51" s="201"/>
      <c r="X51" s="201"/>
      <c r="Z51" s="201"/>
      <c r="AB51" s="201"/>
      <c r="AD51" s="201"/>
      <c r="AF51" s="201"/>
      <c r="AH51" s="201"/>
      <c r="AJ51" s="201"/>
    </row>
    <row r="52" spans="1:36" ht="12.75" hidden="1">
      <c r="A52" s="194">
        <v>8</v>
      </c>
      <c r="B52" s="203">
        <f>B51+1</f>
        <v>2007</v>
      </c>
      <c r="C52" s="201">
        <v>2657891</v>
      </c>
      <c r="D52" s="201">
        <v>818494</v>
      </c>
      <c r="E52" s="201">
        <v>1361837</v>
      </c>
      <c r="F52" s="201">
        <v>176204</v>
      </c>
      <c r="G52" s="201">
        <v>145516</v>
      </c>
      <c r="H52" s="201">
        <v>155840</v>
      </c>
      <c r="I52" s="201">
        <v>133875</v>
      </c>
      <c r="J52" s="201">
        <v>289715</v>
      </c>
      <c r="K52" s="216">
        <v>246300</v>
      </c>
      <c r="L52" s="216"/>
      <c r="M52" s="216">
        <v>43415</v>
      </c>
      <c r="O52" s="216"/>
      <c r="P52" s="216"/>
      <c r="R52" s="201"/>
      <c r="T52" s="201"/>
      <c r="V52" s="201"/>
      <c r="X52" s="201"/>
      <c r="Z52" s="201"/>
      <c r="AB52" s="201"/>
      <c r="AD52" s="201"/>
      <c r="AF52" s="201"/>
      <c r="AH52" s="201"/>
      <c r="AJ52" s="201"/>
    </row>
    <row r="53" spans="1:36" ht="12.75" hidden="1">
      <c r="A53" s="194">
        <v>9</v>
      </c>
      <c r="B53" s="203">
        <f>B52+1</f>
        <v>2008</v>
      </c>
      <c r="C53" s="201">
        <v>2383688</v>
      </c>
      <c r="D53" s="201">
        <v>802849</v>
      </c>
      <c r="E53" s="201">
        <v>1224722</v>
      </c>
      <c r="F53" s="201">
        <v>183466</v>
      </c>
      <c r="G53" s="201">
        <v>142746</v>
      </c>
      <c r="H53" s="201">
        <v>29905</v>
      </c>
      <c r="I53" s="201">
        <v>28438</v>
      </c>
      <c r="J53" s="201">
        <v>195087</v>
      </c>
      <c r="K53" s="216">
        <v>277483</v>
      </c>
      <c r="L53" s="211">
        <v>2950</v>
      </c>
      <c r="M53" s="216">
        <v>-85346</v>
      </c>
      <c r="O53" s="216"/>
      <c r="P53" s="216"/>
      <c r="R53" s="201"/>
      <c r="T53" s="201"/>
      <c r="V53" s="201"/>
      <c r="X53" s="201"/>
      <c r="Z53" s="201"/>
      <c r="AB53" s="201"/>
      <c r="AD53" s="201"/>
      <c r="AF53" s="201"/>
      <c r="AH53" s="201"/>
      <c r="AJ53" s="201"/>
    </row>
    <row r="54" spans="1:36" ht="12.75" hidden="1">
      <c r="A54" s="194">
        <v>10</v>
      </c>
      <c r="B54" s="203">
        <f>B53+1</f>
        <v>2009</v>
      </c>
      <c r="C54" s="201">
        <v>2234695</v>
      </c>
      <c r="D54" s="201">
        <v>871705</v>
      </c>
      <c r="E54" s="201">
        <v>1265997</v>
      </c>
      <c r="F54" s="201">
        <v>180788</v>
      </c>
      <c r="G54" s="201">
        <v>151508</v>
      </c>
      <c r="H54" s="201">
        <v>-235303</v>
      </c>
      <c r="I54" s="201">
        <v>166189</v>
      </c>
      <c r="J54" s="201">
        <v>-69114</v>
      </c>
      <c r="K54" s="216">
        <v>219360</v>
      </c>
      <c r="L54" s="216"/>
      <c r="M54" s="216">
        <v>-288474</v>
      </c>
      <c r="O54" s="216"/>
      <c r="P54" s="216"/>
      <c r="R54" s="201"/>
      <c r="T54" s="201"/>
      <c r="V54" s="201"/>
      <c r="X54" s="201"/>
      <c r="Z54" s="201"/>
      <c r="AB54" s="201"/>
      <c r="AD54" s="201"/>
      <c r="AF54" s="201"/>
      <c r="AH54" s="201"/>
      <c r="AJ54" s="201"/>
    </row>
    <row r="55" spans="1:36" ht="12.75" hidden="1">
      <c r="A55" s="194">
        <v>11</v>
      </c>
      <c r="B55" s="206">
        <v>2010</v>
      </c>
      <c r="C55" s="201">
        <v>2385607</v>
      </c>
      <c r="D55" s="201">
        <v>883540</v>
      </c>
      <c r="E55" s="201">
        <v>1393796</v>
      </c>
      <c r="F55" s="201">
        <v>184989</v>
      </c>
      <c r="G55" s="201">
        <v>176928</v>
      </c>
      <c r="H55" s="201">
        <v>-253646</v>
      </c>
      <c r="I55" s="201">
        <v>120913</v>
      </c>
      <c r="J55" s="201">
        <v>-132733</v>
      </c>
      <c r="K55" s="216">
        <v>244673</v>
      </c>
      <c r="L55" s="216"/>
      <c r="M55" s="216">
        <v>-377406</v>
      </c>
      <c r="O55" s="216"/>
      <c r="P55" s="216"/>
      <c r="R55" s="201"/>
      <c r="T55" s="201"/>
      <c r="V55" s="201"/>
      <c r="X55" s="201"/>
      <c r="Z55" s="201"/>
      <c r="AB55" s="201"/>
      <c r="AD55" s="201"/>
      <c r="AF55" s="201"/>
      <c r="AH55" s="201"/>
      <c r="AJ55" s="201"/>
    </row>
    <row r="56" spans="1:36" ht="12.75" hidden="1">
      <c r="A56" s="194">
        <v>12</v>
      </c>
      <c r="B56" s="206">
        <v>2011</v>
      </c>
      <c r="C56" s="201">
        <v>2619038</v>
      </c>
      <c r="D56" s="201">
        <v>934466</v>
      </c>
      <c r="E56" s="201">
        <v>1283304</v>
      </c>
      <c r="F56" s="201">
        <v>201106</v>
      </c>
      <c r="G56" s="201">
        <v>182860</v>
      </c>
      <c r="H56" s="201">
        <v>17302</v>
      </c>
      <c r="I56" s="201">
        <v>155354</v>
      </c>
      <c r="J56" s="201">
        <v>169132</v>
      </c>
      <c r="K56" s="216">
        <v>162163</v>
      </c>
      <c r="L56" s="216"/>
      <c r="M56" s="216">
        <v>6969</v>
      </c>
      <c r="O56" s="216"/>
      <c r="P56" s="216"/>
      <c r="R56" s="201"/>
      <c r="T56" s="201"/>
      <c r="V56" s="201"/>
      <c r="X56" s="201"/>
      <c r="Z56" s="201"/>
      <c r="AB56" s="201"/>
      <c r="AD56" s="201"/>
      <c r="AF56" s="201"/>
      <c r="AH56" s="201"/>
      <c r="AJ56" s="201"/>
    </row>
    <row r="57" spans="1:36" ht="12.75" hidden="1">
      <c r="A57" s="194">
        <v>13</v>
      </c>
      <c r="B57" s="206">
        <v>2012</v>
      </c>
      <c r="C57" s="201">
        <v>2631334</v>
      </c>
      <c r="D57" s="201">
        <v>962711</v>
      </c>
      <c r="E57" s="201">
        <v>1260404</v>
      </c>
      <c r="F57" s="201">
        <v>199286</v>
      </c>
      <c r="G57" s="201">
        <v>169748</v>
      </c>
      <c r="H57" s="201">
        <v>39185</v>
      </c>
      <c r="I57" s="201">
        <v>153534</v>
      </c>
      <c r="J57" s="201">
        <v>174395</v>
      </c>
      <c r="K57" s="216">
        <v>193000</v>
      </c>
      <c r="L57" s="216">
        <v>1182</v>
      </c>
      <c r="M57" s="216">
        <v>-19787</v>
      </c>
      <c r="O57" s="216"/>
      <c r="P57" s="216"/>
      <c r="R57" s="201"/>
      <c r="T57" s="201"/>
      <c r="V57" s="201"/>
      <c r="X57" s="201"/>
      <c r="Z57" s="201"/>
      <c r="AB57" s="201"/>
      <c r="AD57" s="201"/>
      <c r="AF57" s="201"/>
      <c r="AH57" s="201"/>
      <c r="AJ57" s="201"/>
    </row>
    <row r="58" spans="1:36" ht="12.75" hidden="1">
      <c r="A58" s="194">
        <v>14</v>
      </c>
      <c r="B58" s="206">
        <v>2013</v>
      </c>
      <c r="C58" s="201">
        <v>2647095</v>
      </c>
      <c r="D58" s="201">
        <v>1011463</v>
      </c>
      <c r="E58" s="201">
        <v>1260527</v>
      </c>
      <c r="F58" s="201">
        <v>218103</v>
      </c>
      <c r="G58" s="201">
        <v>207798</v>
      </c>
      <c r="H58" s="201">
        <v>-50796</v>
      </c>
      <c r="I58" s="201">
        <v>164704</v>
      </c>
      <c r="J58" s="201">
        <v>110384</v>
      </c>
      <c r="K58" s="216">
        <v>122799</v>
      </c>
      <c r="L58" s="216">
        <v>58823</v>
      </c>
      <c r="M58" s="216">
        <v>-71238</v>
      </c>
      <c r="O58" s="216"/>
      <c r="P58" s="216"/>
      <c r="R58" s="201"/>
      <c r="T58" s="201"/>
      <c r="V58" s="201"/>
      <c r="X58" s="201"/>
      <c r="Z58" s="201"/>
      <c r="AB58" s="201"/>
      <c r="AD58" s="201"/>
      <c r="AF58" s="201"/>
      <c r="AH58" s="201"/>
      <c r="AJ58" s="201"/>
    </row>
    <row r="59" spans="1:36" ht="12.75" hidden="1">
      <c r="A59" s="194">
        <v>15</v>
      </c>
      <c r="B59" s="206">
        <v>2014</v>
      </c>
      <c r="C59" s="220">
        <v>2810919.3256600006</v>
      </c>
      <c r="D59" s="220">
        <v>1017269.02247</v>
      </c>
      <c r="E59" s="220">
        <v>896127.2825199999</v>
      </c>
      <c r="F59" s="220">
        <v>227267.03862</v>
      </c>
      <c r="G59" s="220">
        <v>196360.94574</v>
      </c>
      <c r="H59" s="220">
        <v>473895.0363100007</v>
      </c>
      <c r="I59" s="220">
        <v>143049.12777000002</v>
      </c>
      <c r="J59" s="220">
        <v>596116.3492438365</v>
      </c>
      <c r="K59" s="298">
        <v>462575</v>
      </c>
      <c r="L59" s="298">
        <v>52546.864</v>
      </c>
      <c r="M59" s="299">
        <v>80994.48524383648</v>
      </c>
      <c r="O59" s="216"/>
      <c r="P59" s="216"/>
      <c r="R59" s="201"/>
      <c r="T59" s="201"/>
      <c r="V59" s="201"/>
      <c r="X59" s="201"/>
      <c r="Z59" s="201"/>
      <c r="AB59" s="201"/>
      <c r="AD59" s="201"/>
      <c r="AF59" s="201"/>
      <c r="AH59" s="201"/>
      <c r="AJ59" s="201"/>
    </row>
    <row r="60" spans="2:36" ht="12.75" hidden="1">
      <c r="B60" s="206"/>
      <c r="C60" s="220"/>
      <c r="D60" s="220"/>
      <c r="E60" s="220"/>
      <c r="F60" s="220"/>
      <c r="G60" s="220"/>
      <c r="H60" s="220"/>
      <c r="I60" s="220"/>
      <c r="J60" s="220"/>
      <c r="K60" s="298"/>
      <c r="L60" s="298"/>
      <c r="M60" s="299"/>
      <c r="O60" s="216"/>
      <c r="P60" s="216"/>
      <c r="R60" s="201"/>
      <c r="T60" s="201"/>
      <c r="V60" s="201"/>
      <c r="X60" s="201"/>
      <c r="Z60" s="201"/>
      <c r="AB60" s="201"/>
      <c r="AD60" s="201"/>
      <c r="AF60" s="201"/>
      <c r="AH60" s="201"/>
      <c r="AJ60" s="201"/>
    </row>
    <row r="61" spans="2:36" ht="12.75" hidden="1">
      <c r="B61" s="206"/>
      <c r="C61" s="220"/>
      <c r="D61" s="220"/>
      <c r="E61" s="220"/>
      <c r="F61" s="220"/>
      <c r="G61" s="220"/>
      <c r="H61" s="220"/>
      <c r="I61" s="220"/>
      <c r="J61" s="220"/>
      <c r="K61" s="298"/>
      <c r="L61" s="298"/>
      <c r="M61" s="299"/>
      <c r="O61" s="216"/>
      <c r="P61" s="216"/>
      <c r="R61" s="201"/>
      <c r="T61" s="201"/>
      <c r="V61" s="201"/>
      <c r="X61" s="201"/>
      <c r="Z61" s="201"/>
      <c r="AB61" s="201"/>
      <c r="AD61" s="201"/>
      <c r="AF61" s="201"/>
      <c r="AH61" s="201"/>
      <c r="AJ61" s="201"/>
    </row>
    <row r="62" spans="1:36" ht="12.75">
      <c r="A62" s="194">
        <v>1</v>
      </c>
      <c r="B62" s="206">
        <v>2014</v>
      </c>
      <c r="C62" s="220">
        <f>SUM(C17:C59)</f>
        <v>85655930.32566</v>
      </c>
      <c r="D62" s="220">
        <f aca="true" t="shared" si="0" ref="D62:L62">SUM(D17:D59)</f>
        <v>18971574.02247</v>
      </c>
      <c r="E62" s="220">
        <f t="shared" si="0"/>
        <v>52260235.282519996</v>
      </c>
      <c r="F62" s="220">
        <f t="shared" si="0"/>
        <v>5723414.03862</v>
      </c>
      <c r="G62" s="220">
        <f t="shared" si="0"/>
        <v>7536543.94574</v>
      </c>
      <c r="H62" s="220">
        <f t="shared" si="0"/>
        <v>1164163.0363100008</v>
      </c>
      <c r="I62" s="220">
        <f>SUM(I17:I59)+539000</f>
        <v>5120338.12777</v>
      </c>
      <c r="J62" s="220">
        <f>H62+I62-3524-30600-15825+49200</f>
        <v>6283752.164080001</v>
      </c>
      <c r="K62" s="220">
        <f t="shared" si="0"/>
        <v>5521807</v>
      </c>
      <c r="L62" s="220">
        <f t="shared" si="0"/>
        <v>157943.864</v>
      </c>
      <c r="M62" s="299">
        <f>J62-K62-L62</f>
        <v>604001.3000800014</v>
      </c>
      <c r="O62" s="216"/>
      <c r="P62" s="216"/>
      <c r="R62" s="201"/>
      <c r="T62" s="201"/>
      <c r="V62" s="201"/>
      <c r="X62" s="201"/>
      <c r="Z62" s="201"/>
      <c r="AB62" s="201"/>
      <c r="AD62" s="201"/>
      <c r="AF62" s="201"/>
      <c r="AH62" s="201"/>
      <c r="AJ62" s="201"/>
    </row>
    <row r="63" spans="1:36" ht="12.75">
      <c r="A63" s="194">
        <v>2</v>
      </c>
      <c r="B63" s="206"/>
      <c r="C63" s="220"/>
      <c r="D63" s="220"/>
      <c r="E63" s="220"/>
      <c r="F63" s="220"/>
      <c r="G63" s="220"/>
      <c r="H63" s="220"/>
      <c r="I63" s="220"/>
      <c r="J63" s="220"/>
      <c r="K63" s="298"/>
      <c r="L63" s="298"/>
      <c r="M63" s="299"/>
      <c r="O63" s="216"/>
      <c r="P63" s="216"/>
      <c r="R63" s="201"/>
      <c r="T63" s="201"/>
      <c r="V63" s="201"/>
      <c r="X63" s="201"/>
      <c r="Z63" s="201"/>
      <c r="AB63" s="201"/>
      <c r="AD63" s="201"/>
      <c r="AF63" s="201"/>
      <c r="AH63" s="201"/>
      <c r="AJ63" s="201"/>
    </row>
    <row r="64" spans="1:36" ht="12.75">
      <c r="A64" s="194">
        <v>3</v>
      </c>
      <c r="B64" s="200" t="s">
        <v>362</v>
      </c>
      <c r="C64" s="220"/>
      <c r="D64" s="220"/>
      <c r="E64" s="220"/>
      <c r="F64" s="220"/>
      <c r="G64" s="220"/>
      <c r="H64" s="220"/>
      <c r="I64" s="220"/>
      <c r="J64" s="220"/>
      <c r="K64" s="298"/>
      <c r="L64" s="298"/>
      <c r="M64" s="299"/>
      <c r="O64" s="216"/>
      <c r="P64" s="216"/>
      <c r="R64" s="201"/>
      <c r="T64" s="201"/>
      <c r="V64" s="201"/>
      <c r="X64" s="201"/>
      <c r="Z64" s="201"/>
      <c r="AB64" s="201"/>
      <c r="AD64" s="201"/>
      <c r="AF64" s="201"/>
      <c r="AH64" s="201"/>
      <c r="AJ64" s="201"/>
    </row>
    <row r="65" spans="1:36" ht="14.25">
      <c r="A65" s="194">
        <v>4</v>
      </c>
      <c r="B65" s="203">
        <v>2015</v>
      </c>
      <c r="C65" s="220">
        <f>+'Current Evans Table'!C68</f>
        <v>2588858.2325999998</v>
      </c>
      <c r="D65" s="220">
        <f>+'Statement E'!H45</f>
        <v>1009924.4493000001</v>
      </c>
      <c r="E65" s="220">
        <f>+'Statement E'!H25</f>
        <v>841782.4264300001</v>
      </c>
      <c r="F65" s="220">
        <f>+'Current Evans Table'!F68</f>
        <v>224188.22295</v>
      </c>
      <c r="G65" s="220">
        <f>+'Current Evans Table'!G68</f>
        <v>185925.42388000002</v>
      </c>
      <c r="H65" s="220">
        <f>C65-D65-E65-F65-G65</f>
        <v>327037.7100399997</v>
      </c>
      <c r="I65" s="220">
        <f>F65+'Statement D Table 1'!Q17+'Statement D Table 1'!O17</f>
        <v>192292.23895</v>
      </c>
      <c r="J65" s="220">
        <f>H65+I65-3524-30600-15825+116217</f>
        <v>585597.9489899997</v>
      </c>
      <c r="K65" s="298">
        <v>402532</v>
      </c>
      <c r="L65" s="298">
        <v>61066</v>
      </c>
      <c r="M65" s="299">
        <f>J65-K65-L65</f>
        <v>121999.94898999971</v>
      </c>
      <c r="O65" s="392"/>
      <c r="P65" s="218"/>
      <c r="R65" s="201"/>
      <c r="T65" s="201"/>
      <c r="V65" s="201"/>
      <c r="X65" s="201"/>
      <c r="Z65" s="201"/>
      <c r="AB65" s="201"/>
      <c r="AD65" s="201"/>
      <c r="AF65" s="201"/>
      <c r="AH65" s="201"/>
      <c r="AJ65" s="201"/>
    </row>
    <row r="66" spans="1:36" ht="12.75">
      <c r="A66" s="194">
        <v>5</v>
      </c>
      <c r="B66" s="206">
        <v>2016</v>
      </c>
      <c r="C66" s="220">
        <v>2600726</v>
      </c>
      <c r="D66" s="220">
        <f>+'Statement E'!I45</f>
        <v>1140373.60079</v>
      </c>
      <c r="E66" s="220">
        <f>+'Statement E'!I25</f>
        <v>864697.80755</v>
      </c>
      <c r="F66" s="220">
        <v>222551.42</v>
      </c>
      <c r="G66" s="220">
        <f>+'Statement D Table 1'!U18</f>
        <v>185925.42388000002</v>
      </c>
      <c r="H66" s="220">
        <f>C66-D66-E66-F66-G66</f>
        <v>187177.74777999986</v>
      </c>
      <c r="I66" s="220">
        <f>+F66+'Statement D Table 1'!Q18+'Statement D Table 1'!O18+541208</f>
        <v>731095.26654</v>
      </c>
      <c r="J66" s="220">
        <f>H66+I66-3524-30600-15319</f>
        <v>868830.0143199998</v>
      </c>
      <c r="K66" s="298">
        <v>1053348</v>
      </c>
      <c r="L66" s="299">
        <v>51482</v>
      </c>
      <c r="M66" s="299">
        <f>J66-K66-L66</f>
        <v>-235999.98568000016</v>
      </c>
      <c r="O66" s="218"/>
      <c r="P66" s="298"/>
      <c r="R66" s="201"/>
      <c r="T66" s="201"/>
      <c r="V66" s="201"/>
      <c r="X66" s="201"/>
      <c r="Y66" s="195">
        <v>770.9965842947786</v>
      </c>
      <c r="Z66" s="201"/>
      <c r="AB66" s="201"/>
      <c r="AD66" s="201"/>
      <c r="AF66" s="201"/>
      <c r="AH66" s="201"/>
      <c r="AJ66" s="201"/>
    </row>
    <row r="67" spans="1:36" ht="12.75">
      <c r="A67" s="194">
        <v>6</v>
      </c>
      <c r="B67" s="207" t="s">
        <v>522</v>
      </c>
      <c r="C67" s="201"/>
      <c r="D67" s="201"/>
      <c r="E67" s="201"/>
      <c r="F67" s="201"/>
      <c r="G67" s="201"/>
      <c r="H67" s="201"/>
      <c r="I67" s="201"/>
      <c r="J67" s="201"/>
      <c r="K67" s="210"/>
      <c r="L67" s="210"/>
      <c r="M67" s="216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Z67" s="201"/>
      <c r="AB67" s="201"/>
      <c r="AD67" s="201"/>
      <c r="AF67" s="201"/>
      <c r="AH67" s="201"/>
      <c r="AJ67" s="201"/>
    </row>
    <row r="68" spans="1:36" ht="12.75">
      <c r="A68" s="194">
        <v>7</v>
      </c>
      <c r="B68" s="203" t="s">
        <v>523</v>
      </c>
      <c r="C68" s="201"/>
      <c r="D68" s="201"/>
      <c r="E68" s="201"/>
      <c r="F68" s="201"/>
      <c r="G68" s="201"/>
      <c r="H68" s="201"/>
      <c r="I68" s="201"/>
      <c r="J68" s="201"/>
      <c r="K68" s="210"/>
      <c r="L68" s="210"/>
      <c r="M68" s="216"/>
      <c r="O68" s="218"/>
      <c r="P68" s="210"/>
      <c r="R68" s="201"/>
      <c r="T68" s="201"/>
      <c r="V68" s="201"/>
      <c r="X68" s="201"/>
      <c r="Z68" s="201"/>
      <c r="AB68" s="201"/>
      <c r="AD68" s="201"/>
      <c r="AF68" s="201"/>
      <c r="AH68" s="201"/>
      <c r="AJ68" s="201"/>
    </row>
    <row r="69" spans="1:36" ht="12.75">
      <c r="A69" s="194">
        <v>8</v>
      </c>
      <c r="B69" s="203">
        <v>2017</v>
      </c>
      <c r="C69" s="201">
        <v>2766742</v>
      </c>
      <c r="D69" s="201">
        <f>+'Statement E'!J45</f>
        <v>1119663.630402225</v>
      </c>
      <c r="E69" s="201">
        <f>+'Statement E'!I25</f>
        <v>864697.80755</v>
      </c>
      <c r="F69" s="201">
        <f>142468+86934</f>
        <v>229402</v>
      </c>
      <c r="G69" s="201">
        <v>124384</v>
      </c>
      <c r="H69" s="201">
        <f>+C69-D69-E69-F69-G69</f>
        <v>428594.5620477749</v>
      </c>
      <c r="I69" s="220">
        <f>+F69+'Statement D Table 1'!O20</f>
        <v>241870.924</v>
      </c>
      <c r="J69" s="220">
        <f>H69+I69-3524-30600+192512</f>
        <v>828853.4860477749</v>
      </c>
      <c r="K69" s="298">
        <v>836999</v>
      </c>
      <c r="L69" s="298">
        <v>51481.53</v>
      </c>
      <c r="M69" s="299">
        <f>J69-K69-L69</f>
        <v>-59627.043952225096</v>
      </c>
      <c r="O69" s="218"/>
      <c r="P69" s="210"/>
      <c r="R69" s="201"/>
      <c r="T69" s="201"/>
      <c r="V69" s="201"/>
      <c r="X69" s="201"/>
      <c r="Z69" s="201"/>
      <c r="AB69" s="201"/>
      <c r="AD69" s="201"/>
      <c r="AF69" s="201"/>
      <c r="AH69" s="201"/>
      <c r="AJ69" s="201"/>
    </row>
    <row r="70" spans="1:36" ht="12.75">
      <c r="A70" s="194">
        <v>9</v>
      </c>
      <c r="B70" s="207" t="s">
        <v>524</v>
      </c>
      <c r="C70" s="201"/>
      <c r="D70" s="201"/>
      <c r="E70" s="201"/>
      <c r="F70" s="201"/>
      <c r="G70" s="201"/>
      <c r="H70" s="201"/>
      <c r="I70" s="201"/>
      <c r="J70" s="201"/>
      <c r="K70" s="210"/>
      <c r="L70" s="210"/>
      <c r="M70" s="216"/>
      <c r="O70" s="218"/>
      <c r="P70" s="210"/>
      <c r="R70" s="201"/>
      <c r="T70" s="201"/>
      <c r="V70" s="201"/>
      <c r="X70" s="201"/>
      <c r="Z70" s="201"/>
      <c r="AB70" s="201"/>
      <c r="AD70" s="201"/>
      <c r="AF70" s="201"/>
      <c r="AH70" s="201"/>
      <c r="AJ70" s="201"/>
    </row>
    <row r="71" spans="1:36" ht="12.75">
      <c r="A71" s="194">
        <v>10</v>
      </c>
      <c r="B71" s="203" t="s">
        <v>523</v>
      </c>
      <c r="C71" s="201"/>
      <c r="D71" s="201"/>
      <c r="E71" s="201"/>
      <c r="F71" s="201"/>
      <c r="G71" s="201"/>
      <c r="H71" s="201"/>
      <c r="I71" s="201"/>
      <c r="J71" s="201"/>
      <c r="K71" s="210"/>
      <c r="L71" s="210"/>
      <c r="M71" s="216"/>
      <c r="O71" s="218"/>
      <c r="P71" s="210"/>
      <c r="R71" s="201"/>
      <c r="T71" s="201"/>
      <c r="V71" s="201"/>
      <c r="X71" s="201"/>
      <c r="Z71" s="201"/>
      <c r="AB71" s="201"/>
      <c r="AD71" s="201"/>
      <c r="AF71" s="201"/>
      <c r="AH71" s="201"/>
      <c r="AJ71" s="201"/>
    </row>
    <row r="72" spans="1:36" ht="12.75">
      <c r="A72" s="194">
        <v>11</v>
      </c>
      <c r="B72" s="203">
        <v>2018</v>
      </c>
      <c r="C72" s="201">
        <f>+'Modeling results'!B4</f>
        <v>2903951</v>
      </c>
      <c r="D72" s="201">
        <f>+'Statement E'!K45</f>
        <v>1147446.8238757253</v>
      </c>
      <c r="E72" s="220">
        <f>+'Statement E'!K25</f>
        <v>1231670.9809900278</v>
      </c>
      <c r="F72" s="201">
        <f>+'Income Statement Cash Flows'!E23+'Income Statement Cash Flows'!E24</f>
        <v>230887.74216833335</v>
      </c>
      <c r="G72" s="201">
        <f>+'Revised Revenue Test'!E38</f>
        <v>95571.3897564619</v>
      </c>
      <c r="H72" s="201">
        <f>C72-D72-E72-F72-G72</f>
        <v>198374.06320945168</v>
      </c>
      <c r="I72" s="201">
        <f>+F72+'Revised Revenue Test'!E62+'Revised Revenue Test'!E65+'Revised Revenue Test'!E66+'Revised Revenue Test'!E82</f>
        <v>-57797.54375020476</v>
      </c>
      <c r="J72" s="201">
        <f>H72+I72+'Revised Revenue Test'!E67</f>
        <v>140576.51945924692</v>
      </c>
      <c r="K72" s="210">
        <f>+'Inputs for Evans Tables'!G7</f>
        <v>113220</v>
      </c>
      <c r="L72" s="210">
        <f>+'Inputs for Evans Tables'!J7</f>
        <v>27234.291</v>
      </c>
      <c r="M72" s="216">
        <f>J72-K72-L72</f>
        <v>122.22845924691865</v>
      </c>
      <c r="O72" s="210"/>
      <c r="P72" s="210"/>
      <c r="R72" s="201"/>
      <c r="T72" s="201"/>
      <c r="V72" s="201"/>
      <c r="X72" s="201"/>
      <c r="Z72" s="201"/>
      <c r="AB72" s="201"/>
      <c r="AD72" s="201"/>
      <c r="AF72" s="201"/>
      <c r="AH72" s="201"/>
      <c r="AJ72" s="201"/>
    </row>
    <row r="73" spans="1:36" ht="12.75">
      <c r="A73" s="194">
        <v>12</v>
      </c>
      <c r="B73" s="203">
        <v>2019</v>
      </c>
      <c r="C73" s="201">
        <f>+'Modeling results'!C4</f>
        <v>2897216</v>
      </c>
      <c r="D73" s="201">
        <f>+'Statement E'!L45</f>
        <v>1203172.821931025</v>
      </c>
      <c r="E73" s="220">
        <f>+'Statement E'!L25</f>
        <v>1232097.9070086055</v>
      </c>
      <c r="F73" s="201">
        <f>+'Income Statement Cash Flows'!F24+'Income Statement Cash Flows'!F23</f>
        <v>231523.75265333333</v>
      </c>
      <c r="G73" s="201">
        <f>+'Revised Revenue Test'!F38</f>
        <v>100151.03144684213</v>
      </c>
      <c r="H73" s="201">
        <f>C73-D73-E73-F73-G73</f>
        <v>130270.48696019399</v>
      </c>
      <c r="I73" s="201">
        <f>+F73+'Revised Revenue Test'!F62+'Revised Revenue Test'!F65+'Revised Revenue Test'!F66</f>
        <v>162210.22060017544</v>
      </c>
      <c r="J73" s="201">
        <f>H73+I73+'Revised Revenue Test'!F67</f>
        <v>292480.7075603694</v>
      </c>
      <c r="K73" s="210">
        <f>+'Inputs for Evans Tables'!G8</f>
        <v>195622</v>
      </c>
      <c r="L73" s="210">
        <f>+'Inputs for Evans Tables'!J8</f>
        <v>56572.665</v>
      </c>
      <c r="M73" s="216">
        <f>J73-K73-L73</f>
        <v>40286.042560369395</v>
      </c>
      <c r="O73" s="210"/>
      <c r="P73" s="210"/>
      <c r="R73" s="201"/>
      <c r="T73" s="201"/>
      <c r="V73" s="201"/>
      <c r="X73" s="201"/>
      <c r="Z73" s="201"/>
      <c r="AB73" s="201"/>
      <c r="AD73" s="201"/>
      <c r="AF73" s="201"/>
      <c r="AH73" s="201"/>
      <c r="AJ73" s="201"/>
    </row>
    <row r="74" spans="1:36" ht="12.75">
      <c r="A74" s="194">
        <v>13</v>
      </c>
      <c r="B74" s="207" t="s">
        <v>525</v>
      </c>
      <c r="C74" s="201"/>
      <c r="D74" s="201"/>
      <c r="E74" s="201"/>
      <c r="F74" s="201"/>
      <c r="G74" s="201"/>
      <c r="H74" s="201"/>
      <c r="I74" s="201"/>
      <c r="J74" s="201"/>
      <c r="K74" s="210"/>
      <c r="L74" s="210"/>
      <c r="M74" s="216"/>
      <c r="O74" s="210"/>
      <c r="P74" s="210"/>
      <c r="R74" s="201"/>
      <c r="T74" s="201"/>
      <c r="V74" s="201"/>
      <c r="X74" s="201"/>
      <c r="Z74" s="201"/>
      <c r="AB74" s="201"/>
      <c r="AD74" s="201"/>
      <c r="AF74" s="201"/>
      <c r="AH74" s="201"/>
      <c r="AJ74" s="201"/>
    </row>
    <row r="75" spans="1:36" ht="12.75">
      <c r="A75" s="194">
        <v>14</v>
      </c>
      <c r="B75" s="203" t="s">
        <v>523</v>
      </c>
      <c r="C75" s="201"/>
      <c r="D75" s="201"/>
      <c r="E75" s="201"/>
      <c r="F75" s="201"/>
      <c r="G75" s="201"/>
      <c r="H75" s="201"/>
      <c r="I75" s="201"/>
      <c r="J75" s="201"/>
      <c r="K75" s="210"/>
      <c r="L75" s="210"/>
      <c r="M75" s="216"/>
      <c r="O75" s="210"/>
      <c r="P75" s="210"/>
      <c r="R75" s="201"/>
      <c r="T75" s="201"/>
      <c r="V75" s="201"/>
      <c r="X75" s="201"/>
      <c r="Z75" s="201"/>
      <c r="AB75" s="201"/>
      <c r="AD75" s="201"/>
      <c r="AF75" s="201"/>
      <c r="AH75" s="201"/>
      <c r="AJ75" s="201"/>
    </row>
    <row r="76" spans="1:36" ht="12.75">
      <c r="A76" s="194">
        <v>15</v>
      </c>
      <c r="B76" s="203">
        <v>2020</v>
      </c>
      <c r="C76" s="201">
        <f>+$C$73</f>
        <v>2897216</v>
      </c>
      <c r="D76" s="201">
        <f>+$D$73</f>
        <v>1203172.821931025</v>
      </c>
      <c r="E76" s="201">
        <f>'Inputs for Evans Tables'!M9+$E$148</f>
        <v>1167089.2150086055</v>
      </c>
      <c r="F76" s="201">
        <f aca="true" t="shared" si="1" ref="F76:F107">+$F$73</f>
        <v>231523.75265333333</v>
      </c>
      <c r="G76" s="201">
        <f>'Inputs for Evans Tables'!N9+$G$148+$G$149+$G$150+'Statement D Table 1'!O25</f>
        <v>116908.34208146192</v>
      </c>
      <c r="H76" s="201">
        <f aca="true" t="shared" si="2" ref="H76:H107">C76-D76-E76-F76-G76</f>
        <v>178521.8683255742</v>
      </c>
      <c r="I76" s="201">
        <f>F76+$G$150+$G$151</f>
        <v>196334.22060017544</v>
      </c>
      <c r="J76" s="201">
        <f aca="true" t="shared" si="3" ref="J76:J107">H76+I76-3524-30600</f>
        <v>340732.08892574965</v>
      </c>
      <c r="K76" s="210">
        <f>+'Inputs for Evans Tables'!G9</f>
        <v>167935.918</v>
      </c>
      <c r="L76" s="210">
        <f>+'Inputs for Evans Tables'!J9</f>
        <v>24317.301</v>
      </c>
      <c r="M76" s="216">
        <f aca="true" t="shared" si="4" ref="M76:M106">J76-K76-L76</f>
        <v>148478.86992574963</v>
      </c>
      <c r="O76" s="210"/>
      <c r="P76" s="210"/>
      <c r="R76" s="201"/>
      <c r="T76" s="201"/>
      <c r="V76" s="201"/>
      <c r="X76" s="201"/>
      <c r="Z76" s="201"/>
      <c r="AB76" s="201"/>
      <c r="AD76" s="201"/>
      <c r="AF76" s="201"/>
      <c r="AH76" s="201"/>
      <c r="AJ76" s="201"/>
    </row>
    <row r="77" spans="1:36" ht="12.75">
      <c r="A77" s="194">
        <v>16</v>
      </c>
      <c r="B77" s="203">
        <v>2021</v>
      </c>
      <c r="C77" s="201">
        <f aca="true" t="shared" si="5" ref="C77">+$C$73</f>
        <v>2897216</v>
      </c>
      <c r="D77" s="201">
        <f aca="true" t="shared" si="6" ref="D77">+$D$73</f>
        <v>1203172.821931025</v>
      </c>
      <c r="E77" s="201">
        <f>'Inputs for Evans Tables'!M10+$E$148</f>
        <v>1154154.2480086056</v>
      </c>
      <c r="F77" s="201">
        <f t="shared" si="1"/>
        <v>231523.75265333333</v>
      </c>
      <c r="G77" s="201">
        <f>'Inputs for Evans Tables'!N10+$G$148+$G$149+$G$150+'Statement D Table 1'!O26</f>
        <v>121668.25594684212</v>
      </c>
      <c r="H77" s="201">
        <f t="shared" si="2"/>
        <v>186696.92146019393</v>
      </c>
      <c r="I77" s="201">
        <f aca="true" t="shared" si="7" ref="I77:I107">F77+$G$150+$G$151</f>
        <v>196334.22060017544</v>
      </c>
      <c r="J77" s="201">
        <f t="shared" si="3"/>
        <v>348907.14206036937</v>
      </c>
      <c r="K77" s="210">
        <f>+'Inputs for Evans Tables'!G10</f>
        <v>184801.481</v>
      </c>
      <c r="L77" s="210">
        <f>+'Inputs for Evans Tables'!J10</f>
        <v>14746.543</v>
      </c>
      <c r="M77" s="216">
        <f t="shared" si="4"/>
        <v>149359.11806036936</v>
      </c>
      <c r="O77" s="210"/>
      <c r="P77" s="210"/>
      <c r="R77" s="201"/>
      <c r="T77" s="201"/>
      <c r="V77" s="201"/>
      <c r="X77" s="201"/>
      <c r="Z77" s="201"/>
      <c r="AB77" s="201"/>
      <c r="AD77" s="201"/>
      <c r="AF77" s="201"/>
      <c r="AH77" s="201"/>
      <c r="AJ77" s="201"/>
    </row>
    <row r="78" spans="1:36" ht="12.75">
      <c r="A78" s="194">
        <v>17</v>
      </c>
      <c r="B78" s="203">
        <f>B77+1</f>
        <v>2022</v>
      </c>
      <c r="C78" s="201">
        <f aca="true" t="shared" si="8" ref="C78:C125">+$C$73</f>
        <v>2897216</v>
      </c>
      <c r="D78" s="201">
        <f aca="true" t="shared" si="9" ref="D78:D125">+$D$73</f>
        <v>1203172.821931025</v>
      </c>
      <c r="E78" s="201">
        <f>'Inputs for Evans Tables'!M11+$E$148</f>
        <v>1182945.6290086056</v>
      </c>
      <c r="F78" s="201">
        <f t="shared" si="1"/>
        <v>231523.75265333333</v>
      </c>
      <c r="G78" s="201">
        <f>'Inputs for Evans Tables'!N11+$G$148+$G$149+$G$150+'Statement D Table 1'!O27</f>
        <v>125832.61736453536</v>
      </c>
      <c r="H78" s="201">
        <f t="shared" si="2"/>
        <v>153741.17904250068</v>
      </c>
      <c r="I78" s="201">
        <f t="shared" si="7"/>
        <v>196334.22060017544</v>
      </c>
      <c r="J78" s="201">
        <f t="shared" si="3"/>
        <v>315951.3996426761</v>
      </c>
      <c r="K78" s="210">
        <f>+'Inputs for Evans Tables'!G11</f>
        <v>149611.311</v>
      </c>
      <c r="L78" s="210">
        <f>+'Inputs for Evans Tables'!J11</f>
        <v>16059.879</v>
      </c>
      <c r="M78" s="216">
        <f t="shared" si="4"/>
        <v>150280.2096426761</v>
      </c>
      <c r="O78" s="210"/>
      <c r="P78" s="210"/>
      <c r="R78" s="201"/>
      <c r="T78" s="201"/>
      <c r="V78" s="201"/>
      <c r="X78" s="201"/>
      <c r="Z78" s="201"/>
      <c r="AB78" s="201"/>
      <c r="AD78" s="201"/>
      <c r="AF78" s="201"/>
      <c r="AH78" s="201"/>
      <c r="AJ78" s="201"/>
    </row>
    <row r="79" spans="1:36" ht="12.75">
      <c r="A79" s="194">
        <v>18</v>
      </c>
      <c r="B79" s="203">
        <f aca="true" t="shared" si="10" ref="B79:B125">B78+1</f>
        <v>2023</v>
      </c>
      <c r="C79" s="201">
        <f t="shared" si="8"/>
        <v>2897216</v>
      </c>
      <c r="D79" s="201">
        <f t="shared" si="9"/>
        <v>1203172.821931025</v>
      </c>
      <c r="E79" s="201">
        <f>'Inputs for Evans Tables'!M12+$E$148</f>
        <v>1155933.0050086055</v>
      </c>
      <c r="F79" s="201">
        <f t="shared" si="1"/>
        <v>231523.75265333333</v>
      </c>
      <c r="G79" s="201">
        <f>'Inputs for Evans Tables'!N12+$G$148+$G$149+$G$150+'Statement D Table 1'!O28</f>
        <v>127207.8105136916</v>
      </c>
      <c r="H79" s="201">
        <f t="shared" si="2"/>
        <v>179378.6098933445</v>
      </c>
      <c r="I79" s="201">
        <f t="shared" si="7"/>
        <v>196334.22060017544</v>
      </c>
      <c r="J79" s="201">
        <f t="shared" si="3"/>
        <v>341588.8304935199</v>
      </c>
      <c r="K79" s="210">
        <f>+'Inputs for Evans Tables'!G12</f>
        <v>177498.79</v>
      </c>
      <c r="L79" s="210">
        <f>+'Inputs for Evans Tables'!J12</f>
        <v>12845.994</v>
      </c>
      <c r="M79" s="216">
        <f t="shared" si="4"/>
        <v>151244.04649351988</v>
      </c>
      <c r="O79" s="210"/>
      <c r="P79" s="210"/>
      <c r="R79" s="201"/>
      <c r="T79" s="201"/>
      <c r="V79" s="201"/>
      <c r="X79" s="201"/>
      <c r="Z79" s="201"/>
      <c r="AB79" s="201"/>
      <c r="AD79" s="201"/>
      <c r="AF79" s="201"/>
      <c r="AH79" s="201"/>
      <c r="AJ79" s="201"/>
    </row>
    <row r="80" spans="1:36" ht="12.75">
      <c r="A80" s="194">
        <v>19</v>
      </c>
      <c r="B80" s="203">
        <f t="shared" si="10"/>
        <v>2024</v>
      </c>
      <c r="C80" s="201">
        <f t="shared" si="8"/>
        <v>2897216</v>
      </c>
      <c r="D80" s="201">
        <f t="shared" si="9"/>
        <v>1203172.821931025</v>
      </c>
      <c r="E80" s="201">
        <f>'Inputs for Evans Tables'!M13+$E$148</f>
        <v>1161351.0820086054</v>
      </c>
      <c r="F80" s="201">
        <f t="shared" si="1"/>
        <v>231523.75265333333</v>
      </c>
      <c r="G80" s="201">
        <f>'Inputs for Evans Tables'!N13+$G$148+$G$149+$G$150+'Statement D Table 1'!O29</f>
        <v>129711.30757060829</v>
      </c>
      <c r="H80" s="201">
        <f t="shared" si="2"/>
        <v>171457.035836428</v>
      </c>
      <c r="I80" s="201">
        <f t="shared" si="7"/>
        <v>196334.22060017544</v>
      </c>
      <c r="J80" s="201">
        <f t="shared" si="3"/>
        <v>333667.25643660343</v>
      </c>
      <c r="K80" s="210">
        <f>+'Inputs for Evans Tables'!G13</f>
        <v>166297.606</v>
      </c>
      <c r="L80" s="210">
        <f>+'Inputs for Evans Tables'!J13</f>
        <v>15117.04</v>
      </c>
      <c r="M80" s="216">
        <f t="shared" si="4"/>
        <v>152252.61043660343</v>
      </c>
      <c r="O80" s="210"/>
      <c r="P80" s="210"/>
      <c r="R80" s="201"/>
      <c r="T80" s="201"/>
      <c r="V80" s="201"/>
      <c r="X80" s="201"/>
      <c r="Z80" s="201"/>
      <c r="AB80" s="201"/>
      <c r="AD80" s="201"/>
      <c r="AF80" s="201"/>
      <c r="AH80" s="201"/>
      <c r="AJ80" s="201"/>
    </row>
    <row r="81" spans="1:36" ht="12.75">
      <c r="A81" s="194">
        <v>20</v>
      </c>
      <c r="B81" s="203">
        <f t="shared" si="10"/>
        <v>2025</v>
      </c>
      <c r="C81" s="201">
        <f t="shared" si="8"/>
        <v>2897216</v>
      </c>
      <c r="D81" s="201">
        <f t="shared" si="9"/>
        <v>1203172.821931025</v>
      </c>
      <c r="E81" s="201">
        <f>'Inputs for Evans Tables'!M14+$E$148</f>
        <v>1188962.7410086053</v>
      </c>
      <c r="F81" s="201">
        <f t="shared" si="1"/>
        <v>231523.75265333333</v>
      </c>
      <c r="G81" s="201">
        <f>'Inputs for Evans Tables'!N14+$G$148+$G$149+$G$150+'Statement D Table 1'!O30</f>
        <v>136147.14962309998</v>
      </c>
      <c r="H81" s="201">
        <f t="shared" si="2"/>
        <v>137409.5347839363</v>
      </c>
      <c r="I81" s="201">
        <f t="shared" si="7"/>
        <v>196334.22060017544</v>
      </c>
      <c r="J81" s="201">
        <f t="shared" si="3"/>
        <v>299619.7553841118</v>
      </c>
      <c r="K81" s="210">
        <f>+'Inputs for Evans Tables'!G14</f>
        <v>132769.187</v>
      </c>
      <c r="L81" s="210">
        <f>+'Inputs for Evans Tables'!J14</f>
        <v>13542.591</v>
      </c>
      <c r="M81" s="216">
        <f t="shared" si="4"/>
        <v>153307.9773841118</v>
      </c>
      <c r="O81" s="210"/>
      <c r="P81" s="210"/>
      <c r="R81" s="201"/>
      <c r="T81" s="201"/>
      <c r="V81" s="201"/>
      <c r="X81" s="201"/>
      <c r="Z81" s="201"/>
      <c r="AB81" s="201"/>
      <c r="AD81" s="201"/>
      <c r="AF81" s="201"/>
      <c r="AH81" s="201"/>
      <c r="AJ81" s="201"/>
    </row>
    <row r="82" spans="1:36" ht="12.75">
      <c r="A82" s="194">
        <v>21</v>
      </c>
      <c r="B82" s="203">
        <f t="shared" si="10"/>
        <v>2026</v>
      </c>
      <c r="C82" s="201">
        <f t="shared" si="8"/>
        <v>2897216</v>
      </c>
      <c r="D82" s="201">
        <f t="shared" si="9"/>
        <v>1203172.821931025</v>
      </c>
      <c r="E82" s="201">
        <f>'Inputs for Evans Tables'!M15+$E$148</f>
        <v>1161020.0930086055</v>
      </c>
      <c r="F82" s="201">
        <f t="shared" si="1"/>
        <v>231523.75265333333</v>
      </c>
      <c r="G82" s="201">
        <f>'Inputs for Evans Tables'!N15+$G$148+$G$149+$G$150+'Statement D Table 1'!O31</f>
        <v>137248.15439516227</v>
      </c>
      <c r="H82" s="201">
        <f t="shared" si="2"/>
        <v>164251.17801187382</v>
      </c>
      <c r="I82" s="201">
        <f t="shared" si="7"/>
        <v>196334.22060017544</v>
      </c>
      <c r="J82" s="201">
        <f t="shared" si="3"/>
        <v>326461.3986120493</v>
      </c>
      <c r="K82" s="210">
        <f>+'Inputs for Evans Tables'!G15</f>
        <v>151294.171</v>
      </c>
      <c r="L82" s="210">
        <f>+'Inputs for Evans Tables'!J15</f>
        <v>20754.908</v>
      </c>
      <c r="M82" s="216">
        <f t="shared" si="4"/>
        <v>154412.3196120493</v>
      </c>
      <c r="O82" s="210"/>
      <c r="P82" s="210"/>
      <c r="R82" s="201"/>
      <c r="T82" s="201"/>
      <c r="V82" s="201"/>
      <c r="X82" s="201"/>
      <c r="Z82" s="201"/>
      <c r="AB82" s="201"/>
      <c r="AD82" s="201"/>
      <c r="AF82" s="201"/>
      <c r="AH82" s="201"/>
      <c r="AJ82" s="201"/>
    </row>
    <row r="83" spans="1:36" ht="12.75">
      <c r="A83" s="194">
        <v>22</v>
      </c>
      <c r="B83" s="203">
        <f t="shared" si="10"/>
        <v>2027</v>
      </c>
      <c r="C83" s="201">
        <f t="shared" si="8"/>
        <v>2897216</v>
      </c>
      <c r="D83" s="201">
        <f t="shared" si="9"/>
        <v>1203172.821931025</v>
      </c>
      <c r="E83" s="201">
        <f>'Inputs for Evans Tables'!M16+$E$148</f>
        <v>1169785.1630086056</v>
      </c>
      <c r="F83" s="201">
        <f t="shared" si="1"/>
        <v>231523.75265333333</v>
      </c>
      <c r="G83" s="201">
        <f>'Inputs for Evans Tables'!N16+$G$148+$G$149+$G$150+'Statement D Table 1'!O32</f>
        <v>140975.31277312085</v>
      </c>
      <c r="H83" s="201">
        <f t="shared" si="2"/>
        <v>151758.94963391518</v>
      </c>
      <c r="I83" s="201">
        <f t="shared" si="7"/>
        <v>196334.22060017544</v>
      </c>
      <c r="J83" s="201">
        <f t="shared" si="3"/>
        <v>313969.17023409065</v>
      </c>
      <c r="K83" s="210">
        <f>+'Inputs for Evans Tables'!G16</f>
        <v>152283.059</v>
      </c>
      <c r="L83" s="210">
        <f>+'Inputs for Evans Tables'!J16</f>
        <v>6118.201</v>
      </c>
      <c r="M83" s="216">
        <f t="shared" si="4"/>
        <v>155567.91023409064</v>
      </c>
      <c r="O83" s="210"/>
      <c r="P83" s="210"/>
      <c r="R83" s="201"/>
      <c r="T83" s="201"/>
      <c r="V83" s="201"/>
      <c r="X83" s="201"/>
      <c r="Z83" s="201"/>
      <c r="AB83" s="201"/>
      <c r="AD83" s="201"/>
      <c r="AF83" s="201"/>
      <c r="AH83" s="201"/>
      <c r="AJ83" s="201"/>
    </row>
    <row r="84" spans="1:36" ht="12.75">
      <c r="A84" s="194">
        <v>23</v>
      </c>
      <c r="B84" s="203">
        <f t="shared" si="10"/>
        <v>2028</v>
      </c>
      <c r="C84" s="201">
        <f t="shared" si="8"/>
        <v>2897216</v>
      </c>
      <c r="D84" s="201">
        <f t="shared" si="9"/>
        <v>1203172.821931025</v>
      </c>
      <c r="E84" s="201">
        <f>'Inputs for Evans Tables'!M17+$E$148</f>
        <v>1197081.6510086055</v>
      </c>
      <c r="F84" s="201">
        <f t="shared" si="1"/>
        <v>231523.75265333333</v>
      </c>
      <c r="G84" s="201">
        <f>'Inputs for Evans Tables'!N17+$G$148+$G$149+$G$150+'Statement D Table 1'!O33</f>
        <v>144042.82212404598</v>
      </c>
      <c r="H84" s="201">
        <f t="shared" si="2"/>
        <v>121394.95228299015</v>
      </c>
      <c r="I84" s="201">
        <f t="shared" si="7"/>
        <v>196334.22060017544</v>
      </c>
      <c r="J84" s="201">
        <f t="shared" si="3"/>
        <v>283605.1728831656</v>
      </c>
      <c r="K84" s="210">
        <f>+'Inputs for Evans Tables'!G17</f>
        <v>115641.559</v>
      </c>
      <c r="L84" s="210">
        <f>+'Inputs for Evans Tables'!J17</f>
        <v>11186.486</v>
      </c>
      <c r="M84" s="216">
        <f t="shared" si="4"/>
        <v>156777.12788316558</v>
      </c>
      <c r="O84" s="210"/>
      <c r="P84" s="210"/>
      <c r="R84" s="201"/>
      <c r="T84" s="201"/>
      <c r="V84" s="201"/>
      <c r="X84" s="201"/>
      <c r="Z84" s="201"/>
      <c r="AB84" s="201"/>
      <c r="AD84" s="201"/>
      <c r="AF84" s="201"/>
      <c r="AH84" s="201"/>
      <c r="AJ84" s="201"/>
    </row>
    <row r="85" spans="1:36" ht="12.75">
      <c r="A85" s="194">
        <v>24</v>
      </c>
      <c r="B85" s="203">
        <f t="shared" si="10"/>
        <v>2029</v>
      </c>
      <c r="C85" s="201">
        <f t="shared" si="8"/>
        <v>2897216</v>
      </c>
      <c r="D85" s="201">
        <f t="shared" si="9"/>
        <v>1203172.821931025</v>
      </c>
      <c r="E85" s="201">
        <f>'Inputs for Evans Tables'!M18+$E$148</f>
        <v>868534.0872586055</v>
      </c>
      <c r="F85" s="201">
        <f t="shared" si="1"/>
        <v>231523.75265333333</v>
      </c>
      <c r="G85" s="201">
        <f>'Inputs for Evans Tables'!N18+$G$148+$G$149+$G$150+'Statement D Table 1'!O34</f>
        <v>151289.8613967867</v>
      </c>
      <c r="H85" s="201">
        <f t="shared" si="2"/>
        <v>442695.4767602494</v>
      </c>
      <c r="I85" s="201">
        <f t="shared" si="7"/>
        <v>196334.22060017544</v>
      </c>
      <c r="J85" s="201">
        <f t="shared" si="3"/>
        <v>604905.6973604248</v>
      </c>
      <c r="K85" s="210">
        <f>+'Inputs for Evans Tables'!G18</f>
        <v>442798.601</v>
      </c>
      <c r="L85" s="210">
        <f>+'Inputs for Evans Tables'!J18</f>
        <v>4064.635</v>
      </c>
      <c r="M85" s="216">
        <f t="shared" si="4"/>
        <v>158042.46136042476</v>
      </c>
      <c r="O85" s="210"/>
      <c r="P85" s="210"/>
      <c r="R85" s="201"/>
      <c r="T85" s="201"/>
      <c r="V85" s="201"/>
      <c r="X85" s="201"/>
      <c r="Z85" s="201"/>
      <c r="AB85" s="201"/>
      <c r="AD85" s="201"/>
      <c r="AF85" s="201"/>
      <c r="AH85" s="201"/>
      <c r="AJ85" s="201"/>
    </row>
    <row r="86" spans="1:36" ht="12.75">
      <c r="A86" s="194">
        <v>25</v>
      </c>
      <c r="B86" s="203">
        <f>B85+1</f>
        <v>2030</v>
      </c>
      <c r="C86" s="201">
        <f t="shared" si="8"/>
        <v>2897216</v>
      </c>
      <c r="D86" s="201">
        <f t="shared" si="9"/>
        <v>1203172.821931025</v>
      </c>
      <c r="E86" s="201">
        <f>'Inputs for Evans Tables'!M19+$E$148</f>
        <v>949979.0677586055</v>
      </c>
      <c r="F86" s="201">
        <f t="shared" si="1"/>
        <v>231523.75265333333</v>
      </c>
      <c r="G86" s="201">
        <f>'Inputs for Evans Tables'!N19+$G$148+$G$149+$G$150+'Statement D Table 1'!O35</f>
        <v>136276.39799552842</v>
      </c>
      <c r="H86" s="201">
        <f t="shared" si="2"/>
        <v>376263.95966150775</v>
      </c>
      <c r="I86" s="201">
        <f t="shared" si="7"/>
        <v>196334.22060017544</v>
      </c>
      <c r="J86" s="201">
        <f t="shared" si="3"/>
        <v>538474.1802616832</v>
      </c>
      <c r="K86" s="210">
        <f>+'Inputs for Evans Tables'!G19</f>
        <v>377111.931</v>
      </c>
      <c r="L86" s="210">
        <f>+'Inputs for Evans Tables'!J19</f>
        <v>1995.733</v>
      </c>
      <c r="M86" s="216">
        <f t="shared" si="4"/>
        <v>159366.5162616832</v>
      </c>
      <c r="O86" s="210"/>
      <c r="P86" s="210"/>
      <c r="R86" s="201"/>
      <c r="T86" s="201"/>
      <c r="V86" s="201"/>
      <c r="X86" s="201"/>
      <c r="Z86" s="201"/>
      <c r="AB86" s="201"/>
      <c r="AD86" s="201"/>
      <c r="AF86" s="201"/>
      <c r="AH86" s="201"/>
      <c r="AJ86" s="201"/>
    </row>
    <row r="87" spans="1:36" ht="12.75">
      <c r="A87" s="194">
        <v>26</v>
      </c>
      <c r="B87" s="203">
        <f t="shared" si="10"/>
        <v>2031</v>
      </c>
      <c r="C87" s="201">
        <f t="shared" si="8"/>
        <v>2897216</v>
      </c>
      <c r="D87" s="201">
        <f t="shared" si="9"/>
        <v>1203172.821931025</v>
      </c>
      <c r="E87" s="201">
        <f>'Inputs for Evans Tables'!M20+$E$148</f>
        <v>917652.2750086054</v>
      </c>
      <c r="F87" s="201">
        <f t="shared" si="1"/>
        <v>231523.75265333333</v>
      </c>
      <c r="G87" s="201">
        <f>'Inputs for Evans Tables'!N20+$G$148+$G$149+$G$150+'Statement D Table 1'!O36</f>
        <v>131801.0063532952</v>
      </c>
      <c r="H87" s="201">
        <f t="shared" si="2"/>
        <v>413066.144053741</v>
      </c>
      <c r="I87" s="201">
        <f t="shared" si="7"/>
        <v>196334.22060017544</v>
      </c>
      <c r="J87" s="201">
        <f t="shared" si="3"/>
        <v>575276.3646539164</v>
      </c>
      <c r="K87" s="210">
        <f>+'Inputs for Evans Tables'!G20</f>
        <v>406583.896</v>
      </c>
      <c r="L87" s="210">
        <f>+'Inputs for Evans Tables'!J20</f>
        <v>10523.699</v>
      </c>
      <c r="M87" s="216">
        <f t="shared" si="4"/>
        <v>158168.76965391645</v>
      </c>
      <c r="O87" s="210"/>
      <c r="P87" s="210"/>
      <c r="R87" s="201"/>
      <c r="T87" s="201"/>
      <c r="V87" s="201"/>
      <c r="X87" s="201"/>
      <c r="Z87" s="201"/>
      <c r="AB87" s="201"/>
      <c r="AD87" s="201"/>
      <c r="AF87" s="201"/>
      <c r="AH87" s="201"/>
      <c r="AJ87" s="201"/>
    </row>
    <row r="88" spans="1:36" ht="12.75">
      <c r="A88" s="194">
        <v>27</v>
      </c>
      <c r="B88" s="203">
        <f t="shared" si="10"/>
        <v>2032</v>
      </c>
      <c r="C88" s="201">
        <f t="shared" si="8"/>
        <v>2897216</v>
      </c>
      <c r="D88" s="201">
        <f t="shared" si="9"/>
        <v>1203172.821931025</v>
      </c>
      <c r="E88" s="201">
        <f>'Inputs for Evans Tables'!M21+$E$148</f>
        <v>812793.0585086055</v>
      </c>
      <c r="F88" s="201">
        <f t="shared" si="1"/>
        <v>231523.75265333333</v>
      </c>
      <c r="G88" s="201">
        <f>'Inputs for Evans Tables'!N21+$G$148+$G$149+$G$150+'Statement D Table 1'!O37</f>
        <v>117880.82885982934</v>
      </c>
      <c r="H88" s="201">
        <f t="shared" si="2"/>
        <v>531845.5380472068</v>
      </c>
      <c r="I88" s="201">
        <f t="shared" si="7"/>
        <v>196334.22060017544</v>
      </c>
      <c r="J88" s="201">
        <f t="shared" si="3"/>
        <v>694055.7586473823</v>
      </c>
      <c r="K88" s="210">
        <f>+'Inputs for Evans Tables'!G21</f>
        <v>534643.072</v>
      </c>
      <c r="L88" s="210">
        <f>+'Inputs for Evans Tables'!J21</f>
        <v>0</v>
      </c>
      <c r="M88" s="216">
        <f t="shared" si="4"/>
        <v>159412.68664738222</v>
      </c>
      <c r="O88" s="210"/>
      <c r="P88" s="210"/>
      <c r="R88" s="201"/>
      <c r="T88" s="201"/>
      <c r="V88" s="201"/>
      <c r="X88" s="201"/>
      <c r="Z88" s="201"/>
      <c r="AB88" s="201"/>
      <c r="AD88" s="201"/>
      <c r="AF88" s="201"/>
      <c r="AH88" s="201"/>
      <c r="AJ88" s="201"/>
    </row>
    <row r="89" spans="1:36" ht="12.75">
      <c r="A89" s="194">
        <v>28</v>
      </c>
      <c r="B89" s="203">
        <f t="shared" si="10"/>
        <v>2033</v>
      </c>
      <c r="C89" s="201">
        <f t="shared" si="8"/>
        <v>2897216</v>
      </c>
      <c r="D89" s="201">
        <f t="shared" si="9"/>
        <v>1203172.821931025</v>
      </c>
      <c r="E89" s="201">
        <f>'Inputs for Evans Tables'!M22+$E$148</f>
        <v>804648.0445086055</v>
      </c>
      <c r="F89" s="201">
        <f t="shared" si="1"/>
        <v>231523.75265333333</v>
      </c>
      <c r="G89" s="201">
        <f>'Inputs for Evans Tables'!N22+$G$148+$G$149+$G$150+'Statement D Table 1'!O38</f>
        <v>114705.793</v>
      </c>
      <c r="H89" s="201">
        <f t="shared" si="2"/>
        <v>543165.5879070361</v>
      </c>
      <c r="I89" s="201">
        <f t="shared" si="7"/>
        <v>196334.22060017544</v>
      </c>
      <c r="J89" s="201">
        <f t="shared" si="3"/>
        <v>705375.8085072115</v>
      </c>
      <c r="K89" s="210">
        <f>+'Inputs for Evans Tables'!G22</f>
        <v>540922.29</v>
      </c>
      <c r="L89" s="210">
        <f>+'Inputs for Evans Tables'!J22</f>
        <v>4346.935</v>
      </c>
      <c r="M89" s="216">
        <f t="shared" si="4"/>
        <v>160106.58350721147</v>
      </c>
      <c r="O89" s="210"/>
      <c r="P89" s="210"/>
      <c r="R89" s="201"/>
      <c r="T89" s="201"/>
      <c r="V89" s="201"/>
      <c r="X89" s="201"/>
      <c r="Z89" s="201"/>
      <c r="AB89" s="201"/>
      <c r="AD89" s="201"/>
      <c r="AF89" s="201"/>
      <c r="AH89" s="201"/>
      <c r="AJ89" s="201"/>
    </row>
    <row r="90" spans="1:36" ht="12.75">
      <c r="A90" s="194">
        <v>29</v>
      </c>
      <c r="B90" s="203">
        <f t="shared" si="10"/>
        <v>2034</v>
      </c>
      <c r="C90" s="201">
        <f t="shared" si="8"/>
        <v>2897216</v>
      </c>
      <c r="D90" s="201">
        <f t="shared" si="9"/>
        <v>1203172.821931025</v>
      </c>
      <c r="E90" s="201">
        <f>'Inputs for Evans Tables'!M23+$E$148</f>
        <v>809582.7627586055</v>
      </c>
      <c r="F90" s="201">
        <f t="shared" si="1"/>
        <v>231523.75265333333</v>
      </c>
      <c r="G90" s="201">
        <f>'Inputs for Evans Tables'!N23+$G$148+$G$149+$G$150+'Statement D Table 1'!O39</f>
        <v>105097.312</v>
      </c>
      <c r="H90" s="201">
        <f t="shared" si="2"/>
        <v>547839.3506570361</v>
      </c>
      <c r="I90" s="201">
        <f t="shared" si="7"/>
        <v>196334.22060017544</v>
      </c>
      <c r="J90" s="201">
        <f t="shared" si="3"/>
        <v>710049.5712572115</v>
      </c>
      <c r="K90" s="210">
        <f>+'Inputs for Evans Tables'!G23</f>
        <v>549942.987</v>
      </c>
      <c r="L90" s="210">
        <f>+'Inputs for Evans Tables'!J23</f>
        <v>0</v>
      </c>
      <c r="M90" s="216">
        <f t="shared" si="4"/>
        <v>160106.58425721154</v>
      </c>
      <c r="O90" s="210"/>
      <c r="P90" s="210"/>
      <c r="R90" s="201"/>
      <c r="T90" s="201"/>
      <c r="V90" s="201"/>
      <c r="X90" s="201"/>
      <c r="Z90" s="201"/>
      <c r="AB90" s="201"/>
      <c r="AD90" s="201"/>
      <c r="AF90" s="201"/>
      <c r="AH90" s="201"/>
      <c r="AJ90" s="201"/>
    </row>
    <row r="91" spans="1:36" ht="12.75">
      <c r="A91" s="194">
        <v>30</v>
      </c>
      <c r="B91" s="203">
        <f>B90+1</f>
        <v>2035</v>
      </c>
      <c r="C91" s="201">
        <f t="shared" si="8"/>
        <v>2897216</v>
      </c>
      <c r="D91" s="201">
        <f t="shared" si="9"/>
        <v>1203172.821931025</v>
      </c>
      <c r="E91" s="201">
        <f>'Inputs for Evans Tables'!M24+$E$148</f>
        <v>799832.6467586055</v>
      </c>
      <c r="F91" s="201">
        <f t="shared" si="1"/>
        <v>231523.75265333333</v>
      </c>
      <c r="G91" s="201">
        <f>'Inputs for Evans Tables'!N24+$G$148+$G$149+$G$150+'Statement D Table 1'!O40</f>
        <v>88048.77600000001</v>
      </c>
      <c r="H91" s="201">
        <f t="shared" si="2"/>
        <v>574638.0026570361</v>
      </c>
      <c r="I91" s="201">
        <f t="shared" si="7"/>
        <v>196334.22060017544</v>
      </c>
      <c r="J91" s="201">
        <f t="shared" si="3"/>
        <v>736848.2232572115</v>
      </c>
      <c r="K91" s="210">
        <f>+'Inputs for Evans Tables'!G24</f>
        <v>568980.33362</v>
      </c>
      <c r="L91" s="210">
        <f>+'Inputs for Evans Tables'!J24</f>
        <v>7761.305</v>
      </c>
      <c r="M91" s="216">
        <f t="shared" si="4"/>
        <v>160106.58463721146</v>
      </c>
      <c r="O91" s="210"/>
      <c r="P91" s="210"/>
      <c r="R91" s="201"/>
      <c r="T91" s="201"/>
      <c r="V91" s="201"/>
      <c r="X91" s="201"/>
      <c r="Z91" s="201"/>
      <c r="AB91" s="201"/>
      <c r="AD91" s="201"/>
      <c r="AF91" s="201"/>
      <c r="AH91" s="201"/>
      <c r="AJ91" s="201"/>
    </row>
    <row r="92" spans="1:36" ht="12.75">
      <c r="A92" s="194">
        <v>31</v>
      </c>
      <c r="B92" s="203">
        <f t="shared" si="10"/>
        <v>2036</v>
      </c>
      <c r="C92" s="201">
        <f t="shared" si="8"/>
        <v>2897216</v>
      </c>
      <c r="D92" s="201">
        <f t="shared" si="9"/>
        <v>1203172.821931025</v>
      </c>
      <c r="E92" s="201">
        <f>'Inputs for Evans Tables'!M25+$E$148</f>
        <v>770584.7537586055</v>
      </c>
      <c r="F92" s="201">
        <f t="shared" si="1"/>
        <v>231523.75265333333</v>
      </c>
      <c r="G92" s="201">
        <f>'Inputs for Evans Tables'!N25+$G$148+$G$149+$G$150+'Statement D Table 1'!O41</f>
        <v>75781.306</v>
      </c>
      <c r="H92" s="201">
        <f t="shared" si="2"/>
        <v>616153.3656570362</v>
      </c>
      <c r="I92" s="201">
        <f t="shared" si="7"/>
        <v>196334.22060017544</v>
      </c>
      <c r="J92" s="201">
        <f t="shared" si="3"/>
        <v>778363.5862572116</v>
      </c>
      <c r="K92" s="210">
        <f>+'Inputs for Evans Tables'!G25</f>
        <v>589336.55286</v>
      </c>
      <c r="L92" s="210">
        <f>+'Inputs for Evans Tables'!J25</f>
        <v>28920.449</v>
      </c>
      <c r="M92" s="216">
        <f t="shared" si="4"/>
        <v>160106.58439721158</v>
      </c>
      <c r="O92" s="210"/>
      <c r="P92" s="210"/>
      <c r="R92" s="201"/>
      <c r="T92" s="201"/>
      <c r="V92" s="201"/>
      <c r="X92" s="201"/>
      <c r="Z92" s="201"/>
      <c r="AB92" s="201"/>
      <c r="AD92" s="201"/>
      <c r="AF92" s="201"/>
      <c r="AH92" s="201"/>
      <c r="AJ92" s="201"/>
    </row>
    <row r="93" spans="1:36" ht="12.75">
      <c r="A93" s="194">
        <v>32</v>
      </c>
      <c r="B93" s="203">
        <f t="shared" si="10"/>
        <v>2037</v>
      </c>
      <c r="C93" s="201">
        <f t="shared" si="8"/>
        <v>2897216</v>
      </c>
      <c r="D93" s="201">
        <f t="shared" si="9"/>
        <v>1203172.821931025</v>
      </c>
      <c r="E93" s="201">
        <f>'Inputs for Evans Tables'!M26+$E$148</f>
        <v>769942.2275086055</v>
      </c>
      <c r="F93" s="201">
        <f t="shared" si="1"/>
        <v>231523.75265333333</v>
      </c>
      <c r="G93" s="201">
        <f>'Inputs for Evans Tables'!N26+$G$148+$G$149+$G$150+'Statement D Table 1'!O42</f>
        <v>58635.905</v>
      </c>
      <c r="H93" s="201">
        <f t="shared" si="2"/>
        <v>633941.2929070361</v>
      </c>
      <c r="I93" s="201">
        <f t="shared" si="7"/>
        <v>196334.22060017544</v>
      </c>
      <c r="J93" s="201">
        <f t="shared" si="3"/>
        <v>796151.5135072116</v>
      </c>
      <c r="K93" s="210">
        <f>+'Inputs for Evans Tables'!G26</f>
        <v>620267.35186</v>
      </c>
      <c r="L93" s="210">
        <f>+'Inputs for Evans Tables'!J26</f>
        <v>15777.577</v>
      </c>
      <c r="M93" s="216">
        <f t="shared" si="4"/>
        <v>160106.58464721154</v>
      </c>
      <c r="O93" s="210"/>
      <c r="P93" s="210"/>
      <c r="R93" s="201"/>
      <c r="T93" s="201"/>
      <c r="V93" s="201"/>
      <c r="X93" s="201"/>
      <c r="Z93" s="201"/>
      <c r="AB93" s="201"/>
      <c r="AD93" s="201"/>
      <c r="AF93" s="201"/>
      <c r="AH93" s="201"/>
      <c r="AJ93" s="201"/>
    </row>
    <row r="94" spans="1:36" ht="12.75">
      <c r="A94" s="194">
        <v>33</v>
      </c>
      <c r="B94" s="203">
        <f t="shared" si="10"/>
        <v>2038</v>
      </c>
      <c r="C94" s="201">
        <f t="shared" si="8"/>
        <v>2897216</v>
      </c>
      <c r="D94" s="201">
        <f t="shared" si="9"/>
        <v>1203172.821931025</v>
      </c>
      <c r="E94" s="201">
        <f>'Inputs for Evans Tables'!M27+$E$148</f>
        <v>759919.7225086055</v>
      </c>
      <c r="F94" s="201">
        <f t="shared" si="1"/>
        <v>231523.75265333333</v>
      </c>
      <c r="G94" s="201">
        <f>'Inputs for Evans Tables'!N27+$G$148+$G$149+$G$150+'Statement D Table 1'!O43</f>
        <v>39782.956000000006</v>
      </c>
      <c r="H94" s="201">
        <f t="shared" si="2"/>
        <v>662816.7469070362</v>
      </c>
      <c r="I94" s="201">
        <f t="shared" si="7"/>
        <v>196334.22060017544</v>
      </c>
      <c r="J94" s="201">
        <f t="shared" si="3"/>
        <v>825026.9675072116</v>
      </c>
      <c r="K94" s="210">
        <f>+'Inputs for Evans Tables'!G27</f>
        <v>664920.38386</v>
      </c>
      <c r="L94" s="210">
        <f>+'Inputs for Evans Tables'!J27</f>
        <v>0</v>
      </c>
      <c r="M94" s="216">
        <f t="shared" si="4"/>
        <v>160106.58364721166</v>
      </c>
      <c r="O94" s="210"/>
      <c r="P94" s="210"/>
      <c r="R94" s="201"/>
      <c r="T94" s="201"/>
      <c r="V94" s="201"/>
      <c r="X94" s="201"/>
      <c r="Z94" s="201"/>
      <c r="AB94" s="201"/>
      <c r="AD94" s="201"/>
      <c r="AF94" s="201"/>
      <c r="AH94" s="201"/>
      <c r="AJ94" s="201"/>
    </row>
    <row r="95" spans="1:36" ht="12.75">
      <c r="A95" s="194">
        <v>34</v>
      </c>
      <c r="B95" s="203">
        <f t="shared" si="10"/>
        <v>2039</v>
      </c>
      <c r="C95" s="201">
        <f t="shared" si="8"/>
        <v>2897216</v>
      </c>
      <c r="D95" s="201">
        <f t="shared" si="9"/>
        <v>1203172.821931025</v>
      </c>
      <c r="E95" s="201">
        <f>'Inputs for Evans Tables'!M28+$E$148</f>
        <v>727686.4702586054</v>
      </c>
      <c r="F95" s="201">
        <f t="shared" si="1"/>
        <v>231523.75265333333</v>
      </c>
      <c r="G95" s="201">
        <f>'Inputs for Evans Tables'!N28+$G$148+$G$149+$G$150+'Statement D Table 1'!O44</f>
        <v>19003.933000000005</v>
      </c>
      <c r="H95" s="201">
        <f t="shared" si="2"/>
        <v>715829.0221570362</v>
      </c>
      <c r="I95" s="201">
        <f t="shared" si="7"/>
        <v>196334.22060017544</v>
      </c>
      <c r="J95" s="201">
        <f t="shared" si="3"/>
        <v>878039.2427572117</v>
      </c>
      <c r="K95" s="210">
        <f>+'Inputs for Evans Tables'!G28</f>
        <v>703751.22086</v>
      </c>
      <c r="L95" s="210">
        <f>+'Inputs for Evans Tables'!J28</f>
        <v>14181.438</v>
      </c>
      <c r="M95" s="216">
        <f t="shared" si="4"/>
        <v>160106.58389721168</v>
      </c>
      <c r="O95" s="210"/>
      <c r="P95" s="210"/>
      <c r="R95" s="201"/>
      <c r="T95" s="201"/>
      <c r="V95" s="201"/>
      <c r="X95" s="201"/>
      <c r="Z95" s="201"/>
      <c r="AB95" s="201"/>
      <c r="AD95" s="201"/>
      <c r="AF95" s="201"/>
      <c r="AH95" s="201"/>
      <c r="AJ95" s="201"/>
    </row>
    <row r="96" spans="1:36" ht="12.75">
      <c r="A96" s="194">
        <v>35</v>
      </c>
      <c r="B96" s="203">
        <f>B95+1</f>
        <v>2040</v>
      </c>
      <c r="C96" s="201">
        <f t="shared" si="8"/>
        <v>2897216</v>
      </c>
      <c r="D96" s="201">
        <f t="shared" si="9"/>
        <v>1203172.821931025</v>
      </c>
      <c r="E96" s="201">
        <f>'Inputs for Evans Tables'!M29+$E$148</f>
        <v>725377.3597586055</v>
      </c>
      <c r="F96" s="201">
        <f t="shared" si="1"/>
        <v>231523.75265333333</v>
      </c>
      <c r="G96" s="201">
        <f>'Inputs for Evans Tables'!N29+$G$148+$G$149+$G$150+'Statement D Table 1'!O45</f>
        <v>-3400.368999999999</v>
      </c>
      <c r="H96" s="201">
        <f t="shared" si="2"/>
        <v>740542.4346570361</v>
      </c>
      <c r="I96" s="201">
        <f t="shared" si="7"/>
        <v>196334.22060017544</v>
      </c>
      <c r="J96" s="201">
        <f t="shared" si="3"/>
        <v>902752.6552572115</v>
      </c>
      <c r="K96" s="210">
        <f>+'Inputs for Evans Tables'!G29</f>
        <v>742646.07086</v>
      </c>
      <c r="L96" s="210">
        <f>+'Inputs for Evans Tables'!J29</f>
        <v>0</v>
      </c>
      <c r="M96" s="216">
        <f t="shared" si="4"/>
        <v>160106.58439721155</v>
      </c>
      <c r="O96" s="210"/>
      <c r="P96" s="210"/>
      <c r="R96" s="201"/>
      <c r="T96" s="201"/>
      <c r="V96" s="201"/>
      <c r="X96" s="201"/>
      <c r="Z96" s="201"/>
      <c r="AB96" s="201"/>
      <c r="AD96" s="201"/>
      <c r="AF96" s="201"/>
      <c r="AH96" s="201"/>
      <c r="AJ96" s="201"/>
    </row>
    <row r="97" spans="1:36" ht="12.75">
      <c r="A97" s="194">
        <v>36</v>
      </c>
      <c r="B97" s="203">
        <f t="shared" si="10"/>
        <v>2041</v>
      </c>
      <c r="C97" s="201">
        <f t="shared" si="8"/>
        <v>2897216</v>
      </c>
      <c r="D97" s="201">
        <f t="shared" si="9"/>
        <v>1203172.821931025</v>
      </c>
      <c r="E97" s="201">
        <f>'Inputs for Evans Tables'!M30+$E$148</f>
        <v>718444.1037586055</v>
      </c>
      <c r="F97" s="201">
        <f t="shared" si="1"/>
        <v>231523.75265333333</v>
      </c>
      <c r="G97" s="201">
        <f>'Inputs for Evans Tables'!N30+$G$148+$G$149+$G$150+'Statement D Table 1'!O46</f>
        <v>-27368.849000000002</v>
      </c>
      <c r="H97" s="201">
        <f t="shared" si="2"/>
        <v>771444.1706570361</v>
      </c>
      <c r="I97" s="201">
        <f t="shared" si="7"/>
        <v>196334.22060017544</v>
      </c>
      <c r="J97" s="201">
        <f t="shared" si="3"/>
        <v>933654.3912572116</v>
      </c>
      <c r="K97" s="210">
        <f>+'Inputs for Evans Tables'!G30</f>
        <v>773547.80648</v>
      </c>
      <c r="L97" s="210">
        <f>+'Inputs for Evans Tables'!J30</f>
        <v>0</v>
      </c>
      <c r="M97" s="216">
        <f t="shared" si="4"/>
        <v>160106.58477721154</v>
      </c>
      <c r="O97" s="210"/>
      <c r="P97" s="210"/>
      <c r="R97" s="201"/>
      <c r="T97" s="201"/>
      <c r="V97" s="201"/>
      <c r="X97" s="201"/>
      <c r="Z97" s="201"/>
      <c r="AB97" s="201"/>
      <c r="AD97" s="201"/>
      <c r="AF97" s="201"/>
      <c r="AH97" s="201"/>
      <c r="AJ97" s="201"/>
    </row>
    <row r="98" spans="1:36" ht="12.75">
      <c r="A98" s="194">
        <v>37</v>
      </c>
      <c r="B98" s="203">
        <f t="shared" si="10"/>
        <v>2042</v>
      </c>
      <c r="C98" s="201">
        <f t="shared" si="8"/>
        <v>2897216</v>
      </c>
      <c r="D98" s="201">
        <f t="shared" si="9"/>
        <v>1203172.821931025</v>
      </c>
      <c r="E98" s="201">
        <f>'Inputs for Evans Tables'!M31+$E$148</f>
        <v>718443.1807586055</v>
      </c>
      <c r="F98" s="201">
        <f t="shared" si="1"/>
        <v>231523.75265333333</v>
      </c>
      <c r="G98" s="201">
        <f>'Inputs for Evans Tables'!N31+$G$148+$G$149+$G$150+'Statement D Table 1'!O47</f>
        <v>-43011.102</v>
      </c>
      <c r="H98" s="201">
        <f t="shared" si="2"/>
        <v>787087.3466570361</v>
      </c>
      <c r="I98" s="201">
        <f t="shared" si="7"/>
        <v>196334.22060017544</v>
      </c>
      <c r="J98" s="201">
        <f t="shared" si="3"/>
        <v>949297.5672572115</v>
      </c>
      <c r="K98" s="210">
        <f>+'Inputs for Evans Tables'!G31</f>
        <v>367679.24224</v>
      </c>
      <c r="L98" s="210">
        <f>+'Inputs for Evans Tables'!J31</f>
        <v>73659</v>
      </c>
      <c r="M98" s="216">
        <f t="shared" si="4"/>
        <v>507959.3250172115</v>
      </c>
      <c r="O98" s="210"/>
      <c r="P98" s="210"/>
      <c r="R98" s="201"/>
      <c r="T98" s="201"/>
      <c r="V98" s="201"/>
      <c r="X98" s="201"/>
      <c r="Z98" s="201"/>
      <c r="AB98" s="201"/>
      <c r="AD98" s="201"/>
      <c r="AF98" s="201"/>
      <c r="AH98" s="201"/>
      <c r="AJ98" s="201"/>
    </row>
    <row r="99" spans="1:36" ht="12.75">
      <c r="A99" s="194">
        <v>38</v>
      </c>
      <c r="B99" s="203">
        <f t="shared" si="10"/>
        <v>2043</v>
      </c>
      <c r="C99" s="201">
        <f t="shared" si="8"/>
        <v>2897216</v>
      </c>
      <c r="D99" s="201">
        <f t="shared" si="9"/>
        <v>1203172.821931025</v>
      </c>
      <c r="E99" s="201">
        <f>'Inputs for Evans Tables'!M32+$E$148</f>
        <v>718440.8022586055</v>
      </c>
      <c r="F99" s="201">
        <f t="shared" si="1"/>
        <v>231523.75265333333</v>
      </c>
      <c r="G99" s="201">
        <f>'Inputs for Evans Tables'!N32+$G$148+$G$149+$G$150+'Statement D Table 1'!O48</f>
        <v>-46327.82</v>
      </c>
      <c r="H99" s="201">
        <f t="shared" si="2"/>
        <v>790406.4431570361</v>
      </c>
      <c r="I99" s="201">
        <f t="shared" si="7"/>
        <v>196334.22060017544</v>
      </c>
      <c r="J99" s="201">
        <f t="shared" si="3"/>
        <v>952616.6637572115</v>
      </c>
      <c r="K99" s="210">
        <f>+'Inputs for Evans Tables'!G32</f>
        <v>218435.40562</v>
      </c>
      <c r="L99" s="210">
        <f>+'Inputs for Evans Tables'!J32</f>
        <v>0</v>
      </c>
      <c r="M99" s="216">
        <f t="shared" si="4"/>
        <v>734181.2581372116</v>
      </c>
      <c r="O99" s="210"/>
      <c r="P99" s="210"/>
      <c r="R99" s="201"/>
      <c r="T99" s="201"/>
      <c r="V99" s="201"/>
      <c r="X99" s="201"/>
      <c r="Z99" s="201"/>
      <c r="AB99" s="201"/>
      <c r="AD99" s="201"/>
      <c r="AF99" s="201"/>
      <c r="AH99" s="201"/>
      <c r="AJ99" s="201"/>
    </row>
    <row r="100" spans="1:36" ht="12.75">
      <c r="A100" s="194">
        <v>39</v>
      </c>
      <c r="B100" s="203">
        <f t="shared" si="10"/>
        <v>2044</v>
      </c>
      <c r="C100" s="201">
        <f t="shared" si="8"/>
        <v>2897216</v>
      </c>
      <c r="D100" s="201">
        <f t="shared" si="9"/>
        <v>1203172.821931025</v>
      </c>
      <c r="E100" s="201">
        <f>'Inputs for Evans Tables'!M33+$E$148</f>
        <v>836739.4745086054</v>
      </c>
      <c r="F100" s="201">
        <f t="shared" si="1"/>
        <v>231523.75265333333</v>
      </c>
      <c r="G100" s="201">
        <f>'Inputs for Evans Tables'!N33+$G$148+$G$149+$G$150+'Statement D Table 1'!O49</f>
        <v>-45935.659</v>
      </c>
      <c r="H100" s="201">
        <f t="shared" si="2"/>
        <v>671715.6099070362</v>
      </c>
      <c r="I100" s="201">
        <f t="shared" si="7"/>
        <v>196334.22060017544</v>
      </c>
      <c r="J100" s="201">
        <f t="shared" si="3"/>
        <v>833925.8305072116</v>
      </c>
      <c r="K100" s="210">
        <f>+'Inputs for Evans Tables'!G33</f>
        <v>218435.40562</v>
      </c>
      <c r="L100" s="210">
        <f>+'Inputs for Evans Tables'!J33</f>
        <v>0</v>
      </c>
      <c r="M100" s="216">
        <f t="shared" si="4"/>
        <v>615490.4248872116</v>
      </c>
      <c r="O100" s="210"/>
      <c r="P100" s="210"/>
      <c r="R100" s="201"/>
      <c r="T100" s="201"/>
      <c r="V100" s="201"/>
      <c r="X100" s="201"/>
      <c r="Z100" s="201"/>
      <c r="AB100" s="201"/>
      <c r="AD100" s="201"/>
      <c r="AF100" s="201"/>
      <c r="AH100" s="201"/>
      <c r="AJ100" s="201"/>
    </row>
    <row r="101" spans="1:36" ht="12.75">
      <c r="A101" s="194">
        <v>40</v>
      </c>
      <c r="B101" s="203">
        <f>B100+1</f>
        <v>2045</v>
      </c>
      <c r="C101" s="201">
        <f t="shared" si="8"/>
        <v>2897216</v>
      </c>
      <c r="D101" s="201">
        <f t="shared" si="9"/>
        <v>1203172.821931025</v>
      </c>
      <c r="E101" s="201">
        <f>'Inputs for Evans Tables'!M34+$E$148</f>
        <v>1188787.3195086056</v>
      </c>
      <c r="F101" s="201">
        <f t="shared" si="1"/>
        <v>231523.75265333333</v>
      </c>
      <c r="G101" s="201">
        <f>'Inputs for Evans Tables'!N34+$G$148+$G$149+$G$150+'Statement D Table 1'!O50</f>
        <v>-44768.621</v>
      </c>
      <c r="H101" s="201">
        <f t="shared" si="2"/>
        <v>318500.726907036</v>
      </c>
      <c r="I101" s="201">
        <f t="shared" si="7"/>
        <v>196334.22060017544</v>
      </c>
      <c r="J101" s="201">
        <f t="shared" si="3"/>
        <v>480710.9475072114</v>
      </c>
      <c r="K101" s="210">
        <f>+'Inputs for Evans Tables'!G34</f>
        <v>218435.40562</v>
      </c>
      <c r="L101" s="210">
        <f>+'Inputs for Evans Tables'!J34</f>
        <v>11578.995</v>
      </c>
      <c r="M101" s="216">
        <f t="shared" si="4"/>
        <v>250696.54688721139</v>
      </c>
      <c r="O101" s="210"/>
      <c r="P101" s="210"/>
      <c r="R101" s="201"/>
      <c r="T101" s="201"/>
      <c r="V101" s="201"/>
      <c r="X101" s="201"/>
      <c r="Z101" s="201"/>
      <c r="AB101" s="201"/>
      <c r="AD101" s="201"/>
      <c r="AF101" s="201"/>
      <c r="AH101" s="201"/>
      <c r="AJ101" s="201"/>
    </row>
    <row r="102" spans="1:36" ht="12.75">
      <c r="A102" s="194">
        <v>41</v>
      </c>
      <c r="B102" s="203">
        <f t="shared" si="10"/>
        <v>2046</v>
      </c>
      <c r="C102" s="201">
        <f t="shared" si="8"/>
        <v>2897216</v>
      </c>
      <c r="D102" s="201">
        <f t="shared" si="9"/>
        <v>1203172.821931025</v>
      </c>
      <c r="E102" s="201">
        <f>'Inputs for Evans Tables'!M35+$E$148</f>
        <v>1188786.3895086055</v>
      </c>
      <c r="F102" s="201">
        <f t="shared" si="1"/>
        <v>231523.75265333333</v>
      </c>
      <c r="G102" s="201">
        <f>'Inputs for Evans Tables'!N35+$G$148+$G$149+$G$150+'Statement D Table 1'!O51</f>
        <v>-44768.623999999996</v>
      </c>
      <c r="H102" s="201">
        <f t="shared" si="2"/>
        <v>318501.65990703617</v>
      </c>
      <c r="I102" s="201">
        <f t="shared" si="7"/>
        <v>196334.22060017544</v>
      </c>
      <c r="J102" s="201">
        <f t="shared" si="3"/>
        <v>480711.8805072116</v>
      </c>
      <c r="K102" s="210">
        <f>+'Inputs for Evans Tables'!G35</f>
        <v>218435.40562</v>
      </c>
      <c r="L102" s="210">
        <f>+'Inputs for Evans Tables'!J35</f>
        <v>0</v>
      </c>
      <c r="M102" s="216">
        <f t="shared" si="4"/>
        <v>262276.4748872116</v>
      </c>
      <c r="O102" s="210"/>
      <c r="P102" s="210"/>
      <c r="R102" s="201"/>
      <c r="T102" s="201"/>
      <c r="V102" s="201"/>
      <c r="X102" s="201"/>
      <c r="Z102" s="201"/>
      <c r="AB102" s="201"/>
      <c r="AD102" s="201"/>
      <c r="AF102" s="201"/>
      <c r="AH102" s="201"/>
      <c r="AJ102" s="201"/>
    </row>
    <row r="103" spans="1:36" ht="12.75">
      <c r="A103" s="194">
        <v>42</v>
      </c>
      <c r="B103" s="203">
        <f t="shared" si="10"/>
        <v>2047</v>
      </c>
      <c r="C103" s="201">
        <f t="shared" si="8"/>
        <v>2897216</v>
      </c>
      <c r="D103" s="201">
        <f t="shared" si="9"/>
        <v>1203172.821931025</v>
      </c>
      <c r="E103" s="201">
        <f>'Inputs for Evans Tables'!M36+$E$148</f>
        <v>1188788.5320086055</v>
      </c>
      <c r="F103" s="201">
        <f t="shared" si="1"/>
        <v>231523.75265333333</v>
      </c>
      <c r="G103" s="201">
        <f>'Inputs for Evans Tables'!N36+$G$148+$G$149+$G$150+'Statement D Table 1'!O52</f>
        <v>-44768.617</v>
      </c>
      <c r="H103" s="201">
        <f t="shared" si="2"/>
        <v>318499.51040703605</v>
      </c>
      <c r="I103" s="201">
        <f t="shared" si="7"/>
        <v>196334.22060017544</v>
      </c>
      <c r="J103" s="201">
        <f t="shared" si="3"/>
        <v>480709.7310072115</v>
      </c>
      <c r="K103" s="210">
        <f>+'Inputs for Evans Tables'!G36</f>
        <v>218435.40562</v>
      </c>
      <c r="L103" s="210">
        <f>+'Inputs for Evans Tables'!J36</f>
        <v>0</v>
      </c>
      <c r="M103" s="216">
        <f t="shared" si="4"/>
        <v>262274.3253872115</v>
      </c>
      <c r="O103" s="210"/>
      <c r="P103" s="210"/>
      <c r="R103" s="201"/>
      <c r="T103" s="201"/>
      <c r="V103" s="201"/>
      <c r="X103" s="201"/>
      <c r="Z103" s="201"/>
      <c r="AB103" s="201"/>
      <c r="AD103" s="201"/>
      <c r="AF103" s="201"/>
      <c r="AH103" s="201"/>
      <c r="AJ103" s="201"/>
    </row>
    <row r="104" spans="1:36" ht="12.75">
      <c r="A104" s="194">
        <v>43</v>
      </c>
      <c r="B104" s="203">
        <f t="shared" si="10"/>
        <v>2048</v>
      </c>
      <c r="C104" s="201">
        <f t="shared" si="8"/>
        <v>2897216</v>
      </c>
      <c r="D104" s="201">
        <f t="shared" si="9"/>
        <v>1203172.821931025</v>
      </c>
      <c r="E104" s="201">
        <f>'Inputs for Evans Tables'!M37+$E$148</f>
        <v>1188786.3670086055</v>
      </c>
      <c r="F104" s="201">
        <f t="shared" si="1"/>
        <v>231523.75265333333</v>
      </c>
      <c r="G104" s="201">
        <f>'Inputs for Evans Tables'!N37+$G$148+$G$149+$G$150+'Statement D Table 1'!O53</f>
        <v>-44768.623999999996</v>
      </c>
      <c r="H104" s="201">
        <f t="shared" si="2"/>
        <v>318501.68240703613</v>
      </c>
      <c r="I104" s="201">
        <f t="shared" si="7"/>
        <v>196334.22060017544</v>
      </c>
      <c r="J104" s="201">
        <f t="shared" si="3"/>
        <v>480711.9030072116</v>
      </c>
      <c r="K104" s="210">
        <f>+'Inputs for Evans Tables'!G37</f>
        <v>218435.40562</v>
      </c>
      <c r="L104" s="210">
        <f>+'Inputs for Evans Tables'!J37</f>
        <v>0</v>
      </c>
      <c r="M104" s="216">
        <f t="shared" si="4"/>
        <v>262276.49738721154</v>
      </c>
      <c r="O104" s="210"/>
      <c r="P104" s="210"/>
      <c r="R104" s="201"/>
      <c r="T104" s="201"/>
      <c r="V104" s="201"/>
      <c r="X104" s="201"/>
      <c r="Z104" s="201"/>
      <c r="AB104" s="201"/>
      <c r="AD104" s="201"/>
      <c r="AF104" s="201"/>
      <c r="AH104" s="201"/>
      <c r="AJ104" s="201"/>
    </row>
    <row r="105" spans="1:36" ht="12.75">
      <c r="A105" s="194">
        <v>44</v>
      </c>
      <c r="B105" s="203">
        <f t="shared" si="10"/>
        <v>2049</v>
      </c>
      <c r="C105" s="201">
        <f t="shared" si="8"/>
        <v>2897216</v>
      </c>
      <c r="D105" s="201">
        <f t="shared" si="9"/>
        <v>1203172.821931025</v>
      </c>
      <c r="E105" s="201">
        <f>'Inputs for Evans Tables'!M38+$E$148</f>
        <v>1188787.1520086054</v>
      </c>
      <c r="F105" s="201">
        <f t="shared" si="1"/>
        <v>231523.75265333333</v>
      </c>
      <c r="G105" s="201">
        <f>'Inputs for Evans Tables'!N38+$G$148+$G$149+$G$150+'Statement D Table 1'!O54</f>
        <v>-44768.621</v>
      </c>
      <c r="H105" s="201">
        <f t="shared" si="2"/>
        <v>318500.8944070362</v>
      </c>
      <c r="I105" s="201">
        <f t="shared" si="7"/>
        <v>196334.22060017544</v>
      </c>
      <c r="J105" s="201">
        <f t="shared" si="3"/>
        <v>480711.1150072116</v>
      </c>
      <c r="K105" s="210">
        <f>+'Inputs for Evans Tables'!G38</f>
        <v>218435.40562</v>
      </c>
      <c r="L105" s="210">
        <f>+'Inputs for Evans Tables'!J38</f>
        <v>0</v>
      </c>
      <c r="M105" s="216">
        <f t="shared" si="4"/>
        <v>262275.7093872116</v>
      </c>
      <c r="O105" s="210"/>
      <c r="P105" s="210"/>
      <c r="R105" s="201"/>
      <c r="T105" s="201"/>
      <c r="V105" s="201"/>
      <c r="X105" s="201"/>
      <c r="Z105" s="201"/>
      <c r="AB105" s="201"/>
      <c r="AD105" s="201"/>
      <c r="AF105" s="201"/>
      <c r="AH105" s="201"/>
      <c r="AJ105" s="201"/>
    </row>
    <row r="106" spans="1:36" ht="12.75">
      <c r="A106" s="194">
        <v>45</v>
      </c>
      <c r="B106" s="203">
        <f>B105+1</f>
        <v>2050</v>
      </c>
      <c r="C106" s="201">
        <f t="shared" si="8"/>
        <v>2897216</v>
      </c>
      <c r="D106" s="201">
        <f t="shared" si="9"/>
        <v>1203172.821931025</v>
      </c>
      <c r="E106" s="201">
        <f>'Inputs for Evans Tables'!M39+$E$148</f>
        <v>1188786.9120086054</v>
      </c>
      <c r="F106" s="201">
        <f t="shared" si="1"/>
        <v>231523.75265333333</v>
      </c>
      <c r="G106" s="201">
        <f>'Inputs for Evans Tables'!N39+$G$148+$G$149+$G$150+'Statement D Table 1'!O55</f>
        <v>-44768.622</v>
      </c>
      <c r="H106" s="201">
        <f t="shared" si="2"/>
        <v>318501.13540703617</v>
      </c>
      <c r="I106" s="201">
        <f t="shared" si="7"/>
        <v>196334.22060017544</v>
      </c>
      <c r="J106" s="201">
        <f t="shared" si="3"/>
        <v>480711.3560072116</v>
      </c>
      <c r="K106" s="210">
        <f>+'Inputs for Evans Tables'!G39</f>
        <v>218435.40562</v>
      </c>
      <c r="L106" s="210">
        <f>+'Inputs for Evans Tables'!J39</f>
        <v>0</v>
      </c>
      <c r="M106" s="216">
        <f t="shared" si="4"/>
        <v>262275.95038721163</v>
      </c>
      <c r="O106" s="210"/>
      <c r="P106" s="210"/>
      <c r="R106" s="201"/>
      <c r="T106" s="201"/>
      <c r="V106" s="201"/>
      <c r="X106" s="201"/>
      <c r="Z106" s="201"/>
      <c r="AB106" s="201"/>
      <c r="AD106" s="201"/>
      <c r="AF106" s="201"/>
      <c r="AH106" s="201"/>
      <c r="AJ106" s="201"/>
    </row>
    <row r="107" spans="1:36" ht="12.75">
      <c r="A107" s="194">
        <v>46</v>
      </c>
      <c r="B107" s="203">
        <f t="shared" si="10"/>
        <v>2051</v>
      </c>
      <c r="C107" s="201">
        <f t="shared" si="8"/>
        <v>2897216</v>
      </c>
      <c r="D107" s="201">
        <f t="shared" si="9"/>
        <v>1203172.821931025</v>
      </c>
      <c r="E107" s="201">
        <f>'Inputs for Evans Tables'!M40+$E$148</f>
        <v>1188786.0195086054</v>
      </c>
      <c r="F107" s="201">
        <f t="shared" si="1"/>
        <v>231523.75265333333</v>
      </c>
      <c r="G107" s="201">
        <f>'Inputs for Evans Tables'!N40+$G$148+$G$149+$G$150+'Statement D Table 1'!O56</f>
        <v>-44768.625</v>
      </c>
      <c r="H107" s="201">
        <f t="shared" si="2"/>
        <v>318502.0309070363</v>
      </c>
      <c r="I107" s="201">
        <f t="shared" si="7"/>
        <v>196334.22060017544</v>
      </c>
      <c r="J107" s="201">
        <f t="shared" si="3"/>
        <v>480712.2515072117</v>
      </c>
      <c r="K107" s="210">
        <f>+'Inputs for Evans Tables'!G40</f>
        <v>218435.40562</v>
      </c>
      <c r="L107" s="210">
        <f>+'Inputs for Evans Tables'!J40</f>
        <v>0</v>
      </c>
      <c r="M107" s="216">
        <f>J107-K108-L107</f>
        <v>262276.84588721173</v>
      </c>
      <c r="O107" s="210"/>
      <c r="P107" s="210"/>
      <c r="R107" s="201"/>
      <c r="T107" s="201"/>
      <c r="V107" s="201"/>
      <c r="X107" s="201"/>
      <c r="Z107" s="201"/>
      <c r="AB107" s="201"/>
      <c r="AD107" s="201"/>
      <c r="AF107" s="201"/>
      <c r="AH107" s="201"/>
      <c r="AJ107" s="201"/>
    </row>
    <row r="108" spans="1:36" ht="12.75">
      <c r="A108" s="194">
        <v>47</v>
      </c>
      <c r="B108" s="203">
        <f t="shared" si="10"/>
        <v>2052</v>
      </c>
      <c r="C108" s="201">
        <f t="shared" si="8"/>
        <v>2897216</v>
      </c>
      <c r="D108" s="201">
        <f t="shared" si="9"/>
        <v>1203172.821931025</v>
      </c>
      <c r="E108" s="201">
        <f>'Inputs for Evans Tables'!M41+$E$148</f>
        <v>1188786.4045086056</v>
      </c>
      <c r="F108" s="201">
        <f aca="true" t="shared" si="11" ref="F108:F125">+$F$73</f>
        <v>231523.75265333333</v>
      </c>
      <c r="G108" s="201">
        <f>'Inputs for Evans Tables'!N41+$G$148+$G$149+$G$150+'Statement D Table 1'!O57</f>
        <v>-44768.623999999996</v>
      </c>
      <c r="H108" s="201">
        <f aca="true" t="shared" si="12" ref="H108:H125">C108-D108-E108-F108-G108</f>
        <v>318501.64490703604</v>
      </c>
      <c r="I108" s="201">
        <f aca="true" t="shared" si="13" ref="I108:I125">F108+$G$150+$G$151</f>
        <v>196334.22060017544</v>
      </c>
      <c r="J108" s="201">
        <f aca="true" t="shared" si="14" ref="J108:J125">H108+I108-3524-30600</f>
        <v>480711.8655072115</v>
      </c>
      <c r="K108" s="210">
        <f>+'Inputs for Evans Tables'!G41</f>
        <v>218435.40562</v>
      </c>
      <c r="L108" s="210">
        <f>+'Inputs for Evans Tables'!J41</f>
        <v>0</v>
      </c>
      <c r="M108" s="216">
        <f>J108-K109-L108</f>
        <v>262276.45988721144</v>
      </c>
      <c r="O108" s="210"/>
      <c r="P108" s="210"/>
      <c r="R108" s="201"/>
      <c r="T108" s="201"/>
      <c r="V108" s="201"/>
      <c r="X108" s="201"/>
      <c r="Z108" s="201"/>
      <c r="AB108" s="201"/>
      <c r="AD108" s="201"/>
      <c r="AF108" s="201"/>
      <c r="AH108" s="201"/>
      <c r="AJ108" s="201"/>
    </row>
    <row r="109" spans="1:36" ht="12.75">
      <c r="A109" s="194">
        <v>48</v>
      </c>
      <c r="B109" s="203">
        <f t="shared" si="10"/>
        <v>2053</v>
      </c>
      <c r="C109" s="201">
        <f t="shared" si="8"/>
        <v>2897216</v>
      </c>
      <c r="D109" s="201">
        <f t="shared" si="9"/>
        <v>1203172.821931025</v>
      </c>
      <c r="E109" s="201">
        <f>'Inputs for Evans Tables'!M42+$E$148</f>
        <v>1188786.4095086055</v>
      </c>
      <c r="F109" s="201">
        <f t="shared" si="11"/>
        <v>231523.75265333333</v>
      </c>
      <c r="G109" s="201">
        <f>'Inputs for Evans Tables'!N42+$G$148+$G$149+$G$150+'Statement D Table 1'!O58</f>
        <v>-44768.623999999996</v>
      </c>
      <c r="H109" s="201">
        <f t="shared" si="12"/>
        <v>318501.63990703615</v>
      </c>
      <c r="I109" s="201">
        <f t="shared" si="13"/>
        <v>196334.22060017544</v>
      </c>
      <c r="J109" s="201">
        <f t="shared" si="14"/>
        <v>480711.8605072116</v>
      </c>
      <c r="K109" s="210">
        <f>+'Inputs for Evans Tables'!G42</f>
        <v>218435.40562</v>
      </c>
      <c r="L109" s="210">
        <f>+'Inputs for Evans Tables'!J42</f>
        <v>0</v>
      </c>
      <c r="M109" s="216">
        <f aca="true" t="shared" si="15" ref="M109:M125">J109-K109-L109</f>
        <v>262276.45488721156</v>
      </c>
      <c r="O109" s="210"/>
      <c r="P109" s="210"/>
      <c r="R109" s="201"/>
      <c r="T109" s="201"/>
      <c r="V109" s="201"/>
      <c r="X109" s="201"/>
      <c r="Z109" s="201"/>
      <c r="AB109" s="201"/>
      <c r="AD109" s="201"/>
      <c r="AF109" s="201"/>
      <c r="AH109" s="201"/>
      <c r="AJ109" s="201"/>
    </row>
    <row r="110" spans="1:36" ht="12.75">
      <c r="A110" s="194">
        <v>49</v>
      </c>
      <c r="B110" s="203">
        <f t="shared" si="10"/>
        <v>2054</v>
      </c>
      <c r="C110" s="201">
        <f t="shared" si="8"/>
        <v>2897216</v>
      </c>
      <c r="D110" s="201">
        <f t="shared" si="9"/>
        <v>1203172.821931025</v>
      </c>
      <c r="E110" s="201">
        <f>'Inputs for Evans Tables'!M43+$E$148</f>
        <v>1188787.1845086054</v>
      </c>
      <c r="F110" s="201">
        <f t="shared" si="11"/>
        <v>231523.75265333333</v>
      </c>
      <c r="G110" s="201">
        <f>'Inputs for Evans Tables'!N43+$G$148+$G$149+$G$150+'Statement D Table 1'!O59</f>
        <v>-44768.621</v>
      </c>
      <c r="H110" s="201">
        <f t="shared" si="12"/>
        <v>318500.8619070362</v>
      </c>
      <c r="I110" s="201">
        <f t="shared" si="13"/>
        <v>196334.22060017544</v>
      </c>
      <c r="J110" s="201">
        <f t="shared" si="14"/>
        <v>480711.08250721166</v>
      </c>
      <c r="K110" s="210">
        <f>+'Inputs for Evans Tables'!G43</f>
        <v>218435.40562</v>
      </c>
      <c r="L110" s="210">
        <f>+'Inputs for Evans Tables'!J43</f>
        <v>0</v>
      </c>
      <c r="M110" s="216">
        <f t="shared" si="15"/>
        <v>262275.6768872116</v>
      </c>
      <c r="O110" s="210"/>
      <c r="P110" s="210"/>
      <c r="R110" s="201"/>
      <c r="T110" s="201"/>
      <c r="V110" s="201"/>
      <c r="X110" s="201"/>
      <c r="Z110" s="201"/>
      <c r="AB110" s="201"/>
      <c r="AD110" s="201"/>
      <c r="AF110" s="201"/>
      <c r="AH110" s="201"/>
      <c r="AJ110" s="201"/>
    </row>
    <row r="111" spans="1:36" ht="12.75">
      <c r="A111" s="194">
        <v>50</v>
      </c>
      <c r="B111" s="203">
        <f>B110+1</f>
        <v>2055</v>
      </c>
      <c r="C111" s="201">
        <f t="shared" si="8"/>
        <v>2897216</v>
      </c>
      <c r="D111" s="201">
        <f t="shared" si="9"/>
        <v>1203172.821931025</v>
      </c>
      <c r="E111" s="201">
        <f>'Inputs for Evans Tables'!M44+$E$148</f>
        <v>1188787.4695086055</v>
      </c>
      <c r="F111" s="201">
        <f t="shared" si="11"/>
        <v>231523.75265333333</v>
      </c>
      <c r="G111" s="201">
        <f>'Inputs for Evans Tables'!N44+$G$148+$G$149+$G$150+'Statement D Table 1'!O60</f>
        <v>-44768.619999999995</v>
      </c>
      <c r="H111" s="201">
        <f t="shared" si="12"/>
        <v>318500.5759070361</v>
      </c>
      <c r="I111" s="201">
        <f t="shared" si="13"/>
        <v>196334.22060017544</v>
      </c>
      <c r="J111" s="201">
        <f t="shared" si="14"/>
        <v>480710.7965072115</v>
      </c>
      <c r="K111" s="210">
        <f>+'Inputs for Evans Tables'!G44</f>
        <v>218435.40562</v>
      </c>
      <c r="L111" s="210">
        <f>+'Inputs for Evans Tables'!J44</f>
        <v>0</v>
      </c>
      <c r="M111" s="216">
        <f t="shared" si="15"/>
        <v>262275.39088721154</v>
      </c>
      <c r="O111" s="210"/>
      <c r="P111" s="210"/>
      <c r="R111" s="201"/>
      <c r="T111" s="201"/>
      <c r="V111" s="201"/>
      <c r="X111" s="201"/>
      <c r="Z111" s="201"/>
      <c r="AB111" s="201"/>
      <c r="AD111" s="201"/>
      <c r="AF111" s="201"/>
      <c r="AH111" s="201"/>
      <c r="AJ111" s="201"/>
    </row>
    <row r="112" spans="1:36" ht="12.75">
      <c r="A112" s="194">
        <v>51</v>
      </c>
      <c r="B112" s="203">
        <f t="shared" si="10"/>
        <v>2056</v>
      </c>
      <c r="C112" s="201">
        <f t="shared" si="8"/>
        <v>2897216</v>
      </c>
      <c r="D112" s="201">
        <f t="shared" si="9"/>
        <v>1203172.821931025</v>
      </c>
      <c r="E112" s="201">
        <f>'Inputs for Evans Tables'!M45+$E$148</f>
        <v>1188784.9170086056</v>
      </c>
      <c r="F112" s="201">
        <f t="shared" si="11"/>
        <v>231523.75265333333</v>
      </c>
      <c r="G112" s="201">
        <f>'Inputs for Evans Tables'!N45+$G$148+$G$149+$G$150+'Statement D Table 1'!O61</f>
        <v>-44768.629</v>
      </c>
      <c r="H112" s="201">
        <f t="shared" si="12"/>
        <v>318503.1374070361</v>
      </c>
      <c r="I112" s="201">
        <f t="shared" si="13"/>
        <v>196334.22060017544</v>
      </c>
      <c r="J112" s="201">
        <f t="shared" si="14"/>
        <v>480713.35800721153</v>
      </c>
      <c r="K112" s="210">
        <f>+'Inputs for Evans Tables'!G45</f>
        <v>218435.40562</v>
      </c>
      <c r="L112" s="210">
        <f>+'Inputs for Evans Tables'!J45</f>
        <v>0</v>
      </c>
      <c r="M112" s="216">
        <f t="shared" si="15"/>
        <v>262277.9523872115</v>
      </c>
      <c r="O112" s="210"/>
      <c r="P112" s="210"/>
      <c r="R112" s="201"/>
      <c r="T112" s="201"/>
      <c r="V112" s="201"/>
      <c r="X112" s="201"/>
      <c r="Z112" s="201"/>
      <c r="AB112" s="201"/>
      <c r="AD112" s="201"/>
      <c r="AF112" s="201"/>
      <c r="AH112" s="201"/>
      <c r="AJ112" s="201"/>
    </row>
    <row r="113" spans="1:36" ht="12.75">
      <c r="A113" s="194">
        <v>52</v>
      </c>
      <c r="B113" s="203">
        <f t="shared" si="10"/>
        <v>2057</v>
      </c>
      <c r="C113" s="201">
        <f t="shared" si="8"/>
        <v>2897216</v>
      </c>
      <c r="D113" s="201">
        <f t="shared" si="9"/>
        <v>1203172.821931025</v>
      </c>
      <c r="E113" s="201">
        <f>'Inputs for Evans Tables'!M46+$E$148</f>
        <v>1188784.8420086056</v>
      </c>
      <c r="F113" s="201">
        <f t="shared" si="11"/>
        <v>231523.75265333333</v>
      </c>
      <c r="G113" s="201">
        <f>'Inputs for Evans Tables'!N46+$G$148+$G$149+$G$150+'Statement D Table 1'!O62</f>
        <v>-44768.629</v>
      </c>
      <c r="H113" s="201">
        <f t="shared" si="12"/>
        <v>318503.21240703604</v>
      </c>
      <c r="I113" s="201">
        <f t="shared" si="13"/>
        <v>196334.22060017544</v>
      </c>
      <c r="J113" s="201">
        <f t="shared" si="14"/>
        <v>480713.4330072115</v>
      </c>
      <c r="K113" s="210">
        <f>+'Inputs for Evans Tables'!G46</f>
        <v>218435.40562</v>
      </c>
      <c r="L113" s="210">
        <f>+'Inputs for Evans Tables'!J46</f>
        <v>0</v>
      </c>
      <c r="M113" s="216">
        <f t="shared" si="15"/>
        <v>262278.02738721145</v>
      </c>
      <c r="O113" s="210"/>
      <c r="P113" s="210"/>
      <c r="R113" s="201"/>
      <c r="T113" s="201"/>
      <c r="V113" s="201"/>
      <c r="X113" s="201"/>
      <c r="Z113" s="201"/>
      <c r="AB113" s="201"/>
      <c r="AD113" s="201"/>
      <c r="AF113" s="201"/>
      <c r="AH113" s="201"/>
      <c r="AJ113" s="201"/>
    </row>
    <row r="114" spans="1:36" ht="12.75">
      <c r="A114" s="194">
        <v>53</v>
      </c>
      <c r="B114" s="203">
        <f t="shared" si="10"/>
        <v>2058</v>
      </c>
      <c r="C114" s="201">
        <f t="shared" si="8"/>
        <v>2897216</v>
      </c>
      <c r="D114" s="201">
        <f t="shared" si="9"/>
        <v>1203172.821931025</v>
      </c>
      <c r="E114" s="201">
        <f>'Inputs for Evans Tables'!M47+$E$148</f>
        <v>1188785.9645086054</v>
      </c>
      <c r="F114" s="201">
        <f t="shared" si="11"/>
        <v>231523.75265333333</v>
      </c>
      <c r="G114" s="201">
        <f>'Inputs for Evans Tables'!N47+$G$148+$G$149+$G$150+'Statement D Table 1'!O63</f>
        <v>-44768.625</v>
      </c>
      <c r="H114" s="201">
        <f t="shared" si="12"/>
        <v>318502.0859070362</v>
      </c>
      <c r="I114" s="201">
        <f t="shared" si="13"/>
        <v>196334.22060017544</v>
      </c>
      <c r="J114" s="201">
        <f t="shared" si="14"/>
        <v>480712.30650721164</v>
      </c>
      <c r="K114" s="210">
        <f>+'Inputs for Evans Tables'!G47</f>
        <v>277651.12362</v>
      </c>
      <c r="L114" s="210">
        <f>+'Inputs for Evans Tables'!J47</f>
        <v>0</v>
      </c>
      <c r="M114" s="216">
        <f t="shared" si="15"/>
        <v>203061.18288721162</v>
      </c>
      <c r="O114" s="210"/>
      <c r="P114" s="210"/>
      <c r="R114" s="201"/>
      <c r="T114" s="201"/>
      <c r="V114" s="201"/>
      <c r="X114" s="201"/>
      <c r="Z114" s="201"/>
      <c r="AB114" s="201"/>
      <c r="AD114" s="201"/>
      <c r="AF114" s="201"/>
      <c r="AH114" s="201"/>
      <c r="AJ114" s="201"/>
    </row>
    <row r="115" spans="1:36" ht="12.75">
      <c r="A115" s="194">
        <v>54</v>
      </c>
      <c r="B115" s="203">
        <f t="shared" si="10"/>
        <v>2059</v>
      </c>
      <c r="C115" s="201">
        <f t="shared" si="8"/>
        <v>2897216</v>
      </c>
      <c r="D115" s="201">
        <f t="shared" si="9"/>
        <v>1203172.821931025</v>
      </c>
      <c r="E115" s="201">
        <f>'Inputs for Evans Tables'!M48+$E$148</f>
        <v>1188789.4495086055</v>
      </c>
      <c r="F115" s="201">
        <f t="shared" si="11"/>
        <v>231523.75265333333</v>
      </c>
      <c r="G115" s="201">
        <f>'Inputs for Evans Tables'!N48+$G$148+$G$149+$G$150+'Statement D Table 1'!O64</f>
        <v>-47655.38</v>
      </c>
      <c r="H115" s="201">
        <f t="shared" si="12"/>
        <v>321385.3559070361</v>
      </c>
      <c r="I115" s="201">
        <f t="shared" si="13"/>
        <v>196334.22060017544</v>
      </c>
      <c r="J115" s="201">
        <f t="shared" si="14"/>
        <v>483595.57650721155</v>
      </c>
      <c r="K115" s="210">
        <f>+'Inputs for Evans Tables'!G48</f>
        <v>221453.82262</v>
      </c>
      <c r="L115" s="210">
        <f>+'Inputs for Evans Tables'!J48</f>
        <v>0</v>
      </c>
      <c r="M115" s="216">
        <f t="shared" si="15"/>
        <v>262141.75388721155</v>
      </c>
      <c r="O115" s="210"/>
      <c r="P115" s="210"/>
      <c r="R115" s="201"/>
      <c r="T115" s="201"/>
      <c r="V115" s="201"/>
      <c r="X115" s="201"/>
      <c r="Z115" s="201"/>
      <c r="AB115" s="201"/>
      <c r="AD115" s="201"/>
      <c r="AF115" s="201"/>
      <c r="AH115" s="201"/>
      <c r="AJ115" s="201"/>
    </row>
    <row r="116" spans="1:36" ht="12.75">
      <c r="A116" s="194">
        <v>55</v>
      </c>
      <c r="B116" s="203">
        <f>B115+1</f>
        <v>2060</v>
      </c>
      <c r="C116" s="201">
        <f t="shared" si="8"/>
        <v>2897216</v>
      </c>
      <c r="D116" s="201">
        <f t="shared" si="9"/>
        <v>1203172.821931025</v>
      </c>
      <c r="E116" s="201">
        <f>'Inputs for Evans Tables'!M49+$E$148</f>
        <v>1188788.6895086055</v>
      </c>
      <c r="F116" s="201">
        <f t="shared" si="11"/>
        <v>231523.75265333333</v>
      </c>
      <c r="G116" s="201">
        <f>'Inputs for Evans Tables'!N49+$G$148+$G$149+$G$150+'Statement D Table 1'!O65</f>
        <v>-47787.437999999995</v>
      </c>
      <c r="H116" s="201">
        <f t="shared" si="12"/>
        <v>321518.1739070361</v>
      </c>
      <c r="I116" s="201">
        <f t="shared" si="13"/>
        <v>196334.22060017544</v>
      </c>
      <c r="J116" s="201">
        <f t="shared" si="14"/>
        <v>483728.3945072115</v>
      </c>
      <c r="K116" s="210">
        <f>+'Inputs for Evans Tables'!G49</f>
        <v>218435.40562</v>
      </c>
      <c r="L116" s="210">
        <f>+'Inputs for Evans Tables'!J49</f>
        <v>0</v>
      </c>
      <c r="M116" s="216">
        <f t="shared" si="15"/>
        <v>265292.98888721154</v>
      </c>
      <c r="O116" s="210"/>
      <c r="P116" s="210"/>
      <c r="R116" s="201"/>
      <c r="T116" s="201"/>
      <c r="V116" s="201"/>
      <c r="X116" s="201"/>
      <c r="Z116" s="201"/>
      <c r="AB116" s="201"/>
      <c r="AD116" s="201"/>
      <c r="AF116" s="201"/>
      <c r="AH116" s="201"/>
      <c r="AJ116" s="201"/>
    </row>
    <row r="117" spans="1:36" ht="12.75">
      <c r="A117" s="194">
        <v>56</v>
      </c>
      <c r="B117" s="203">
        <f t="shared" si="10"/>
        <v>2061</v>
      </c>
      <c r="C117" s="201">
        <f t="shared" si="8"/>
        <v>2897216</v>
      </c>
      <c r="D117" s="201">
        <f t="shared" si="9"/>
        <v>1203172.821931025</v>
      </c>
      <c r="E117" s="201">
        <f>'Inputs for Evans Tables'!M50+$E$148</f>
        <v>1188788.4170086056</v>
      </c>
      <c r="F117" s="201">
        <f t="shared" si="11"/>
        <v>231523.75265333333</v>
      </c>
      <c r="G117" s="201">
        <f>'Inputs for Evans Tables'!N50+$G$148+$G$149+$G$150+'Statement D Table 1'!O66</f>
        <v>-47787.439</v>
      </c>
      <c r="H117" s="201">
        <f t="shared" si="12"/>
        <v>321518.4474070361</v>
      </c>
      <c r="I117" s="201">
        <f t="shared" si="13"/>
        <v>196334.22060017544</v>
      </c>
      <c r="J117" s="201">
        <f t="shared" si="14"/>
        <v>483728.6680072115</v>
      </c>
      <c r="K117" s="210">
        <f>+'Inputs for Evans Tables'!G50</f>
        <v>218435.40562</v>
      </c>
      <c r="L117" s="210">
        <f>+'Inputs for Evans Tables'!J50</f>
        <v>0</v>
      </c>
      <c r="M117" s="216">
        <f t="shared" si="15"/>
        <v>265293.26238721155</v>
      </c>
      <c r="O117" s="210"/>
      <c r="P117" s="210"/>
      <c r="R117" s="201"/>
      <c r="T117" s="201"/>
      <c r="V117" s="201"/>
      <c r="X117" s="201"/>
      <c r="Z117" s="201"/>
      <c r="AB117" s="201"/>
      <c r="AD117" s="201"/>
      <c r="AF117" s="201"/>
      <c r="AH117" s="201"/>
      <c r="AJ117" s="201"/>
    </row>
    <row r="118" spans="1:36" ht="12.75">
      <c r="A118" s="194">
        <v>57</v>
      </c>
      <c r="B118" s="203">
        <f t="shared" si="10"/>
        <v>2062</v>
      </c>
      <c r="C118" s="201">
        <f t="shared" si="8"/>
        <v>2897216</v>
      </c>
      <c r="D118" s="201">
        <f t="shared" si="9"/>
        <v>1203172.821931025</v>
      </c>
      <c r="E118" s="201">
        <f>'Inputs for Evans Tables'!M51+$E$148</f>
        <v>1188786.4795086056</v>
      </c>
      <c r="F118" s="201">
        <f t="shared" si="11"/>
        <v>231523.75265333333</v>
      </c>
      <c r="G118" s="201">
        <f>'Inputs for Evans Tables'!N51+$G$148+$G$149+$G$150+'Statement D Table 1'!O67</f>
        <v>-47787.445999999996</v>
      </c>
      <c r="H118" s="201">
        <f t="shared" si="12"/>
        <v>321520.3919070361</v>
      </c>
      <c r="I118" s="201">
        <f t="shared" si="13"/>
        <v>196334.22060017544</v>
      </c>
      <c r="J118" s="201">
        <f t="shared" si="14"/>
        <v>483730.6125072115</v>
      </c>
      <c r="K118" s="210">
        <f>+'Inputs for Evans Tables'!G51</f>
        <v>218435.40562</v>
      </c>
      <c r="L118" s="210">
        <f>+'Inputs for Evans Tables'!J51</f>
        <v>0</v>
      </c>
      <c r="M118" s="216">
        <f t="shared" si="15"/>
        <v>265295.20688721153</v>
      </c>
      <c r="O118" s="210"/>
      <c r="P118" s="210"/>
      <c r="R118" s="201"/>
      <c r="T118" s="201"/>
      <c r="V118" s="201"/>
      <c r="X118" s="201"/>
      <c r="Z118" s="201"/>
      <c r="AB118" s="201"/>
      <c r="AD118" s="201"/>
      <c r="AF118" s="201"/>
      <c r="AH118" s="201"/>
      <c r="AJ118" s="201"/>
    </row>
    <row r="119" spans="1:36" ht="12.75">
      <c r="A119" s="194">
        <v>58</v>
      </c>
      <c r="B119" s="203">
        <f t="shared" si="10"/>
        <v>2063</v>
      </c>
      <c r="C119" s="201">
        <f t="shared" si="8"/>
        <v>2897216</v>
      </c>
      <c r="D119" s="201">
        <f t="shared" si="9"/>
        <v>1203172.821931025</v>
      </c>
      <c r="E119" s="201">
        <f>'Inputs for Evans Tables'!M52+$E$148</f>
        <v>1188786.6295086055</v>
      </c>
      <c r="F119" s="201">
        <f t="shared" si="11"/>
        <v>231523.75265333333</v>
      </c>
      <c r="G119" s="201">
        <f>'Inputs for Evans Tables'!N52+$G$148+$G$149+$G$150+'Statement D Table 1'!O68</f>
        <v>-47787.445</v>
      </c>
      <c r="H119" s="201">
        <f t="shared" si="12"/>
        <v>321520.2409070362</v>
      </c>
      <c r="I119" s="201">
        <f t="shared" si="13"/>
        <v>196334.22060017544</v>
      </c>
      <c r="J119" s="201">
        <f t="shared" si="14"/>
        <v>483730.4615072116</v>
      </c>
      <c r="K119" s="210">
        <f>+'Inputs for Evans Tables'!G52</f>
        <v>218435.40562</v>
      </c>
      <c r="L119" s="210">
        <f>+'Inputs for Evans Tables'!J52</f>
        <v>0</v>
      </c>
      <c r="M119" s="216">
        <f t="shared" si="15"/>
        <v>265295.0558872116</v>
      </c>
      <c r="O119" s="210"/>
      <c r="P119" s="210"/>
      <c r="R119" s="201"/>
      <c r="T119" s="201"/>
      <c r="V119" s="201"/>
      <c r="X119" s="201"/>
      <c r="Z119" s="201"/>
      <c r="AB119" s="201"/>
      <c r="AD119" s="201"/>
      <c r="AF119" s="201"/>
      <c r="AH119" s="201"/>
      <c r="AJ119" s="201"/>
    </row>
    <row r="120" spans="1:36" ht="12.75">
      <c r="A120" s="194">
        <v>59</v>
      </c>
      <c r="B120" s="203">
        <f t="shared" si="10"/>
        <v>2064</v>
      </c>
      <c r="C120" s="201">
        <f t="shared" si="8"/>
        <v>2897216</v>
      </c>
      <c r="D120" s="201">
        <f t="shared" si="9"/>
        <v>1203172.821931025</v>
      </c>
      <c r="E120" s="201">
        <f>'Inputs for Evans Tables'!M53+$E$148</f>
        <v>1188788.0895086054</v>
      </c>
      <c r="F120" s="201">
        <f t="shared" si="11"/>
        <v>231523.75265333333</v>
      </c>
      <c r="G120" s="201">
        <f>'Inputs for Evans Tables'!N53+$G$148+$G$149+$G$150+'Statement D Table 1'!O69</f>
        <v>-47787.44</v>
      </c>
      <c r="H120" s="201">
        <f t="shared" si="12"/>
        <v>321518.7759070362</v>
      </c>
      <c r="I120" s="201">
        <f t="shared" si="13"/>
        <v>196334.22060017544</v>
      </c>
      <c r="J120" s="201">
        <f t="shared" si="14"/>
        <v>483728.99650721165</v>
      </c>
      <c r="K120" s="210">
        <f>+'Inputs for Evans Tables'!G53</f>
        <v>218435.40562</v>
      </c>
      <c r="L120" s="210">
        <f>+'Inputs for Evans Tables'!J53</f>
        <v>0</v>
      </c>
      <c r="M120" s="216">
        <f t="shared" si="15"/>
        <v>265293.5908872116</v>
      </c>
      <c r="O120" s="210"/>
      <c r="P120" s="210"/>
      <c r="R120" s="201"/>
      <c r="T120" s="201"/>
      <c r="V120" s="201"/>
      <c r="X120" s="201"/>
      <c r="Z120" s="201"/>
      <c r="AB120" s="201"/>
      <c r="AD120" s="201"/>
      <c r="AF120" s="201"/>
      <c r="AH120" s="201"/>
      <c r="AJ120" s="201"/>
    </row>
    <row r="121" spans="1:36" ht="12.75">
      <c r="A121" s="194">
        <v>60</v>
      </c>
      <c r="B121" s="203">
        <f>B120+1</f>
        <v>2065</v>
      </c>
      <c r="C121" s="201">
        <f t="shared" si="8"/>
        <v>2897216</v>
      </c>
      <c r="D121" s="201">
        <f t="shared" si="9"/>
        <v>1203172.821931025</v>
      </c>
      <c r="E121" s="201">
        <f>'Inputs for Evans Tables'!M54+$E$148</f>
        <v>1188785.6970086056</v>
      </c>
      <c r="F121" s="201">
        <f t="shared" si="11"/>
        <v>231523.75265333333</v>
      </c>
      <c r="G121" s="201">
        <f>'Inputs for Evans Tables'!N54+$G$148+$G$149+$G$150+'Statement D Table 1'!O70</f>
        <v>-47787.448</v>
      </c>
      <c r="H121" s="201">
        <f t="shared" si="12"/>
        <v>321521.176407036</v>
      </c>
      <c r="I121" s="201">
        <f t="shared" si="13"/>
        <v>196334.22060017544</v>
      </c>
      <c r="J121" s="201">
        <f t="shared" si="14"/>
        <v>483731.39700721146</v>
      </c>
      <c r="K121" s="210">
        <f>+'Inputs for Evans Tables'!G54</f>
        <v>218435.40562</v>
      </c>
      <c r="L121" s="210">
        <f>+'Inputs for Evans Tables'!J54</f>
        <v>0</v>
      </c>
      <c r="M121" s="216">
        <f t="shared" si="15"/>
        <v>265295.9913872115</v>
      </c>
      <c r="O121" s="210"/>
      <c r="P121" s="210"/>
      <c r="R121" s="201"/>
      <c r="T121" s="201"/>
      <c r="V121" s="201"/>
      <c r="X121" s="201"/>
      <c r="Z121" s="201"/>
      <c r="AB121" s="201"/>
      <c r="AD121" s="201"/>
      <c r="AF121" s="201"/>
      <c r="AH121" s="201"/>
      <c r="AJ121" s="201"/>
    </row>
    <row r="122" spans="1:36" ht="12.75">
      <c r="A122" s="194">
        <v>61</v>
      </c>
      <c r="B122" s="203">
        <f t="shared" si="10"/>
        <v>2066</v>
      </c>
      <c r="C122" s="201">
        <f t="shared" si="8"/>
        <v>2897216</v>
      </c>
      <c r="D122" s="201">
        <f t="shared" si="9"/>
        <v>1203172.821931025</v>
      </c>
      <c r="E122" s="201">
        <f>'Inputs for Evans Tables'!M55+$E$148</f>
        <v>1188786.2995086056</v>
      </c>
      <c r="F122" s="201">
        <f t="shared" si="11"/>
        <v>231523.75265333333</v>
      </c>
      <c r="G122" s="201">
        <f>'Inputs for Evans Tables'!N55+$G$148+$G$149+$G$150+'Statement D Table 1'!O71</f>
        <v>-47787.445999999996</v>
      </c>
      <c r="H122" s="201">
        <f t="shared" si="12"/>
        <v>321520.571907036</v>
      </c>
      <c r="I122" s="201">
        <f t="shared" si="13"/>
        <v>196334.22060017544</v>
      </c>
      <c r="J122" s="201">
        <f t="shared" si="14"/>
        <v>483730.79250721144</v>
      </c>
      <c r="K122" s="210">
        <f>+'Inputs for Evans Tables'!G55</f>
        <v>218435.40562</v>
      </c>
      <c r="L122" s="210">
        <f>+'Inputs for Evans Tables'!J55</f>
        <v>0</v>
      </c>
      <c r="M122" s="216">
        <f t="shared" si="15"/>
        <v>265295.38688721147</v>
      </c>
      <c r="O122" s="210"/>
      <c r="P122" s="210"/>
      <c r="R122" s="201"/>
      <c r="T122" s="201"/>
      <c r="V122" s="201"/>
      <c r="X122" s="201"/>
      <c r="Z122" s="201"/>
      <c r="AB122" s="201"/>
      <c r="AD122" s="201"/>
      <c r="AF122" s="201"/>
      <c r="AH122" s="201"/>
      <c r="AJ122" s="201"/>
    </row>
    <row r="123" spans="1:36" ht="12.75">
      <c r="A123" s="194">
        <v>62</v>
      </c>
      <c r="B123" s="203">
        <f t="shared" si="10"/>
        <v>2067</v>
      </c>
      <c r="C123" s="201">
        <f t="shared" si="8"/>
        <v>2897216</v>
      </c>
      <c r="D123" s="201">
        <f t="shared" si="9"/>
        <v>1203172.821931025</v>
      </c>
      <c r="E123" s="201">
        <f>'Inputs for Evans Tables'!M56+$E$148</f>
        <v>1188787.9570086054</v>
      </c>
      <c r="F123" s="201">
        <f t="shared" si="11"/>
        <v>231523.75265333333</v>
      </c>
      <c r="G123" s="201">
        <f>'Inputs for Evans Tables'!N56+$G$148+$G$149+$G$150+'Statement D Table 1'!O72</f>
        <v>-47787.441</v>
      </c>
      <c r="H123" s="201">
        <f t="shared" si="12"/>
        <v>321518.90940703626</v>
      </c>
      <c r="I123" s="201">
        <f t="shared" si="13"/>
        <v>196334.22060017544</v>
      </c>
      <c r="J123" s="201">
        <f t="shared" si="14"/>
        <v>483729.1300072117</v>
      </c>
      <c r="K123" s="210">
        <f>+'Inputs for Evans Tables'!G56</f>
        <v>218435.40562</v>
      </c>
      <c r="L123" s="210">
        <f>+'Inputs for Evans Tables'!J56</f>
        <v>0</v>
      </c>
      <c r="M123" s="216">
        <f t="shared" si="15"/>
        <v>265293.7243872117</v>
      </c>
      <c r="O123" s="210"/>
      <c r="P123" s="210"/>
      <c r="R123" s="201"/>
      <c r="T123" s="201"/>
      <c r="V123" s="201"/>
      <c r="X123" s="201"/>
      <c r="Z123" s="201"/>
      <c r="AB123" s="201"/>
      <c r="AD123" s="201"/>
      <c r="AF123" s="201"/>
      <c r="AH123" s="201"/>
      <c r="AJ123" s="201"/>
    </row>
    <row r="124" spans="1:36" ht="12.75">
      <c r="A124" s="194">
        <v>63</v>
      </c>
      <c r="B124" s="203">
        <f t="shared" si="10"/>
        <v>2068</v>
      </c>
      <c r="C124" s="201">
        <f t="shared" si="8"/>
        <v>2897216</v>
      </c>
      <c r="D124" s="201">
        <f t="shared" si="9"/>
        <v>1203172.821931025</v>
      </c>
      <c r="E124" s="201">
        <f>'Inputs for Evans Tables'!M57+$E$148</f>
        <v>1188785.3045086055</v>
      </c>
      <c r="F124" s="201">
        <f t="shared" si="11"/>
        <v>231523.75265333333</v>
      </c>
      <c r="G124" s="201">
        <f>'Inputs for Evans Tables'!N57+$G$148+$G$149+$G$150+'Statement D Table 1'!O73</f>
        <v>-47787.45</v>
      </c>
      <c r="H124" s="201">
        <f t="shared" si="12"/>
        <v>321521.57090703613</v>
      </c>
      <c r="I124" s="201">
        <f t="shared" si="13"/>
        <v>196334.22060017544</v>
      </c>
      <c r="J124" s="201">
        <f t="shared" si="14"/>
        <v>483731.7915072116</v>
      </c>
      <c r="K124" s="210">
        <f>+'Inputs for Evans Tables'!G57</f>
        <v>218435.40562</v>
      </c>
      <c r="L124" s="210">
        <f>+'Inputs for Evans Tables'!J57</f>
        <v>0</v>
      </c>
      <c r="M124" s="216">
        <f t="shared" si="15"/>
        <v>265296.38588721154</v>
      </c>
      <c r="O124" s="210"/>
      <c r="P124" s="210"/>
      <c r="R124" s="201"/>
      <c r="T124" s="201"/>
      <c r="V124" s="201"/>
      <c r="X124" s="201"/>
      <c r="Z124" s="201"/>
      <c r="AB124" s="201"/>
      <c r="AD124" s="201"/>
      <c r="AF124" s="201"/>
      <c r="AH124" s="201"/>
      <c r="AJ124" s="201"/>
    </row>
    <row r="125" spans="1:36" ht="12.75">
      <c r="A125" s="194">
        <v>64</v>
      </c>
      <c r="B125" s="203">
        <f t="shared" si="10"/>
        <v>2069</v>
      </c>
      <c r="C125" s="201">
        <f t="shared" si="8"/>
        <v>2897216</v>
      </c>
      <c r="D125" s="201">
        <f t="shared" si="9"/>
        <v>1203172.821931025</v>
      </c>
      <c r="E125" s="201">
        <f>'Inputs for Evans Tables'!M58+$E$148</f>
        <v>1188785.8745086056</v>
      </c>
      <c r="F125" s="201">
        <f t="shared" si="11"/>
        <v>231523.75265333333</v>
      </c>
      <c r="G125" s="201">
        <f>'Inputs for Evans Tables'!N58+$G$148+$G$149+$G$150+'Statement D Table 1'!O74</f>
        <v>-47787.448</v>
      </c>
      <c r="H125" s="201">
        <f t="shared" si="12"/>
        <v>321520.99890703603</v>
      </c>
      <c r="I125" s="201">
        <f t="shared" si="13"/>
        <v>196334.22060017544</v>
      </c>
      <c r="J125" s="201">
        <f t="shared" si="14"/>
        <v>483731.21950721147</v>
      </c>
      <c r="K125" s="210">
        <f>+'Inputs for Evans Tables'!G58</f>
        <v>218435.40562</v>
      </c>
      <c r="L125" s="210">
        <f>+'Inputs for Evans Tables'!J58</f>
        <v>0</v>
      </c>
      <c r="M125" s="216">
        <f t="shared" si="15"/>
        <v>265295.8138872115</v>
      </c>
      <c r="O125" s="210"/>
      <c r="P125" s="210"/>
      <c r="R125" s="201"/>
      <c r="T125" s="201"/>
      <c r="V125" s="201"/>
      <c r="X125" s="201"/>
      <c r="Z125" s="201"/>
      <c r="AB125" s="201"/>
      <c r="AD125" s="201"/>
      <c r="AF125" s="201"/>
      <c r="AH125" s="201"/>
      <c r="AJ125" s="201"/>
    </row>
    <row r="126" spans="1:36" ht="12.75">
      <c r="A126" s="194">
        <v>65</v>
      </c>
      <c r="B126" s="203"/>
      <c r="C126" s="201"/>
      <c r="D126" s="201"/>
      <c r="E126" s="201"/>
      <c r="F126" s="201"/>
      <c r="G126" s="201"/>
      <c r="H126" s="201"/>
      <c r="I126" s="201"/>
      <c r="J126" s="201"/>
      <c r="K126" s="210"/>
      <c r="L126" s="210"/>
      <c r="M126" s="216"/>
      <c r="O126" s="210"/>
      <c r="P126" s="210"/>
      <c r="R126" s="201"/>
      <c r="T126" s="201"/>
      <c r="V126" s="201"/>
      <c r="X126" s="201"/>
      <c r="Z126" s="201"/>
      <c r="AB126" s="201"/>
      <c r="AD126" s="201"/>
      <c r="AF126" s="201"/>
      <c r="AH126" s="201"/>
      <c r="AJ126" s="201"/>
    </row>
    <row r="127" spans="1:22" ht="12.75">
      <c r="A127" s="194">
        <v>66</v>
      </c>
      <c r="B127" s="200" t="s">
        <v>362</v>
      </c>
      <c r="R127" s="201"/>
      <c r="T127" s="201"/>
      <c r="V127" s="201"/>
    </row>
    <row r="128" spans="1:36" ht="12.75">
      <c r="A128" s="194">
        <v>67</v>
      </c>
      <c r="B128" s="283" t="s">
        <v>526</v>
      </c>
      <c r="C128" s="201">
        <f aca="true" t="shared" si="16" ref="C128:M128">SUM(C48:C125)</f>
        <v>276196082.88392</v>
      </c>
      <c r="D128" s="201">
        <f t="shared" si="16"/>
        <v>94957354.46779016</v>
      </c>
      <c r="E128" s="201">
        <f t="shared" si="16"/>
        <v>126273073.1294989</v>
      </c>
      <c r="F128" s="201">
        <f t="shared" si="16"/>
        <v>20733534.84767832</v>
      </c>
      <c r="G128" s="201">
        <f t="shared" si="16"/>
        <v>11165022.662441313</v>
      </c>
      <c r="H128" s="201">
        <f t="shared" si="16"/>
        <v>23067097.77651122</v>
      </c>
      <c r="I128" s="201">
        <f t="shared" si="16"/>
        <v>17351728.391888715</v>
      </c>
      <c r="J128" s="201">
        <f t="shared" si="16"/>
        <v>39229778.35356379</v>
      </c>
      <c r="K128" s="201">
        <f t="shared" si="16"/>
        <v>26131712.908380035</v>
      </c>
      <c r="L128" s="201">
        <f t="shared" si="16"/>
        <v>829519.9230000002</v>
      </c>
      <c r="M128" s="201">
        <f t="shared" si="16"/>
        <v>12268545.522183798</v>
      </c>
      <c r="O128" s="216"/>
      <c r="P128" s="216"/>
      <c r="R128" s="201"/>
      <c r="T128" s="201"/>
      <c r="V128" s="201"/>
      <c r="X128" s="201"/>
      <c r="Z128" s="201"/>
      <c r="AB128" s="201"/>
      <c r="AD128" s="201"/>
      <c r="AF128" s="201"/>
      <c r="AH128" s="201"/>
      <c r="AJ128" s="201"/>
    </row>
    <row r="129" spans="1:16" ht="12.75">
      <c r="A129" s="195"/>
      <c r="L129" s="216"/>
      <c r="M129" s="195"/>
      <c r="N129" s="195"/>
      <c r="O129" s="195"/>
      <c r="P129" s="195"/>
    </row>
    <row r="130" spans="1:16" ht="12.75">
      <c r="A130" s="195"/>
      <c r="B130" s="208" t="s">
        <v>720</v>
      </c>
      <c r="M130" s="195"/>
      <c r="N130" s="195"/>
      <c r="O130" s="195"/>
      <c r="P130" s="195"/>
    </row>
    <row r="131" spans="1:16" ht="12.75">
      <c r="A131" s="195"/>
      <c r="B131" s="208"/>
      <c r="M131" s="195"/>
      <c r="N131" s="195"/>
      <c r="O131" s="195"/>
      <c r="P131" s="195"/>
    </row>
    <row r="132" spans="1:16" ht="12.75">
      <c r="A132" s="195"/>
      <c r="B132" s="208" t="s">
        <v>721</v>
      </c>
      <c r="M132" s="195"/>
      <c r="N132" s="195"/>
      <c r="O132" s="195"/>
      <c r="P132" s="195"/>
    </row>
    <row r="133" spans="1:16" ht="12.75">
      <c r="A133" s="195"/>
      <c r="B133" s="208"/>
      <c r="M133" s="195"/>
      <c r="N133" s="195"/>
      <c r="O133" s="195"/>
      <c r="P133" s="195"/>
    </row>
    <row r="134" spans="1:16" ht="12.75">
      <c r="A134" s="195"/>
      <c r="B134" s="208"/>
      <c r="M134" s="195"/>
      <c r="N134" s="195"/>
      <c r="O134" s="195"/>
      <c r="P134" s="195"/>
    </row>
    <row r="136" spans="1:16" ht="12.75">
      <c r="A136" s="195"/>
      <c r="B136" s="208"/>
      <c r="M136" s="195"/>
      <c r="N136" s="195"/>
      <c r="O136" s="195"/>
      <c r="P136" s="195"/>
    </row>
    <row r="142" spans="1:16" ht="12.75">
      <c r="A142" s="195"/>
      <c r="B142" s="198"/>
      <c r="M142" s="195"/>
      <c r="N142" s="195"/>
      <c r="O142" s="195"/>
      <c r="P142" s="195"/>
    </row>
    <row r="143" spans="1:16" ht="12.75">
      <c r="A143" s="195"/>
      <c r="B143" s="208"/>
      <c r="M143" s="195"/>
      <c r="N143" s="195"/>
      <c r="O143" s="195"/>
      <c r="P143" s="195"/>
    </row>
    <row r="144" spans="1:16" ht="12.75">
      <c r="A144" s="195"/>
      <c r="B144" s="208"/>
      <c r="M144" s="195"/>
      <c r="N144" s="195"/>
      <c r="O144" s="195"/>
      <c r="P144" s="195"/>
    </row>
    <row r="148" spans="1:16" ht="12.75">
      <c r="A148" s="195"/>
      <c r="C148" s="208" t="s">
        <v>719</v>
      </c>
      <c r="E148" s="219">
        <f>E73-'Inputs for Evans Tables'!M8+'Statement E'!P25</f>
        <v>699751.2270086055</v>
      </c>
      <c r="F148" s="200" t="s">
        <v>527</v>
      </c>
      <c r="G148" s="201">
        <f>-'interest credit calculations'!E81</f>
        <v>-2134.444</v>
      </c>
      <c r="K148" s="195"/>
      <c r="L148" s="195"/>
      <c r="M148" s="195"/>
      <c r="N148" s="195"/>
      <c r="O148" s="195"/>
      <c r="P148" s="195"/>
    </row>
    <row r="149" spans="1:16" ht="12.75">
      <c r="A149" s="195"/>
      <c r="C149" s="195" t="s">
        <v>528</v>
      </c>
      <c r="F149" s="198" t="s">
        <v>129</v>
      </c>
      <c r="G149" s="195">
        <f>+'Income Statement Cash Flows'!F34</f>
        <v>-8307.435</v>
      </c>
      <c r="K149" s="195"/>
      <c r="L149" s="195"/>
      <c r="M149" s="195"/>
      <c r="N149" s="195"/>
      <c r="O149" s="195"/>
      <c r="P149" s="195"/>
    </row>
    <row r="150" spans="1:16" ht="12.75">
      <c r="A150" s="195"/>
      <c r="C150" s="195" t="s">
        <v>529</v>
      </c>
      <c r="F150" s="198" t="s">
        <v>530</v>
      </c>
      <c r="G150" s="195">
        <f>-45937</f>
        <v>-45937</v>
      </c>
      <c r="K150" s="195"/>
      <c r="L150" s="195"/>
      <c r="M150" s="195"/>
      <c r="N150" s="195"/>
      <c r="O150" s="195"/>
      <c r="P150" s="195"/>
    </row>
    <row r="151" spans="1:16" ht="12.75">
      <c r="A151" s="195"/>
      <c r="C151" s="195" t="s">
        <v>531</v>
      </c>
      <c r="F151" s="198" t="s">
        <v>532</v>
      </c>
      <c r="G151" s="195">
        <f>+'Federal Capital Costs'!D6</f>
        <v>10747.46794684212</v>
      </c>
      <c r="K151" s="195"/>
      <c r="L151" s="195"/>
      <c r="M151" s="195"/>
      <c r="N151" s="195"/>
      <c r="O151" s="195"/>
      <c r="P151" s="195"/>
    </row>
    <row r="152" spans="1:16" ht="12.75">
      <c r="A152" s="195"/>
      <c r="C152" s="195" t="s">
        <v>533</v>
      </c>
      <c r="K152" s="195"/>
      <c r="L152" s="195"/>
      <c r="M152" s="195"/>
      <c r="N152" s="195"/>
      <c r="O152" s="195"/>
      <c r="P152" s="195"/>
    </row>
  </sheetData>
  <mergeCells count="5">
    <mergeCell ref="B2:M2"/>
    <mergeCell ref="B3:M3"/>
    <mergeCell ref="B4:M4"/>
    <mergeCell ref="B5:M5"/>
    <mergeCell ref="B6:M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workbookViewId="0" topLeftCell="A1">
      <selection activeCell="C7" sqref="C7"/>
    </sheetView>
  </sheetViews>
  <sheetFormatPr defaultColWidth="9.140625" defaultRowHeight="12.75"/>
  <cols>
    <col min="1" max="1" width="5.421875" style="0" customWidth="1"/>
    <col min="2" max="2" width="38.28125" style="0" bestFit="1" customWidth="1"/>
    <col min="3" max="5" width="16.8515625" style="0" bestFit="1" customWidth="1"/>
  </cols>
  <sheetData>
    <row r="4" spans="1:5" ht="15.75">
      <c r="A4" s="285"/>
      <c r="B4" s="285"/>
      <c r="C4" s="230" t="s">
        <v>172</v>
      </c>
      <c r="D4" s="230" t="s">
        <v>173</v>
      </c>
      <c r="E4" s="230" t="s">
        <v>174</v>
      </c>
    </row>
    <row r="5" spans="1:5" ht="15.75">
      <c r="A5" s="285"/>
      <c r="B5" s="285"/>
      <c r="C5" s="230" t="s">
        <v>598</v>
      </c>
      <c r="D5" s="230" t="s">
        <v>599</v>
      </c>
      <c r="E5" s="230" t="s">
        <v>361</v>
      </c>
    </row>
    <row r="6" spans="1:5" ht="15.75">
      <c r="A6" s="231">
        <v>1</v>
      </c>
      <c r="B6" s="232" t="s">
        <v>600</v>
      </c>
      <c r="C6" s="300">
        <f>+'Revised Revenue Test'!E7</f>
        <v>2903951</v>
      </c>
      <c r="D6" s="300">
        <f>+'Revised Revenue Test'!F7</f>
        <v>2897216</v>
      </c>
      <c r="E6" s="301">
        <f>AVERAGE(C6:D6)</f>
        <v>2900583.5</v>
      </c>
    </row>
    <row r="7" spans="1:5" ht="18">
      <c r="A7" s="231">
        <v>2</v>
      </c>
      <c r="B7" s="232" t="s">
        <v>601</v>
      </c>
      <c r="C7" s="302">
        <f>+'Revised Revenue Test'!E40</f>
        <v>2705576.9367905483</v>
      </c>
      <c r="D7" s="302">
        <f>+'Revised Revenue Test'!F40</f>
        <v>2766945.5130398064</v>
      </c>
      <c r="E7" s="303">
        <f>AVERAGE(C7:D7)</f>
        <v>2736261.2249151776</v>
      </c>
    </row>
    <row r="8" spans="1:5" ht="15.75">
      <c r="A8" s="231">
        <v>3</v>
      </c>
      <c r="B8" s="232" t="s">
        <v>602</v>
      </c>
      <c r="C8" s="301">
        <f>+C6-C7</f>
        <v>198374.06320945174</v>
      </c>
      <c r="D8" s="301">
        <f>+D6-D7</f>
        <v>130270.48696019361</v>
      </c>
      <c r="E8" s="301">
        <f>AVERAGE(C8:D8)</f>
        <v>164322.27508482267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O59"/>
  <sheetViews>
    <sheetView workbookViewId="0" topLeftCell="A1">
      <selection activeCell="K39" sqref="K39"/>
    </sheetView>
  </sheetViews>
  <sheetFormatPr defaultColWidth="9.140625" defaultRowHeight="12.75"/>
  <cols>
    <col min="1" max="1" width="6.8515625" style="0" customWidth="1"/>
    <col min="2" max="2" width="18.7109375" style="8" customWidth="1"/>
    <col min="3" max="3" width="23.28125" style="8" customWidth="1"/>
    <col min="4" max="4" width="9.28125" style="8" bestFit="1" customWidth="1"/>
    <col min="5" max="5" width="11.8515625" style="8" bestFit="1" customWidth="1"/>
    <col min="6" max="6" width="12.8515625" style="8" bestFit="1" customWidth="1"/>
    <col min="7" max="7" width="14.00390625" style="8" bestFit="1" customWidth="1"/>
    <col min="8" max="8" width="10.8515625" style="8" bestFit="1" customWidth="1"/>
    <col min="9" max="9" width="12.8515625" style="8" bestFit="1" customWidth="1"/>
    <col min="10" max="10" width="11.28125" style="8" bestFit="1" customWidth="1"/>
    <col min="11" max="11" width="14.00390625" style="8" bestFit="1" customWidth="1"/>
    <col min="13" max="13" width="14.7109375" style="0" customWidth="1"/>
    <col min="14" max="14" width="15.57421875" style="0" customWidth="1"/>
    <col min="15" max="15" width="20.57421875" style="0" bestFit="1" customWidth="1"/>
  </cols>
  <sheetData>
    <row r="1" spans="2:3" ht="12.75">
      <c r="B1" s="192" t="s">
        <v>470</v>
      </c>
      <c r="C1" s="191">
        <v>2798</v>
      </c>
    </row>
    <row r="2" ht="12.75">
      <c r="A2" s="43" t="s">
        <v>659</v>
      </c>
    </row>
    <row r="4" spans="1:15" ht="76.5">
      <c r="A4" s="189" t="s">
        <v>226</v>
      </c>
      <c r="B4" s="190" t="s">
        <v>459</v>
      </c>
      <c r="C4" s="190" t="s">
        <v>460</v>
      </c>
      <c r="D4" s="190" t="s">
        <v>461</v>
      </c>
      <c r="E4" s="190" t="s">
        <v>462</v>
      </c>
      <c r="F4" s="190" t="s">
        <v>463</v>
      </c>
      <c r="G4" s="193" t="s">
        <v>464</v>
      </c>
      <c r="H4" s="190" t="s">
        <v>465</v>
      </c>
      <c r="I4" s="190" t="s">
        <v>466</v>
      </c>
      <c r="J4" s="193" t="s">
        <v>467</v>
      </c>
      <c r="K4" s="190" t="s">
        <v>468</v>
      </c>
      <c r="L4" s="189"/>
      <c r="M4" s="193" t="s">
        <v>471</v>
      </c>
      <c r="N4" s="193" t="s">
        <v>472</v>
      </c>
      <c r="O4" s="193" t="s">
        <v>155</v>
      </c>
    </row>
    <row r="5" spans="1:14" ht="12.75">
      <c r="A5">
        <v>2016</v>
      </c>
      <c r="B5" s="8">
        <v>1652999.856</v>
      </c>
      <c r="C5" s="8">
        <v>23558.00821</v>
      </c>
      <c r="D5" s="8">
        <v>0</v>
      </c>
      <c r="E5" s="8">
        <v>-24476.497</v>
      </c>
      <c r="F5" s="8">
        <v>205471.30775</v>
      </c>
      <c r="G5" s="8">
        <v>1053348</v>
      </c>
      <c r="H5" s="8">
        <v>0</v>
      </c>
      <c r="I5" s="8">
        <v>237876.472</v>
      </c>
      <c r="J5" s="8">
        <v>60183.815</v>
      </c>
      <c r="K5" s="8">
        <v>97038.75</v>
      </c>
      <c r="M5" s="16"/>
      <c r="N5" s="16"/>
    </row>
    <row r="6" spans="1:15" ht="12.75">
      <c r="A6">
        <v>2017</v>
      </c>
      <c r="B6" s="8">
        <v>1084820.174</v>
      </c>
      <c r="C6" s="8">
        <v>130252.64207</v>
      </c>
      <c r="D6" s="8">
        <v>0</v>
      </c>
      <c r="E6" s="8">
        <v>-58881.364</v>
      </c>
      <c r="F6" s="8">
        <v>196640.49525</v>
      </c>
      <c r="G6" s="8">
        <v>476939.707</v>
      </c>
      <c r="H6" s="8">
        <v>0</v>
      </c>
      <c r="I6" s="8">
        <v>168666.917</v>
      </c>
      <c r="J6" s="8">
        <v>50768.851</v>
      </c>
      <c r="K6" s="8">
        <v>120432.925</v>
      </c>
      <c r="M6" s="16">
        <f>+C6+D6+E6+F6</f>
        <v>268011.77332000004</v>
      </c>
      <c r="N6" s="16">
        <f>+H6+I6</f>
        <v>168666.917</v>
      </c>
      <c r="O6">
        <v>-632</v>
      </c>
    </row>
    <row r="7" spans="1:15" ht="12.75">
      <c r="A7">
        <v>2018</v>
      </c>
      <c r="B7" s="8">
        <v>991670.071</v>
      </c>
      <c r="C7" s="8">
        <v>667363.16263</v>
      </c>
      <c r="D7" s="8">
        <v>0</v>
      </c>
      <c r="E7" s="8">
        <v>-178250</v>
      </c>
      <c r="F7" s="8">
        <v>221700.6465</v>
      </c>
      <c r="G7" s="8">
        <v>113220</v>
      </c>
      <c r="H7" s="8">
        <v>0</v>
      </c>
      <c r="I7" s="8">
        <v>140401.97</v>
      </c>
      <c r="J7" s="8">
        <v>27234.291</v>
      </c>
      <c r="K7" s="8">
        <v>0</v>
      </c>
      <c r="M7" s="16">
        <f>+C7+D7+E7+F7</f>
        <v>710813.8091300001</v>
      </c>
      <c r="N7" s="16">
        <f>+H7+I7</f>
        <v>140401.97</v>
      </c>
      <c r="O7" s="259">
        <v>-563</v>
      </c>
    </row>
    <row r="8" spans="1:15" ht="12.75">
      <c r="A8">
        <v>2019</v>
      </c>
      <c r="B8" s="8">
        <v>821250.715</v>
      </c>
      <c r="C8" s="8">
        <v>404709.9</v>
      </c>
      <c r="D8" s="8">
        <v>0</v>
      </c>
      <c r="E8" s="8">
        <v>-189500</v>
      </c>
      <c r="F8" s="8">
        <v>205494.2575</v>
      </c>
      <c r="G8" s="8">
        <v>195622</v>
      </c>
      <c r="H8" s="8">
        <v>0</v>
      </c>
      <c r="I8" s="8">
        <v>148351.893</v>
      </c>
      <c r="J8" s="8">
        <v>56572.665</v>
      </c>
      <c r="K8" s="8">
        <v>0</v>
      </c>
      <c r="M8" s="16">
        <f aca="true" t="shared" si="0" ref="M8:M58">+C8+D8+E8+F8</f>
        <v>420704.15750000003</v>
      </c>
      <c r="N8" s="16">
        <f aca="true" t="shared" si="1" ref="N8:N58">+H8+I8</f>
        <v>148351.893</v>
      </c>
      <c r="O8" s="259">
        <v>-1221</v>
      </c>
    </row>
    <row r="9" spans="1:15" ht="12.75">
      <c r="A9">
        <v>2020</v>
      </c>
      <c r="B9" s="8">
        <v>821250.715</v>
      </c>
      <c r="C9" s="8">
        <v>348238.6</v>
      </c>
      <c r="D9" s="8">
        <v>0</v>
      </c>
      <c r="E9" s="8">
        <v>-72500</v>
      </c>
      <c r="F9" s="8">
        <v>191599.388</v>
      </c>
      <c r="G9" s="8">
        <v>167935.918</v>
      </c>
      <c r="H9" s="8">
        <v>0</v>
      </c>
      <c r="I9" s="8">
        <v>161659.507</v>
      </c>
      <c r="J9" s="8">
        <v>24317.301</v>
      </c>
      <c r="K9" s="8">
        <v>0.001</v>
      </c>
      <c r="M9" s="16">
        <f t="shared" si="0"/>
        <v>467337.988</v>
      </c>
      <c r="N9" s="16">
        <f>+H9+I9</f>
        <v>161659.507</v>
      </c>
      <c r="O9" s="259">
        <v>-1052</v>
      </c>
    </row>
    <row r="10" spans="1:15" ht="12.75">
      <c r="A10">
        <v>2021</v>
      </c>
      <c r="B10" s="8">
        <v>821250.715</v>
      </c>
      <c r="C10" s="8">
        <v>358029.35</v>
      </c>
      <c r="D10" s="8">
        <v>0</v>
      </c>
      <c r="E10" s="8">
        <v>-81000</v>
      </c>
      <c r="F10" s="8">
        <v>177373.671</v>
      </c>
      <c r="G10" s="8">
        <v>184801.481</v>
      </c>
      <c r="H10" s="8">
        <v>0</v>
      </c>
      <c r="I10" s="8">
        <v>167299.667</v>
      </c>
      <c r="J10" s="8">
        <v>14746.543</v>
      </c>
      <c r="K10" s="8">
        <v>0.003</v>
      </c>
      <c r="M10" s="16">
        <f t="shared" si="0"/>
        <v>454403.02099999995</v>
      </c>
      <c r="N10" s="16">
        <f t="shared" si="1"/>
        <v>167299.667</v>
      </c>
      <c r="O10" s="259">
        <v>-1083</v>
      </c>
    </row>
    <row r="11" spans="1:15" ht="12.75">
      <c r="A11">
        <v>2022</v>
      </c>
      <c r="B11" s="8">
        <v>821250.715</v>
      </c>
      <c r="C11" s="8">
        <v>369533.9</v>
      </c>
      <c r="D11" s="8">
        <v>0</v>
      </c>
      <c r="E11" s="8">
        <v>-49500</v>
      </c>
      <c r="F11" s="8">
        <v>163160.502</v>
      </c>
      <c r="G11" s="8">
        <v>149611.311</v>
      </c>
      <c r="H11" s="8">
        <v>0</v>
      </c>
      <c r="I11" s="8">
        <v>172385.122</v>
      </c>
      <c r="J11" s="8">
        <v>16059.879</v>
      </c>
      <c r="K11" s="8">
        <v>0.001</v>
      </c>
      <c r="M11" s="16">
        <f t="shared" si="0"/>
        <v>483194.402</v>
      </c>
      <c r="N11" s="16">
        <f t="shared" si="1"/>
        <v>172385.122</v>
      </c>
      <c r="O11" s="259">
        <v>-975</v>
      </c>
    </row>
    <row r="12" spans="1:15" ht="12.75">
      <c r="A12">
        <v>2023</v>
      </c>
      <c r="B12" s="8">
        <v>821250.715</v>
      </c>
      <c r="C12" s="8">
        <v>307762.65</v>
      </c>
      <c r="D12" s="8">
        <v>0</v>
      </c>
      <c r="E12" s="8">
        <v>0</v>
      </c>
      <c r="F12" s="8">
        <v>148419.128</v>
      </c>
      <c r="G12" s="8">
        <v>177498.79</v>
      </c>
      <c r="H12" s="8">
        <v>0</v>
      </c>
      <c r="I12" s="8">
        <v>174724.152</v>
      </c>
      <c r="J12" s="8">
        <v>12845.994</v>
      </c>
      <c r="K12" s="8">
        <v>0.001</v>
      </c>
      <c r="M12" s="16">
        <f t="shared" si="0"/>
        <v>456181.77800000005</v>
      </c>
      <c r="N12" s="16">
        <f t="shared" si="1"/>
        <v>174724.152</v>
      </c>
      <c r="O12" s="259">
        <v>-1054</v>
      </c>
    </row>
    <row r="13" spans="1:15" ht="12.75">
      <c r="A13">
        <v>2024</v>
      </c>
      <c r="B13" s="8">
        <v>821250.715</v>
      </c>
      <c r="C13" s="8">
        <v>326178.45</v>
      </c>
      <c r="D13" s="8">
        <v>0</v>
      </c>
      <c r="E13" s="8">
        <v>0</v>
      </c>
      <c r="F13" s="8">
        <v>135421.405</v>
      </c>
      <c r="G13" s="8">
        <v>166297.606</v>
      </c>
      <c r="H13" s="8">
        <v>0</v>
      </c>
      <c r="I13" s="8">
        <v>178236.213</v>
      </c>
      <c r="J13" s="8">
        <v>15117.04</v>
      </c>
      <c r="K13" s="8">
        <v>0.001</v>
      </c>
      <c r="M13" s="16">
        <f t="shared" si="0"/>
        <v>461599.855</v>
      </c>
      <c r="N13" s="16">
        <f t="shared" si="1"/>
        <v>178236.213</v>
      </c>
      <c r="O13" s="259">
        <v>-1028</v>
      </c>
    </row>
    <row r="14" spans="1:15" ht="12.75">
      <c r="A14">
        <v>2025</v>
      </c>
      <c r="B14" s="8">
        <v>821250.715</v>
      </c>
      <c r="C14" s="8">
        <v>367461.6</v>
      </c>
      <c r="D14" s="8">
        <v>0</v>
      </c>
      <c r="E14" s="8">
        <v>0</v>
      </c>
      <c r="F14" s="8">
        <v>121749.914</v>
      </c>
      <c r="G14" s="8">
        <v>132769.187</v>
      </c>
      <c r="H14" s="8">
        <v>1682.757</v>
      </c>
      <c r="I14" s="8">
        <v>184044.665</v>
      </c>
      <c r="J14" s="8">
        <v>13542.591</v>
      </c>
      <c r="K14" s="8">
        <v>0.001</v>
      </c>
      <c r="M14" s="16">
        <f t="shared" si="0"/>
        <v>489211.51399999997</v>
      </c>
      <c r="N14" s="16">
        <f t="shared" si="1"/>
        <v>185727.42200000002</v>
      </c>
      <c r="O14" s="259">
        <v>-924</v>
      </c>
    </row>
    <row r="15" spans="1:15" ht="12.75">
      <c r="A15">
        <v>2026</v>
      </c>
      <c r="B15" s="8">
        <v>821250.715</v>
      </c>
      <c r="C15" s="8">
        <v>356778.75</v>
      </c>
      <c r="D15" s="8">
        <v>0</v>
      </c>
      <c r="E15" s="8">
        <v>0</v>
      </c>
      <c r="F15" s="8">
        <v>104490.116</v>
      </c>
      <c r="G15" s="8">
        <v>151294.171</v>
      </c>
      <c r="H15" s="8">
        <v>870.509</v>
      </c>
      <c r="I15" s="8">
        <v>187062.26</v>
      </c>
      <c r="J15" s="8">
        <v>20754.908</v>
      </c>
      <c r="K15" s="8">
        <v>0.001</v>
      </c>
      <c r="M15" s="16">
        <f t="shared" si="0"/>
        <v>461268.866</v>
      </c>
      <c r="N15" s="16">
        <f t="shared" si="1"/>
        <v>187932.769</v>
      </c>
      <c r="O15" s="259">
        <v>-1006</v>
      </c>
    </row>
    <row r="16" spans="1:15" ht="12.75">
      <c r="A16">
        <v>2027</v>
      </c>
      <c r="B16" s="8">
        <v>821250.715</v>
      </c>
      <c r="C16" s="8">
        <v>383123</v>
      </c>
      <c r="D16" s="8">
        <v>0</v>
      </c>
      <c r="E16" s="8">
        <v>0</v>
      </c>
      <c r="F16" s="8">
        <v>86910.936</v>
      </c>
      <c r="G16" s="8">
        <v>152283.059</v>
      </c>
      <c r="H16" s="8">
        <v>0</v>
      </c>
      <c r="I16" s="8">
        <v>192815.518</v>
      </c>
      <c r="J16" s="8">
        <v>6118.201</v>
      </c>
      <c r="K16" s="8">
        <v>0.001</v>
      </c>
      <c r="M16" s="16">
        <f t="shared" si="0"/>
        <v>470033.936</v>
      </c>
      <c r="N16" s="16">
        <f t="shared" si="1"/>
        <v>192815.518</v>
      </c>
      <c r="O16" s="259">
        <v>-968</v>
      </c>
    </row>
    <row r="17" spans="1:15" ht="12.75">
      <c r="A17">
        <v>2028</v>
      </c>
      <c r="B17" s="8">
        <v>821250.715</v>
      </c>
      <c r="C17" s="8">
        <v>428554</v>
      </c>
      <c r="D17" s="8">
        <v>0</v>
      </c>
      <c r="E17" s="8">
        <v>0</v>
      </c>
      <c r="F17" s="8">
        <v>68776.424</v>
      </c>
      <c r="G17" s="8">
        <v>115641.559</v>
      </c>
      <c r="H17" s="8">
        <v>0</v>
      </c>
      <c r="I17" s="8">
        <v>197092.245</v>
      </c>
      <c r="J17" s="8">
        <v>11186.486</v>
      </c>
      <c r="K17" s="8">
        <v>0.001</v>
      </c>
      <c r="M17" s="16">
        <f t="shared" si="0"/>
        <v>497330.424</v>
      </c>
      <c r="N17" s="16">
        <f t="shared" si="1"/>
        <v>197092.245</v>
      </c>
      <c r="O17" s="259">
        <v>-863</v>
      </c>
    </row>
    <row r="18" spans="1:15" ht="12.75">
      <c r="A18">
        <v>2029</v>
      </c>
      <c r="B18" s="8">
        <v>821250.715</v>
      </c>
      <c r="C18" s="8">
        <v>119182.34725</v>
      </c>
      <c r="D18" s="8">
        <v>0</v>
      </c>
      <c r="E18" s="8">
        <v>0</v>
      </c>
      <c r="F18" s="8">
        <v>49600.513</v>
      </c>
      <c r="G18" s="8">
        <v>442798.601</v>
      </c>
      <c r="H18" s="8">
        <v>9541.867</v>
      </c>
      <c r="I18" s="8">
        <v>196062.751</v>
      </c>
      <c r="J18" s="8">
        <v>4064.635</v>
      </c>
      <c r="K18" s="8">
        <v>0</v>
      </c>
      <c r="M18" s="16">
        <f t="shared" si="0"/>
        <v>168782.86025</v>
      </c>
      <c r="N18" s="16">
        <f t="shared" si="1"/>
        <v>205604.618</v>
      </c>
      <c r="O18" s="259">
        <v>-1940</v>
      </c>
    </row>
    <row r="19" spans="1:15" ht="12.75">
      <c r="A19">
        <v>2030</v>
      </c>
      <c r="B19" s="8">
        <v>821250.715</v>
      </c>
      <c r="C19" s="8">
        <v>206039.60475</v>
      </c>
      <c r="D19" s="8">
        <v>0</v>
      </c>
      <c r="E19" s="8">
        <v>0</v>
      </c>
      <c r="F19" s="8">
        <v>44188.236</v>
      </c>
      <c r="G19" s="8">
        <v>377111.931</v>
      </c>
      <c r="H19" s="8">
        <v>0</v>
      </c>
      <c r="I19" s="8">
        <v>191915.209</v>
      </c>
      <c r="J19" s="8">
        <v>1995.733</v>
      </c>
      <c r="K19" s="8">
        <v>0.001</v>
      </c>
      <c r="M19" s="16">
        <f t="shared" si="0"/>
        <v>250227.84075</v>
      </c>
      <c r="N19" s="16">
        <f t="shared" si="1"/>
        <v>191915.209</v>
      </c>
      <c r="O19" s="259">
        <v>-1674</v>
      </c>
    </row>
    <row r="20" spans="1:15" ht="12.75">
      <c r="A20">
        <v>2031</v>
      </c>
      <c r="B20" s="8">
        <v>821250.715</v>
      </c>
      <c r="C20" s="8">
        <v>182232.77</v>
      </c>
      <c r="D20" s="8">
        <v>0</v>
      </c>
      <c r="E20" s="8">
        <v>0</v>
      </c>
      <c r="F20" s="8">
        <v>35668.278</v>
      </c>
      <c r="G20" s="8">
        <v>406583.896</v>
      </c>
      <c r="H20" s="8">
        <v>0</v>
      </c>
      <c r="I20" s="8">
        <v>186242.071</v>
      </c>
      <c r="J20" s="8">
        <v>10523.699</v>
      </c>
      <c r="K20" s="8">
        <v>0.001</v>
      </c>
      <c r="M20" s="16">
        <f t="shared" si="0"/>
        <v>217901.04799999998</v>
      </c>
      <c r="N20" s="16">
        <f t="shared" si="1"/>
        <v>186242.071</v>
      </c>
      <c r="O20" s="259">
        <v>-1773</v>
      </c>
    </row>
    <row r="21" spans="1:15" ht="12.75">
      <c r="A21">
        <v>2032</v>
      </c>
      <c r="B21" s="8">
        <v>821250.715</v>
      </c>
      <c r="C21" s="8">
        <v>85284.0835</v>
      </c>
      <c r="D21" s="8">
        <v>0</v>
      </c>
      <c r="E21" s="8">
        <v>0</v>
      </c>
      <c r="F21" s="8">
        <v>27757.748</v>
      </c>
      <c r="G21" s="8">
        <v>534643.072</v>
      </c>
      <c r="H21" s="8">
        <v>1207.197</v>
      </c>
      <c r="I21" s="8">
        <v>172358.614</v>
      </c>
      <c r="J21" s="8">
        <v>0</v>
      </c>
      <c r="K21" s="8">
        <v>0</v>
      </c>
      <c r="M21" s="16">
        <f t="shared" si="0"/>
        <v>113041.8315</v>
      </c>
      <c r="N21" s="16">
        <f t="shared" si="1"/>
        <v>173565.811</v>
      </c>
      <c r="O21" s="259">
        <v>-2107</v>
      </c>
    </row>
    <row r="22" spans="1:15" ht="12.75">
      <c r="A22">
        <v>2033</v>
      </c>
      <c r="B22" s="8">
        <v>821250.715</v>
      </c>
      <c r="C22" s="8">
        <v>81191.8145</v>
      </c>
      <c r="D22" s="8">
        <v>0</v>
      </c>
      <c r="E22" s="8">
        <v>0</v>
      </c>
      <c r="F22" s="8">
        <v>23705.003</v>
      </c>
      <c r="G22" s="8">
        <v>540922.29</v>
      </c>
      <c r="H22" s="8">
        <v>0</v>
      </c>
      <c r="I22" s="8">
        <v>171084.672</v>
      </c>
      <c r="J22" s="8">
        <v>4346.935</v>
      </c>
      <c r="K22" s="8">
        <v>0</v>
      </c>
      <c r="M22" s="16">
        <f t="shared" si="0"/>
        <v>104896.81749999999</v>
      </c>
      <c r="N22" s="16">
        <f t="shared" si="1"/>
        <v>171084.672</v>
      </c>
      <c r="O22" s="259">
        <v>-2146</v>
      </c>
    </row>
    <row r="23" spans="1:15" ht="12.75">
      <c r="A23">
        <v>2034</v>
      </c>
      <c r="B23" s="8">
        <v>821250.715</v>
      </c>
      <c r="C23" s="8">
        <v>89956.78075</v>
      </c>
      <c r="D23" s="8">
        <v>0</v>
      </c>
      <c r="E23" s="8">
        <v>0</v>
      </c>
      <c r="F23" s="8">
        <v>19874.755</v>
      </c>
      <c r="G23" s="8">
        <v>549942.987</v>
      </c>
      <c r="H23" s="8">
        <v>0</v>
      </c>
      <c r="I23" s="8">
        <v>161476.191</v>
      </c>
      <c r="J23" s="8">
        <v>0</v>
      </c>
      <c r="K23" s="8">
        <v>0.001</v>
      </c>
      <c r="M23" s="16">
        <f t="shared" si="0"/>
        <v>109831.53575000001</v>
      </c>
      <c r="N23" s="16">
        <f t="shared" si="1"/>
        <v>161476.191</v>
      </c>
      <c r="O23" s="259">
        <v>-2124</v>
      </c>
    </row>
    <row r="24" spans="1:15" ht="12.75">
      <c r="A24">
        <v>2035</v>
      </c>
      <c r="B24" s="8">
        <v>821250.715</v>
      </c>
      <c r="C24" s="8">
        <v>84433.59875</v>
      </c>
      <c r="D24" s="8">
        <v>0</v>
      </c>
      <c r="E24" s="8">
        <v>0</v>
      </c>
      <c r="F24" s="8">
        <v>15647.821</v>
      </c>
      <c r="G24" s="8">
        <v>568980.33362</v>
      </c>
      <c r="H24" s="8">
        <v>-4012.426</v>
      </c>
      <c r="I24" s="8">
        <v>148440.081</v>
      </c>
      <c r="J24" s="8">
        <v>7761.305</v>
      </c>
      <c r="K24" s="8">
        <v>0.001</v>
      </c>
      <c r="M24" s="16">
        <f t="shared" si="0"/>
        <v>100081.41975</v>
      </c>
      <c r="N24" s="16">
        <f t="shared" si="1"/>
        <v>144427.655</v>
      </c>
      <c r="O24" s="259">
        <v>-2150</v>
      </c>
    </row>
    <row r="25" spans="1:15" ht="12.75">
      <c r="A25">
        <v>2036</v>
      </c>
      <c r="B25" s="8">
        <v>821250.715</v>
      </c>
      <c r="C25" s="8">
        <v>59014.43975</v>
      </c>
      <c r="D25" s="8">
        <v>0</v>
      </c>
      <c r="E25" s="8">
        <v>0</v>
      </c>
      <c r="F25" s="8">
        <v>11819.087</v>
      </c>
      <c r="G25" s="8">
        <v>589336.55286</v>
      </c>
      <c r="H25" s="8">
        <v>0</v>
      </c>
      <c r="I25" s="8">
        <v>132160.185</v>
      </c>
      <c r="J25" s="8">
        <v>28920.449</v>
      </c>
      <c r="K25" s="8">
        <v>0.001</v>
      </c>
      <c r="M25" s="16">
        <f t="shared" si="0"/>
        <v>70833.52674999999</v>
      </c>
      <c r="N25" s="16">
        <f t="shared" si="1"/>
        <v>132160.185</v>
      </c>
      <c r="O25" s="259">
        <v>-2256</v>
      </c>
    </row>
    <row r="26" spans="1:15" ht="12.75">
      <c r="A26">
        <v>2037</v>
      </c>
      <c r="B26" s="8">
        <v>821250.715</v>
      </c>
      <c r="C26" s="8">
        <v>60909.0325</v>
      </c>
      <c r="D26" s="8">
        <v>0</v>
      </c>
      <c r="E26" s="8">
        <v>0</v>
      </c>
      <c r="F26" s="8">
        <v>9281.968</v>
      </c>
      <c r="G26" s="8">
        <v>620267.35186</v>
      </c>
      <c r="H26" s="8">
        <v>0</v>
      </c>
      <c r="I26" s="8">
        <v>115014.784</v>
      </c>
      <c r="J26" s="8">
        <v>15777.577</v>
      </c>
      <c r="K26" s="8">
        <v>0.001</v>
      </c>
      <c r="M26" s="16">
        <f t="shared" si="0"/>
        <v>70191.0005</v>
      </c>
      <c r="N26" s="16">
        <f t="shared" si="1"/>
        <v>115014.784</v>
      </c>
      <c r="O26" s="259">
        <v>-2286</v>
      </c>
    </row>
    <row r="27" spans="1:15" ht="12.75">
      <c r="A27">
        <v>2038</v>
      </c>
      <c r="B27" s="8">
        <v>821250.715</v>
      </c>
      <c r="C27" s="8">
        <v>53513.4165</v>
      </c>
      <c r="D27" s="8">
        <v>0</v>
      </c>
      <c r="E27" s="8">
        <v>0</v>
      </c>
      <c r="F27" s="8">
        <v>6655.079</v>
      </c>
      <c r="G27" s="8">
        <v>664920.38386</v>
      </c>
      <c r="H27" s="8">
        <v>0</v>
      </c>
      <c r="I27" s="8">
        <v>96161.835</v>
      </c>
      <c r="J27" s="8">
        <v>0</v>
      </c>
      <c r="K27" s="8">
        <v>0</v>
      </c>
      <c r="M27" s="16">
        <f t="shared" si="0"/>
        <v>60168.4955</v>
      </c>
      <c r="N27" s="16">
        <f t="shared" si="1"/>
        <v>96161.835</v>
      </c>
      <c r="O27" s="259">
        <v>-2348</v>
      </c>
    </row>
    <row r="28" spans="1:15" ht="12.75">
      <c r="A28">
        <v>2039</v>
      </c>
      <c r="B28" s="8">
        <v>821250.715</v>
      </c>
      <c r="C28" s="8">
        <v>23588.69725</v>
      </c>
      <c r="D28" s="8">
        <v>0</v>
      </c>
      <c r="E28" s="8">
        <v>0</v>
      </c>
      <c r="F28" s="8">
        <v>4346.546</v>
      </c>
      <c r="G28" s="8">
        <v>703751.22086</v>
      </c>
      <c r="H28" s="8">
        <v>0</v>
      </c>
      <c r="I28" s="8">
        <v>75382.812</v>
      </c>
      <c r="J28" s="8">
        <v>14181.438</v>
      </c>
      <c r="K28" s="8">
        <v>0</v>
      </c>
      <c r="M28" s="16">
        <f t="shared" si="0"/>
        <v>27935.24325</v>
      </c>
      <c r="N28" s="16">
        <f t="shared" si="1"/>
        <v>75382.812</v>
      </c>
      <c r="O28" s="259">
        <v>-2488</v>
      </c>
    </row>
    <row r="29" spans="1:15" ht="12.75">
      <c r="A29">
        <v>2040</v>
      </c>
      <c r="B29" s="8">
        <v>821250.715</v>
      </c>
      <c r="C29" s="8">
        <v>22254.79875</v>
      </c>
      <c r="D29" s="8">
        <v>0</v>
      </c>
      <c r="E29" s="8">
        <v>0</v>
      </c>
      <c r="F29" s="8">
        <v>3371.334</v>
      </c>
      <c r="G29" s="8">
        <v>742646.07086</v>
      </c>
      <c r="H29" s="8">
        <v>0</v>
      </c>
      <c r="I29" s="8">
        <v>52978.51</v>
      </c>
      <c r="J29" s="8">
        <v>0</v>
      </c>
      <c r="K29" s="8">
        <v>0.001</v>
      </c>
      <c r="M29" s="16">
        <f t="shared" si="0"/>
        <v>25626.13275</v>
      </c>
      <c r="N29" s="16">
        <f t="shared" si="1"/>
        <v>52978.51</v>
      </c>
      <c r="O29" s="259">
        <v>-2531</v>
      </c>
    </row>
    <row r="30" spans="1:15" ht="12.75">
      <c r="A30">
        <v>2041</v>
      </c>
      <c r="B30" s="8">
        <v>821250.715</v>
      </c>
      <c r="C30" s="8">
        <v>16231.72075</v>
      </c>
      <c r="D30" s="8">
        <v>0</v>
      </c>
      <c r="E30" s="8">
        <v>0</v>
      </c>
      <c r="F30" s="8">
        <v>2461.156</v>
      </c>
      <c r="G30" s="8">
        <v>773547.80648</v>
      </c>
      <c r="H30" s="8">
        <v>0</v>
      </c>
      <c r="I30" s="8">
        <v>29010.03</v>
      </c>
      <c r="J30" s="8">
        <v>0</v>
      </c>
      <c r="K30" s="8">
        <v>0.001</v>
      </c>
      <c r="M30" s="16">
        <f>+C30+D30+E30+F30</f>
        <v>18692.87675</v>
      </c>
      <c r="N30" s="16">
        <f t="shared" si="1"/>
        <v>29010.03</v>
      </c>
      <c r="O30" s="259">
        <v>-2593</v>
      </c>
    </row>
    <row r="31" spans="1:15" ht="12.75">
      <c r="A31">
        <v>2042</v>
      </c>
      <c r="B31" s="8">
        <v>821250.715</v>
      </c>
      <c r="C31" s="8">
        <v>16837.04175</v>
      </c>
      <c r="D31" s="8">
        <v>0</v>
      </c>
      <c r="E31" s="8">
        <v>0</v>
      </c>
      <c r="F31" s="8">
        <v>1854.912</v>
      </c>
      <c r="G31" s="8">
        <v>367679.24224</v>
      </c>
      <c r="H31" s="8">
        <v>0</v>
      </c>
      <c r="I31" s="8">
        <v>13367.777</v>
      </c>
      <c r="J31" s="8">
        <v>73659</v>
      </c>
      <c r="K31" s="8">
        <v>347852.742</v>
      </c>
      <c r="M31" s="16">
        <f t="shared" si="0"/>
        <v>18691.95375</v>
      </c>
      <c r="N31" s="16">
        <f t="shared" si="1"/>
        <v>13367.777</v>
      </c>
      <c r="O31" s="259">
        <v>-2633</v>
      </c>
    </row>
    <row r="32" spans="1:15" ht="12.75">
      <c r="A32">
        <v>2043</v>
      </c>
      <c r="B32" s="8">
        <v>821250.715</v>
      </c>
      <c r="C32" s="8">
        <v>17470.92825</v>
      </c>
      <c r="D32" s="8">
        <v>0</v>
      </c>
      <c r="E32" s="8">
        <v>0</v>
      </c>
      <c r="F32" s="8">
        <v>1218.647</v>
      </c>
      <c r="G32" s="8">
        <v>218435.40562</v>
      </c>
      <c r="H32" s="8">
        <v>0</v>
      </c>
      <c r="I32" s="8">
        <v>10051.059</v>
      </c>
      <c r="J32" s="8">
        <v>0</v>
      </c>
      <c r="K32" s="8">
        <v>574074.675</v>
      </c>
      <c r="M32" s="16">
        <f t="shared" si="0"/>
        <v>18689.57525</v>
      </c>
      <c r="N32" s="16">
        <f t="shared" si="1"/>
        <v>10051.059</v>
      </c>
      <c r="O32" s="259">
        <v>-2644</v>
      </c>
    </row>
    <row r="33" spans="1:15" ht="12.75">
      <c r="A33">
        <v>2044</v>
      </c>
      <c r="B33" s="8">
        <v>821250.715</v>
      </c>
      <c r="C33" s="8">
        <v>136437.0445</v>
      </c>
      <c r="D33" s="8">
        <v>0</v>
      </c>
      <c r="E33" s="8">
        <v>0</v>
      </c>
      <c r="F33" s="8">
        <v>551.203</v>
      </c>
      <c r="G33" s="8">
        <v>218435.40562</v>
      </c>
      <c r="H33" s="8">
        <v>0</v>
      </c>
      <c r="I33" s="8">
        <v>10443.22</v>
      </c>
      <c r="J33" s="8">
        <v>0</v>
      </c>
      <c r="K33" s="8">
        <v>455383.841</v>
      </c>
      <c r="M33" s="16">
        <f t="shared" si="0"/>
        <v>136988.2475</v>
      </c>
      <c r="N33" s="16">
        <f t="shared" si="1"/>
        <v>10443.22</v>
      </c>
      <c r="O33" s="259">
        <v>-2252</v>
      </c>
    </row>
    <row r="34" spans="1:15" ht="12.75">
      <c r="A34">
        <v>2045</v>
      </c>
      <c r="B34" s="8">
        <v>821250.715</v>
      </c>
      <c r="C34" s="8">
        <v>489036.0925</v>
      </c>
      <c r="D34" s="8">
        <v>0</v>
      </c>
      <c r="E34" s="8">
        <v>0</v>
      </c>
      <c r="F34" s="8">
        <v>0</v>
      </c>
      <c r="G34" s="8">
        <v>218435.40562</v>
      </c>
      <c r="H34" s="8">
        <v>0</v>
      </c>
      <c r="I34" s="8">
        <v>11610.258</v>
      </c>
      <c r="J34" s="8">
        <v>11578.995</v>
      </c>
      <c r="K34" s="8">
        <v>90589.963</v>
      </c>
      <c r="M34" s="16">
        <f t="shared" si="0"/>
        <v>489036.0925</v>
      </c>
      <c r="N34" s="16">
        <f t="shared" si="1"/>
        <v>11610.258</v>
      </c>
      <c r="O34" s="259">
        <v>-1085</v>
      </c>
    </row>
    <row r="35" spans="1:15" ht="12.75">
      <c r="A35">
        <v>2046</v>
      </c>
      <c r="B35" s="8">
        <v>821250.715</v>
      </c>
      <c r="C35" s="8">
        <v>489035.1625</v>
      </c>
      <c r="D35" s="8">
        <v>0</v>
      </c>
      <c r="E35" s="8">
        <v>0</v>
      </c>
      <c r="F35" s="8">
        <v>0</v>
      </c>
      <c r="G35" s="8">
        <v>218435.40562</v>
      </c>
      <c r="H35" s="8">
        <v>0</v>
      </c>
      <c r="I35" s="8">
        <v>11610.255</v>
      </c>
      <c r="J35" s="8">
        <v>0</v>
      </c>
      <c r="K35" s="8">
        <v>102169.891</v>
      </c>
      <c r="M35" s="16">
        <f t="shared" si="0"/>
        <v>489035.1625</v>
      </c>
      <c r="N35" s="16">
        <f t="shared" si="1"/>
        <v>11610.255</v>
      </c>
      <c r="O35" s="259">
        <v>-1085</v>
      </c>
    </row>
    <row r="36" spans="1:15" ht="12.75">
      <c r="A36">
        <v>2047</v>
      </c>
      <c r="B36" s="8">
        <v>821250.715</v>
      </c>
      <c r="C36" s="8">
        <v>489037.305</v>
      </c>
      <c r="D36" s="8">
        <v>0</v>
      </c>
      <c r="E36" s="8">
        <v>0</v>
      </c>
      <c r="F36" s="8">
        <v>0</v>
      </c>
      <c r="G36" s="8">
        <v>218435.40562</v>
      </c>
      <c r="H36" s="8">
        <v>0</v>
      </c>
      <c r="I36" s="8">
        <v>11610.262</v>
      </c>
      <c r="J36" s="8">
        <v>0</v>
      </c>
      <c r="K36" s="8">
        <v>102167.742</v>
      </c>
      <c r="M36" s="16">
        <f t="shared" si="0"/>
        <v>489037.305</v>
      </c>
      <c r="N36" s="16">
        <f t="shared" si="1"/>
        <v>11610.262</v>
      </c>
      <c r="O36" s="259">
        <v>-1085</v>
      </c>
    </row>
    <row r="37" spans="1:15" ht="12.75">
      <c r="A37">
        <v>2048</v>
      </c>
      <c r="B37" s="8">
        <v>821250.715</v>
      </c>
      <c r="C37" s="8">
        <v>489035.14</v>
      </c>
      <c r="D37" s="8">
        <v>0</v>
      </c>
      <c r="E37" s="8">
        <v>0</v>
      </c>
      <c r="F37" s="8">
        <v>0</v>
      </c>
      <c r="G37" s="8">
        <v>218435.40562</v>
      </c>
      <c r="H37" s="8">
        <v>0</v>
      </c>
      <c r="I37" s="8">
        <v>11610.255</v>
      </c>
      <c r="J37" s="8">
        <v>0</v>
      </c>
      <c r="K37" s="8">
        <v>102169.914</v>
      </c>
      <c r="M37" s="16">
        <f t="shared" si="0"/>
        <v>489035.14</v>
      </c>
      <c r="N37" s="16">
        <f t="shared" si="1"/>
        <v>11610.255</v>
      </c>
      <c r="O37" s="259">
        <v>-1085</v>
      </c>
    </row>
    <row r="38" spans="1:15" ht="12.75">
      <c r="A38">
        <v>2049</v>
      </c>
      <c r="B38" s="8">
        <v>821250.715</v>
      </c>
      <c r="C38" s="8">
        <v>489035.925</v>
      </c>
      <c r="D38" s="8">
        <v>0</v>
      </c>
      <c r="E38" s="8">
        <v>0</v>
      </c>
      <c r="F38" s="8">
        <v>0</v>
      </c>
      <c r="G38" s="8">
        <v>218435.40562</v>
      </c>
      <c r="H38" s="8">
        <v>0</v>
      </c>
      <c r="I38" s="8">
        <v>11610.258</v>
      </c>
      <c r="J38" s="8">
        <v>0</v>
      </c>
      <c r="K38" s="8">
        <v>102169.126</v>
      </c>
      <c r="M38" s="16">
        <f t="shared" si="0"/>
        <v>489035.925</v>
      </c>
      <c r="N38" s="16">
        <f t="shared" si="1"/>
        <v>11610.258</v>
      </c>
      <c r="O38" s="259">
        <v>-1085</v>
      </c>
    </row>
    <row r="39" spans="1:15" ht="12.75">
      <c r="A39">
        <v>2050</v>
      </c>
      <c r="B39" s="8">
        <v>821250.715</v>
      </c>
      <c r="C39" s="8">
        <v>489035.685</v>
      </c>
      <c r="D39" s="8">
        <v>0</v>
      </c>
      <c r="E39" s="8">
        <v>0</v>
      </c>
      <c r="F39" s="8">
        <v>0</v>
      </c>
      <c r="G39" s="8">
        <v>218435.40562</v>
      </c>
      <c r="H39" s="8">
        <v>0</v>
      </c>
      <c r="I39" s="8">
        <v>11610.257</v>
      </c>
      <c r="J39" s="8">
        <v>0</v>
      </c>
      <c r="K39" s="8">
        <v>102169.367</v>
      </c>
      <c r="M39" s="16">
        <f t="shared" si="0"/>
        <v>489035.685</v>
      </c>
      <c r="N39" s="16">
        <f t="shared" si="1"/>
        <v>11610.257</v>
      </c>
      <c r="O39" s="259">
        <v>-1085</v>
      </c>
    </row>
    <row r="40" spans="1:15" ht="12.75">
      <c r="A40">
        <v>2051</v>
      </c>
      <c r="B40" s="8">
        <v>821250.715</v>
      </c>
      <c r="C40" s="8">
        <v>489034.7925</v>
      </c>
      <c r="D40" s="8">
        <v>0</v>
      </c>
      <c r="E40" s="8">
        <v>0</v>
      </c>
      <c r="F40" s="8">
        <v>0</v>
      </c>
      <c r="G40" s="8">
        <v>218435.40562</v>
      </c>
      <c r="H40" s="8">
        <v>0</v>
      </c>
      <c r="I40" s="8">
        <v>11610.254</v>
      </c>
      <c r="J40" s="8">
        <v>0</v>
      </c>
      <c r="K40" s="8">
        <v>102170.262</v>
      </c>
      <c r="M40" s="16">
        <f t="shared" si="0"/>
        <v>489034.7925</v>
      </c>
      <c r="N40" s="16">
        <f t="shared" si="1"/>
        <v>11610.254</v>
      </c>
      <c r="O40" s="259">
        <v>-1085</v>
      </c>
    </row>
    <row r="41" spans="1:15" ht="12.75">
      <c r="A41">
        <v>2052</v>
      </c>
      <c r="B41" s="8">
        <v>821250.715</v>
      </c>
      <c r="C41" s="8">
        <v>489035.1775</v>
      </c>
      <c r="D41" s="8">
        <v>0</v>
      </c>
      <c r="E41" s="8">
        <v>0</v>
      </c>
      <c r="F41" s="8">
        <v>0</v>
      </c>
      <c r="G41" s="8">
        <v>218435.40562</v>
      </c>
      <c r="H41" s="8">
        <v>0</v>
      </c>
      <c r="I41" s="8">
        <v>11610.255</v>
      </c>
      <c r="J41" s="8">
        <v>0</v>
      </c>
      <c r="K41" s="8">
        <v>102169.876</v>
      </c>
      <c r="M41" s="16">
        <f t="shared" si="0"/>
        <v>489035.1775</v>
      </c>
      <c r="N41" s="16">
        <f t="shared" si="1"/>
        <v>11610.255</v>
      </c>
      <c r="O41" s="259">
        <v>-1085</v>
      </c>
    </row>
    <row r="42" spans="1:15" ht="12.75">
      <c r="A42">
        <v>2053</v>
      </c>
      <c r="B42" s="8">
        <v>821250.715</v>
      </c>
      <c r="C42" s="8">
        <v>489035.1825</v>
      </c>
      <c r="D42" s="8">
        <v>0</v>
      </c>
      <c r="E42" s="8">
        <v>0</v>
      </c>
      <c r="F42" s="8">
        <v>0</v>
      </c>
      <c r="G42" s="8">
        <v>218435.40562</v>
      </c>
      <c r="H42" s="8">
        <v>0</v>
      </c>
      <c r="I42" s="8">
        <v>11610.255</v>
      </c>
      <c r="J42" s="8">
        <v>0</v>
      </c>
      <c r="K42" s="8">
        <v>102169.871</v>
      </c>
      <c r="M42" s="16">
        <f t="shared" si="0"/>
        <v>489035.1825</v>
      </c>
      <c r="N42" s="16">
        <f t="shared" si="1"/>
        <v>11610.255</v>
      </c>
      <c r="O42" s="259">
        <v>-1085</v>
      </c>
    </row>
    <row r="43" spans="1:15" ht="12.75">
      <c r="A43">
        <v>2054</v>
      </c>
      <c r="B43" s="8">
        <v>821250.715</v>
      </c>
      <c r="C43" s="8">
        <v>489035.9575</v>
      </c>
      <c r="D43" s="8">
        <v>0</v>
      </c>
      <c r="E43" s="8">
        <v>0</v>
      </c>
      <c r="F43" s="8">
        <v>0</v>
      </c>
      <c r="G43" s="8">
        <v>218435.40562</v>
      </c>
      <c r="H43" s="8">
        <v>0</v>
      </c>
      <c r="I43" s="8">
        <v>11610.258</v>
      </c>
      <c r="J43" s="8">
        <v>0</v>
      </c>
      <c r="K43" s="8">
        <v>102169.093</v>
      </c>
      <c r="M43" s="16">
        <f t="shared" si="0"/>
        <v>489035.9575</v>
      </c>
      <c r="N43" s="16">
        <f t="shared" si="1"/>
        <v>11610.258</v>
      </c>
      <c r="O43" s="259">
        <v>-1085</v>
      </c>
    </row>
    <row r="44" spans="1:15" ht="12.75">
      <c r="A44">
        <v>2055</v>
      </c>
      <c r="B44" s="8">
        <v>821250.715</v>
      </c>
      <c r="C44" s="8">
        <v>489036.2425</v>
      </c>
      <c r="D44" s="8">
        <v>0</v>
      </c>
      <c r="E44" s="8">
        <v>0</v>
      </c>
      <c r="F44" s="8">
        <v>0</v>
      </c>
      <c r="G44" s="8">
        <v>218435.40562</v>
      </c>
      <c r="H44" s="8">
        <v>0</v>
      </c>
      <c r="I44" s="8">
        <v>11610.259</v>
      </c>
      <c r="J44" s="8">
        <v>0</v>
      </c>
      <c r="K44" s="8">
        <v>102168.807</v>
      </c>
      <c r="M44" s="16">
        <f t="shared" si="0"/>
        <v>489036.2425</v>
      </c>
      <c r="N44" s="16">
        <f t="shared" si="1"/>
        <v>11610.259</v>
      </c>
      <c r="O44" s="259">
        <v>-1085</v>
      </c>
    </row>
    <row r="45" spans="1:15" ht="12.75">
      <c r="A45">
        <v>2056</v>
      </c>
      <c r="B45" s="8">
        <v>821250.715</v>
      </c>
      <c r="C45" s="8">
        <v>489033.69</v>
      </c>
      <c r="D45" s="8">
        <v>0</v>
      </c>
      <c r="E45" s="8">
        <v>0</v>
      </c>
      <c r="F45" s="8">
        <v>0</v>
      </c>
      <c r="G45" s="8">
        <v>218435.40562</v>
      </c>
      <c r="H45" s="8">
        <v>0</v>
      </c>
      <c r="I45" s="8">
        <v>11610.25</v>
      </c>
      <c r="J45" s="8">
        <v>0</v>
      </c>
      <c r="K45" s="8">
        <v>102171.369</v>
      </c>
      <c r="M45" s="16">
        <f t="shared" si="0"/>
        <v>489033.69</v>
      </c>
      <c r="N45" s="16">
        <f t="shared" si="1"/>
        <v>11610.25</v>
      </c>
      <c r="O45" s="259">
        <v>-1085</v>
      </c>
    </row>
    <row r="46" spans="1:15" ht="12.75">
      <c r="A46">
        <v>2057</v>
      </c>
      <c r="B46" s="8">
        <v>821250.715</v>
      </c>
      <c r="C46" s="8">
        <v>489033.615</v>
      </c>
      <c r="D46" s="8">
        <v>0</v>
      </c>
      <c r="E46" s="8">
        <v>0</v>
      </c>
      <c r="F46" s="8">
        <v>0</v>
      </c>
      <c r="G46" s="8">
        <v>218435.40562</v>
      </c>
      <c r="H46" s="8">
        <v>0</v>
      </c>
      <c r="I46" s="8">
        <v>11610.25</v>
      </c>
      <c r="J46" s="8">
        <v>0</v>
      </c>
      <c r="K46" s="8">
        <v>102171.444</v>
      </c>
      <c r="M46" s="16">
        <f t="shared" si="0"/>
        <v>489033.615</v>
      </c>
      <c r="N46" s="16">
        <f t="shared" si="1"/>
        <v>11610.25</v>
      </c>
      <c r="O46" s="259">
        <v>-1085</v>
      </c>
    </row>
    <row r="47" spans="1:15" ht="12.75">
      <c r="A47">
        <v>2058</v>
      </c>
      <c r="B47" s="8">
        <v>821250.715</v>
      </c>
      <c r="C47" s="8">
        <v>489034.7375</v>
      </c>
      <c r="D47" s="8">
        <v>0</v>
      </c>
      <c r="E47" s="8">
        <v>0</v>
      </c>
      <c r="F47" s="8">
        <v>0</v>
      </c>
      <c r="G47" s="8">
        <v>277651.12362</v>
      </c>
      <c r="H47" s="8">
        <v>0</v>
      </c>
      <c r="I47" s="8">
        <v>11610.254</v>
      </c>
      <c r="J47" s="8">
        <v>0</v>
      </c>
      <c r="K47" s="8">
        <v>42954.599</v>
      </c>
      <c r="M47" s="16">
        <f t="shared" si="0"/>
        <v>489034.7375</v>
      </c>
      <c r="N47" s="16">
        <f t="shared" si="1"/>
        <v>11610.254</v>
      </c>
      <c r="O47" s="259">
        <v>-1085</v>
      </c>
    </row>
    <row r="48" spans="1:15" ht="12.75">
      <c r="A48">
        <v>2059</v>
      </c>
      <c r="B48" s="8">
        <v>821250.715</v>
      </c>
      <c r="C48" s="8">
        <v>489038.2225</v>
      </c>
      <c r="D48" s="8">
        <v>0</v>
      </c>
      <c r="E48" s="8">
        <v>0</v>
      </c>
      <c r="F48" s="8">
        <v>0</v>
      </c>
      <c r="G48" s="8">
        <v>221453.82262</v>
      </c>
      <c r="H48" s="8">
        <v>0</v>
      </c>
      <c r="I48" s="8">
        <v>8723.499</v>
      </c>
      <c r="J48" s="8">
        <v>0</v>
      </c>
      <c r="K48" s="8">
        <v>102035.17</v>
      </c>
      <c r="M48" s="16">
        <f t="shared" si="0"/>
        <v>489038.2225</v>
      </c>
      <c r="N48" s="16">
        <f t="shared" si="1"/>
        <v>8723.499</v>
      </c>
      <c r="O48" s="259">
        <v>-1085</v>
      </c>
    </row>
    <row r="49" spans="1:15" ht="12.75">
      <c r="A49">
        <v>2060</v>
      </c>
      <c r="B49" s="8">
        <v>821250.715</v>
      </c>
      <c r="C49" s="8">
        <v>489037.4625</v>
      </c>
      <c r="D49" s="8">
        <v>0</v>
      </c>
      <c r="E49" s="8">
        <v>0</v>
      </c>
      <c r="F49" s="8">
        <v>0</v>
      </c>
      <c r="G49" s="8">
        <v>218435.40562</v>
      </c>
      <c r="H49" s="8">
        <v>0</v>
      </c>
      <c r="I49" s="8">
        <v>8591.441</v>
      </c>
      <c r="J49" s="8">
        <v>0</v>
      </c>
      <c r="K49" s="8">
        <v>105186.405</v>
      </c>
      <c r="M49" s="16">
        <f t="shared" si="0"/>
        <v>489037.4625</v>
      </c>
      <c r="N49" s="16">
        <f t="shared" si="1"/>
        <v>8591.441</v>
      </c>
      <c r="O49" s="259">
        <v>-1085</v>
      </c>
    </row>
    <row r="50" spans="1:15" ht="12.75">
      <c r="A50">
        <v>2061</v>
      </c>
      <c r="B50" s="8">
        <v>821250.715</v>
      </c>
      <c r="C50" s="8">
        <v>489037.19</v>
      </c>
      <c r="D50" s="8">
        <v>0</v>
      </c>
      <c r="E50" s="8">
        <v>0</v>
      </c>
      <c r="F50" s="8">
        <v>0</v>
      </c>
      <c r="G50" s="8">
        <v>218435.40562</v>
      </c>
      <c r="H50" s="8">
        <v>0</v>
      </c>
      <c r="I50" s="8">
        <v>8591.44</v>
      </c>
      <c r="J50" s="8">
        <v>0</v>
      </c>
      <c r="K50" s="8">
        <v>105186.679</v>
      </c>
      <c r="M50" s="16">
        <f t="shared" si="0"/>
        <v>489037.19</v>
      </c>
      <c r="N50" s="16">
        <f t="shared" si="1"/>
        <v>8591.44</v>
      </c>
      <c r="O50" s="259">
        <v>-1085</v>
      </c>
    </row>
    <row r="51" spans="1:15" ht="12.75">
      <c r="A51">
        <v>2062</v>
      </c>
      <c r="B51" s="8">
        <v>821250.715</v>
      </c>
      <c r="C51" s="8">
        <v>489035.2525</v>
      </c>
      <c r="D51" s="8">
        <v>0</v>
      </c>
      <c r="E51" s="8">
        <v>0</v>
      </c>
      <c r="F51" s="8">
        <v>0</v>
      </c>
      <c r="G51" s="8">
        <v>218435.40562</v>
      </c>
      <c r="H51" s="8">
        <v>0</v>
      </c>
      <c r="I51" s="8">
        <v>8591.433</v>
      </c>
      <c r="J51" s="8">
        <v>0</v>
      </c>
      <c r="K51" s="8">
        <v>105188.623</v>
      </c>
      <c r="M51" s="16">
        <f t="shared" si="0"/>
        <v>489035.2525</v>
      </c>
      <c r="N51" s="16">
        <f t="shared" si="1"/>
        <v>8591.433</v>
      </c>
      <c r="O51" s="259">
        <v>-1085</v>
      </c>
    </row>
    <row r="52" spans="1:15" ht="12.75">
      <c r="A52">
        <v>2063</v>
      </c>
      <c r="B52" s="8">
        <v>821250.715</v>
      </c>
      <c r="C52" s="8">
        <v>489035.4025</v>
      </c>
      <c r="D52" s="8">
        <v>0</v>
      </c>
      <c r="E52" s="8">
        <v>0</v>
      </c>
      <c r="F52" s="8">
        <v>0</v>
      </c>
      <c r="G52" s="8">
        <v>218435.40562</v>
      </c>
      <c r="H52" s="8">
        <v>0</v>
      </c>
      <c r="I52" s="8">
        <v>8591.434</v>
      </c>
      <c r="J52" s="8">
        <v>0</v>
      </c>
      <c r="K52" s="8">
        <v>105188.472</v>
      </c>
      <c r="M52" s="16">
        <f t="shared" si="0"/>
        <v>489035.4025</v>
      </c>
      <c r="N52" s="16">
        <f t="shared" si="1"/>
        <v>8591.434</v>
      </c>
      <c r="O52" s="259">
        <v>-1085</v>
      </c>
    </row>
    <row r="53" spans="1:15" ht="12.75">
      <c r="A53">
        <v>2064</v>
      </c>
      <c r="B53" s="8">
        <v>821250.715</v>
      </c>
      <c r="C53" s="8">
        <v>489036.8625</v>
      </c>
      <c r="D53" s="8">
        <v>0</v>
      </c>
      <c r="E53" s="8">
        <v>0</v>
      </c>
      <c r="F53" s="8">
        <v>0</v>
      </c>
      <c r="G53" s="8">
        <v>218435.40562</v>
      </c>
      <c r="H53" s="8">
        <v>0</v>
      </c>
      <c r="I53" s="8">
        <v>8591.439</v>
      </c>
      <c r="J53" s="8">
        <v>0</v>
      </c>
      <c r="K53" s="8">
        <v>105187.007</v>
      </c>
      <c r="M53" s="16">
        <f t="shared" si="0"/>
        <v>489036.8625</v>
      </c>
      <c r="N53" s="16">
        <f t="shared" si="1"/>
        <v>8591.439</v>
      </c>
      <c r="O53" s="259">
        <v>-1085</v>
      </c>
    </row>
    <row r="54" spans="1:15" ht="12.75">
      <c r="A54">
        <v>2065</v>
      </c>
      <c r="B54" s="8">
        <v>821250.715</v>
      </c>
      <c r="C54" s="8">
        <v>489034.47</v>
      </c>
      <c r="D54" s="8">
        <v>0</v>
      </c>
      <c r="E54" s="8">
        <v>0</v>
      </c>
      <c r="F54" s="8">
        <v>0</v>
      </c>
      <c r="G54" s="8">
        <v>218435.40562</v>
      </c>
      <c r="H54" s="8">
        <v>0</v>
      </c>
      <c r="I54" s="8">
        <v>8591.431</v>
      </c>
      <c r="J54" s="8">
        <v>0</v>
      </c>
      <c r="K54" s="8">
        <v>105189.408</v>
      </c>
      <c r="M54" s="16">
        <f t="shared" si="0"/>
        <v>489034.47</v>
      </c>
      <c r="N54" s="16">
        <f t="shared" si="1"/>
        <v>8591.431</v>
      </c>
      <c r="O54" s="259">
        <v>-1085</v>
      </c>
    </row>
    <row r="55" spans="1:15" ht="12.75">
      <c r="A55">
        <v>2066</v>
      </c>
      <c r="B55" s="8">
        <v>821250.715</v>
      </c>
      <c r="C55" s="8">
        <v>489035.0725</v>
      </c>
      <c r="D55" s="8">
        <v>0</v>
      </c>
      <c r="E55" s="8">
        <v>0</v>
      </c>
      <c r="F55" s="8">
        <v>0</v>
      </c>
      <c r="G55" s="8">
        <v>218435.40562</v>
      </c>
      <c r="H55" s="8">
        <v>0</v>
      </c>
      <c r="I55" s="8">
        <v>8591.433</v>
      </c>
      <c r="J55" s="8">
        <v>0</v>
      </c>
      <c r="K55" s="8">
        <v>105188.803</v>
      </c>
      <c r="M55" s="16">
        <f t="shared" si="0"/>
        <v>489035.0725</v>
      </c>
      <c r="N55" s="16">
        <f t="shared" si="1"/>
        <v>8591.433</v>
      </c>
      <c r="O55" s="259">
        <v>-1085</v>
      </c>
    </row>
    <row r="56" spans="1:15" ht="12.75">
      <c r="A56">
        <v>2067</v>
      </c>
      <c r="B56" s="8">
        <v>821250.715</v>
      </c>
      <c r="C56" s="8">
        <v>489036.73</v>
      </c>
      <c r="D56" s="8">
        <v>0</v>
      </c>
      <c r="E56" s="8">
        <v>0</v>
      </c>
      <c r="F56" s="8">
        <v>0</v>
      </c>
      <c r="G56" s="8">
        <v>218435.40562</v>
      </c>
      <c r="H56" s="8">
        <v>0</v>
      </c>
      <c r="I56" s="8">
        <v>8591.438</v>
      </c>
      <c r="J56" s="8">
        <v>0</v>
      </c>
      <c r="K56" s="8">
        <v>105187.141</v>
      </c>
      <c r="M56" s="16">
        <f t="shared" si="0"/>
        <v>489036.73</v>
      </c>
      <c r="N56" s="16">
        <f t="shared" si="1"/>
        <v>8591.438</v>
      </c>
      <c r="O56" s="259">
        <v>-1085</v>
      </c>
    </row>
    <row r="57" spans="1:15" ht="12.75">
      <c r="A57">
        <v>2068</v>
      </c>
      <c r="B57" s="8">
        <v>821250.715</v>
      </c>
      <c r="C57" s="8">
        <v>489034.0775</v>
      </c>
      <c r="D57" s="8">
        <v>0</v>
      </c>
      <c r="E57" s="8">
        <v>0</v>
      </c>
      <c r="F57" s="8">
        <v>0</v>
      </c>
      <c r="G57" s="8">
        <v>218435.40562</v>
      </c>
      <c r="H57" s="8">
        <v>0</v>
      </c>
      <c r="I57" s="8">
        <v>8591.429</v>
      </c>
      <c r="J57" s="8">
        <v>0</v>
      </c>
      <c r="K57" s="8">
        <v>105189.802</v>
      </c>
      <c r="M57" s="16">
        <f t="shared" si="0"/>
        <v>489034.0775</v>
      </c>
      <c r="N57" s="16">
        <f t="shared" si="1"/>
        <v>8591.429</v>
      </c>
      <c r="O57" s="259">
        <v>-1085</v>
      </c>
    </row>
    <row r="58" spans="1:15" ht="12.75">
      <c r="A58">
        <v>2069</v>
      </c>
      <c r="B58" s="8">
        <v>821250.715</v>
      </c>
      <c r="C58" s="8">
        <v>489034.6475</v>
      </c>
      <c r="D58" s="8">
        <v>0</v>
      </c>
      <c r="E58" s="8">
        <v>0</v>
      </c>
      <c r="F58" s="8">
        <v>0</v>
      </c>
      <c r="G58" s="8">
        <v>218435.40562</v>
      </c>
      <c r="H58" s="8">
        <v>0</v>
      </c>
      <c r="I58" s="8">
        <v>8591.431</v>
      </c>
      <c r="J58" s="8">
        <v>0</v>
      </c>
      <c r="K58" s="8">
        <v>105189.23</v>
      </c>
      <c r="M58" s="16">
        <f t="shared" si="0"/>
        <v>489034.6475</v>
      </c>
      <c r="N58" s="16">
        <f t="shared" si="1"/>
        <v>8591.431</v>
      </c>
      <c r="O58" s="259">
        <v>-1085</v>
      </c>
    </row>
    <row r="59" spans="1:12" ht="12.75">
      <c r="A59" t="s">
        <v>469</v>
      </c>
      <c r="B59" s="8">
        <v>43960276.71</v>
      </c>
      <c r="C59" s="8">
        <v>17928454.2192</v>
      </c>
      <c r="D59" s="8">
        <v>0</v>
      </c>
      <c r="E59" s="8">
        <v>-629631.364</v>
      </c>
      <c r="F59" s="8">
        <v>2079739.16925</v>
      </c>
      <c r="G59" s="8">
        <v>16027036.61538</v>
      </c>
      <c r="H59" s="8">
        <v>9289.904</v>
      </c>
      <c r="I59" s="8">
        <v>4092071.358</v>
      </c>
      <c r="J59" s="8">
        <v>442074.516</v>
      </c>
      <c r="K59" s="8">
        <v>4011242.266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76"/>
  <sheetViews>
    <sheetView workbookViewId="0" topLeftCell="B1">
      <selection activeCell="V1" sqref="V1"/>
    </sheetView>
  </sheetViews>
  <sheetFormatPr defaultColWidth="9.140625" defaultRowHeight="12.75"/>
  <cols>
    <col min="1" max="1" width="9.140625" style="105" hidden="1" customWidth="1"/>
    <col min="2" max="2" width="5.28125" style="105" customWidth="1"/>
    <col min="3" max="3" width="9.140625" style="105" customWidth="1"/>
    <col min="4" max="4" width="3.421875" style="105" customWidth="1"/>
    <col min="5" max="5" width="9.8515625" style="105" customWidth="1"/>
    <col min="6" max="6" width="3.57421875" style="105" customWidth="1"/>
    <col min="7" max="7" width="11.57421875" style="105" customWidth="1"/>
    <col min="8" max="8" width="2.57421875" style="105" customWidth="1"/>
    <col min="9" max="9" width="9.7109375" style="105" customWidth="1"/>
    <col min="10" max="10" width="3.57421875" style="105" customWidth="1"/>
    <col min="11" max="11" width="10.7109375" style="105" bestFit="1" customWidth="1"/>
    <col min="12" max="12" width="2.8515625" style="105" customWidth="1"/>
    <col min="13" max="13" width="10.28125" style="105" customWidth="1"/>
    <col min="14" max="14" width="3.28125" style="105" customWidth="1"/>
    <col min="15" max="15" width="16.8515625" style="105" customWidth="1"/>
    <col min="16" max="16" width="3.28125" style="105" customWidth="1"/>
    <col min="17" max="17" width="11.421875" style="105" customWidth="1"/>
    <col min="18" max="18" width="3.28125" style="105" customWidth="1"/>
    <col min="19" max="19" width="9.7109375" style="105" customWidth="1"/>
    <col min="20" max="20" width="2.7109375" style="105" customWidth="1"/>
    <col min="21" max="21" width="10.8515625" style="105" customWidth="1"/>
    <col min="22" max="259" width="9.140625" style="105" customWidth="1"/>
    <col min="260" max="260" width="9.140625" style="105" hidden="1" customWidth="1"/>
    <col min="261" max="261" width="9.140625" style="105" customWidth="1"/>
    <col min="262" max="262" width="3.421875" style="105" customWidth="1"/>
    <col min="263" max="263" width="9.8515625" style="105" customWidth="1"/>
    <col min="264" max="264" width="3.57421875" style="105" customWidth="1"/>
    <col min="265" max="265" width="9.140625" style="105" customWidth="1"/>
    <col min="266" max="266" width="2.57421875" style="105" customWidth="1"/>
    <col min="267" max="267" width="9.7109375" style="105" customWidth="1"/>
    <col min="268" max="268" width="3.57421875" style="105" customWidth="1"/>
    <col min="269" max="269" width="9.140625" style="105" customWidth="1"/>
    <col min="270" max="270" width="2.8515625" style="105" customWidth="1"/>
    <col min="271" max="271" width="10.28125" style="105" customWidth="1"/>
    <col min="272" max="272" width="3.28125" style="105" customWidth="1"/>
    <col min="273" max="273" width="11.421875" style="105" customWidth="1"/>
    <col min="274" max="274" width="3.28125" style="105" customWidth="1"/>
    <col min="275" max="275" width="9.7109375" style="105" customWidth="1"/>
    <col min="276" max="276" width="2.7109375" style="105" customWidth="1"/>
    <col min="277" max="277" width="10.8515625" style="105" customWidth="1"/>
    <col min="278" max="515" width="9.140625" style="105" customWidth="1"/>
    <col min="516" max="516" width="9.140625" style="105" hidden="1" customWidth="1"/>
    <col min="517" max="517" width="9.140625" style="105" customWidth="1"/>
    <col min="518" max="518" width="3.421875" style="105" customWidth="1"/>
    <col min="519" max="519" width="9.8515625" style="105" customWidth="1"/>
    <col min="520" max="520" width="3.57421875" style="105" customWidth="1"/>
    <col min="521" max="521" width="9.140625" style="105" customWidth="1"/>
    <col min="522" max="522" width="2.57421875" style="105" customWidth="1"/>
    <col min="523" max="523" width="9.7109375" style="105" customWidth="1"/>
    <col min="524" max="524" width="3.57421875" style="105" customWidth="1"/>
    <col min="525" max="525" width="9.140625" style="105" customWidth="1"/>
    <col min="526" max="526" width="2.8515625" style="105" customWidth="1"/>
    <col min="527" max="527" width="10.28125" style="105" customWidth="1"/>
    <col min="528" max="528" width="3.28125" style="105" customWidth="1"/>
    <col min="529" max="529" width="11.421875" style="105" customWidth="1"/>
    <col min="530" max="530" width="3.28125" style="105" customWidth="1"/>
    <col min="531" max="531" width="9.7109375" style="105" customWidth="1"/>
    <col min="532" max="532" width="2.7109375" style="105" customWidth="1"/>
    <col min="533" max="533" width="10.8515625" style="105" customWidth="1"/>
    <col min="534" max="771" width="9.140625" style="105" customWidth="1"/>
    <col min="772" max="772" width="9.140625" style="105" hidden="1" customWidth="1"/>
    <col min="773" max="773" width="9.140625" style="105" customWidth="1"/>
    <col min="774" max="774" width="3.421875" style="105" customWidth="1"/>
    <col min="775" max="775" width="9.8515625" style="105" customWidth="1"/>
    <col min="776" max="776" width="3.57421875" style="105" customWidth="1"/>
    <col min="777" max="777" width="9.140625" style="105" customWidth="1"/>
    <col min="778" max="778" width="2.57421875" style="105" customWidth="1"/>
    <col min="779" max="779" width="9.7109375" style="105" customWidth="1"/>
    <col min="780" max="780" width="3.57421875" style="105" customWidth="1"/>
    <col min="781" max="781" width="9.140625" style="105" customWidth="1"/>
    <col min="782" max="782" width="2.8515625" style="105" customWidth="1"/>
    <col min="783" max="783" width="10.28125" style="105" customWidth="1"/>
    <col min="784" max="784" width="3.28125" style="105" customWidth="1"/>
    <col min="785" max="785" width="11.421875" style="105" customWidth="1"/>
    <col min="786" max="786" width="3.28125" style="105" customWidth="1"/>
    <col min="787" max="787" width="9.7109375" style="105" customWidth="1"/>
    <col min="788" max="788" width="2.7109375" style="105" customWidth="1"/>
    <col min="789" max="789" width="10.8515625" style="105" customWidth="1"/>
    <col min="790" max="1027" width="9.140625" style="105" customWidth="1"/>
    <col min="1028" max="1028" width="9.140625" style="105" hidden="1" customWidth="1"/>
    <col min="1029" max="1029" width="9.140625" style="105" customWidth="1"/>
    <col min="1030" max="1030" width="3.421875" style="105" customWidth="1"/>
    <col min="1031" max="1031" width="9.8515625" style="105" customWidth="1"/>
    <col min="1032" max="1032" width="3.57421875" style="105" customWidth="1"/>
    <col min="1033" max="1033" width="9.140625" style="105" customWidth="1"/>
    <col min="1034" max="1034" width="2.57421875" style="105" customWidth="1"/>
    <col min="1035" max="1035" width="9.7109375" style="105" customWidth="1"/>
    <col min="1036" max="1036" width="3.57421875" style="105" customWidth="1"/>
    <col min="1037" max="1037" width="9.140625" style="105" customWidth="1"/>
    <col min="1038" max="1038" width="2.8515625" style="105" customWidth="1"/>
    <col min="1039" max="1039" width="10.28125" style="105" customWidth="1"/>
    <col min="1040" max="1040" width="3.28125" style="105" customWidth="1"/>
    <col min="1041" max="1041" width="11.421875" style="105" customWidth="1"/>
    <col min="1042" max="1042" width="3.28125" style="105" customWidth="1"/>
    <col min="1043" max="1043" width="9.7109375" style="105" customWidth="1"/>
    <col min="1044" max="1044" width="2.7109375" style="105" customWidth="1"/>
    <col min="1045" max="1045" width="10.8515625" style="105" customWidth="1"/>
    <col min="1046" max="1283" width="9.140625" style="105" customWidth="1"/>
    <col min="1284" max="1284" width="9.140625" style="105" hidden="1" customWidth="1"/>
    <col min="1285" max="1285" width="9.140625" style="105" customWidth="1"/>
    <col min="1286" max="1286" width="3.421875" style="105" customWidth="1"/>
    <col min="1287" max="1287" width="9.8515625" style="105" customWidth="1"/>
    <col min="1288" max="1288" width="3.57421875" style="105" customWidth="1"/>
    <col min="1289" max="1289" width="9.140625" style="105" customWidth="1"/>
    <col min="1290" max="1290" width="2.57421875" style="105" customWidth="1"/>
    <col min="1291" max="1291" width="9.7109375" style="105" customWidth="1"/>
    <col min="1292" max="1292" width="3.57421875" style="105" customWidth="1"/>
    <col min="1293" max="1293" width="9.140625" style="105" customWidth="1"/>
    <col min="1294" max="1294" width="2.8515625" style="105" customWidth="1"/>
    <col min="1295" max="1295" width="10.28125" style="105" customWidth="1"/>
    <col min="1296" max="1296" width="3.28125" style="105" customWidth="1"/>
    <col min="1297" max="1297" width="11.421875" style="105" customWidth="1"/>
    <col min="1298" max="1298" width="3.28125" style="105" customWidth="1"/>
    <col min="1299" max="1299" width="9.7109375" style="105" customWidth="1"/>
    <col min="1300" max="1300" width="2.7109375" style="105" customWidth="1"/>
    <col min="1301" max="1301" width="10.8515625" style="105" customWidth="1"/>
    <col min="1302" max="1539" width="9.140625" style="105" customWidth="1"/>
    <col min="1540" max="1540" width="9.140625" style="105" hidden="1" customWidth="1"/>
    <col min="1541" max="1541" width="9.140625" style="105" customWidth="1"/>
    <col min="1542" max="1542" width="3.421875" style="105" customWidth="1"/>
    <col min="1543" max="1543" width="9.8515625" style="105" customWidth="1"/>
    <col min="1544" max="1544" width="3.57421875" style="105" customWidth="1"/>
    <col min="1545" max="1545" width="9.140625" style="105" customWidth="1"/>
    <col min="1546" max="1546" width="2.57421875" style="105" customWidth="1"/>
    <col min="1547" max="1547" width="9.7109375" style="105" customWidth="1"/>
    <col min="1548" max="1548" width="3.57421875" style="105" customWidth="1"/>
    <col min="1549" max="1549" width="9.140625" style="105" customWidth="1"/>
    <col min="1550" max="1550" width="2.8515625" style="105" customWidth="1"/>
    <col min="1551" max="1551" width="10.28125" style="105" customWidth="1"/>
    <col min="1552" max="1552" width="3.28125" style="105" customWidth="1"/>
    <col min="1553" max="1553" width="11.421875" style="105" customWidth="1"/>
    <col min="1554" max="1554" width="3.28125" style="105" customWidth="1"/>
    <col min="1555" max="1555" width="9.7109375" style="105" customWidth="1"/>
    <col min="1556" max="1556" width="2.7109375" style="105" customWidth="1"/>
    <col min="1557" max="1557" width="10.8515625" style="105" customWidth="1"/>
    <col min="1558" max="1795" width="9.140625" style="105" customWidth="1"/>
    <col min="1796" max="1796" width="9.140625" style="105" hidden="1" customWidth="1"/>
    <col min="1797" max="1797" width="9.140625" style="105" customWidth="1"/>
    <col min="1798" max="1798" width="3.421875" style="105" customWidth="1"/>
    <col min="1799" max="1799" width="9.8515625" style="105" customWidth="1"/>
    <col min="1800" max="1800" width="3.57421875" style="105" customWidth="1"/>
    <col min="1801" max="1801" width="9.140625" style="105" customWidth="1"/>
    <col min="1802" max="1802" width="2.57421875" style="105" customWidth="1"/>
    <col min="1803" max="1803" width="9.7109375" style="105" customWidth="1"/>
    <col min="1804" max="1804" width="3.57421875" style="105" customWidth="1"/>
    <col min="1805" max="1805" width="9.140625" style="105" customWidth="1"/>
    <col min="1806" max="1806" width="2.8515625" style="105" customWidth="1"/>
    <col min="1807" max="1807" width="10.28125" style="105" customWidth="1"/>
    <col min="1808" max="1808" width="3.28125" style="105" customWidth="1"/>
    <col min="1809" max="1809" width="11.421875" style="105" customWidth="1"/>
    <col min="1810" max="1810" width="3.28125" style="105" customWidth="1"/>
    <col min="1811" max="1811" width="9.7109375" style="105" customWidth="1"/>
    <col min="1812" max="1812" width="2.7109375" style="105" customWidth="1"/>
    <col min="1813" max="1813" width="10.8515625" style="105" customWidth="1"/>
    <col min="1814" max="2051" width="9.140625" style="105" customWidth="1"/>
    <col min="2052" max="2052" width="9.140625" style="105" hidden="1" customWidth="1"/>
    <col min="2053" max="2053" width="9.140625" style="105" customWidth="1"/>
    <col min="2054" max="2054" width="3.421875" style="105" customWidth="1"/>
    <col min="2055" max="2055" width="9.8515625" style="105" customWidth="1"/>
    <col min="2056" max="2056" width="3.57421875" style="105" customWidth="1"/>
    <col min="2057" max="2057" width="9.140625" style="105" customWidth="1"/>
    <col min="2058" max="2058" width="2.57421875" style="105" customWidth="1"/>
    <col min="2059" max="2059" width="9.7109375" style="105" customWidth="1"/>
    <col min="2060" max="2060" width="3.57421875" style="105" customWidth="1"/>
    <col min="2061" max="2061" width="9.140625" style="105" customWidth="1"/>
    <col min="2062" max="2062" width="2.8515625" style="105" customWidth="1"/>
    <col min="2063" max="2063" width="10.28125" style="105" customWidth="1"/>
    <col min="2064" max="2064" width="3.28125" style="105" customWidth="1"/>
    <col min="2065" max="2065" width="11.421875" style="105" customWidth="1"/>
    <col min="2066" max="2066" width="3.28125" style="105" customWidth="1"/>
    <col min="2067" max="2067" width="9.7109375" style="105" customWidth="1"/>
    <col min="2068" max="2068" width="2.7109375" style="105" customWidth="1"/>
    <col min="2069" max="2069" width="10.8515625" style="105" customWidth="1"/>
    <col min="2070" max="2307" width="9.140625" style="105" customWidth="1"/>
    <col min="2308" max="2308" width="9.140625" style="105" hidden="1" customWidth="1"/>
    <col min="2309" max="2309" width="9.140625" style="105" customWidth="1"/>
    <col min="2310" max="2310" width="3.421875" style="105" customWidth="1"/>
    <col min="2311" max="2311" width="9.8515625" style="105" customWidth="1"/>
    <col min="2312" max="2312" width="3.57421875" style="105" customWidth="1"/>
    <col min="2313" max="2313" width="9.140625" style="105" customWidth="1"/>
    <col min="2314" max="2314" width="2.57421875" style="105" customWidth="1"/>
    <col min="2315" max="2315" width="9.7109375" style="105" customWidth="1"/>
    <col min="2316" max="2316" width="3.57421875" style="105" customWidth="1"/>
    <col min="2317" max="2317" width="9.140625" style="105" customWidth="1"/>
    <col min="2318" max="2318" width="2.8515625" style="105" customWidth="1"/>
    <col min="2319" max="2319" width="10.28125" style="105" customWidth="1"/>
    <col min="2320" max="2320" width="3.28125" style="105" customWidth="1"/>
    <col min="2321" max="2321" width="11.421875" style="105" customWidth="1"/>
    <col min="2322" max="2322" width="3.28125" style="105" customWidth="1"/>
    <col min="2323" max="2323" width="9.7109375" style="105" customWidth="1"/>
    <col min="2324" max="2324" width="2.7109375" style="105" customWidth="1"/>
    <col min="2325" max="2325" width="10.8515625" style="105" customWidth="1"/>
    <col min="2326" max="2563" width="9.140625" style="105" customWidth="1"/>
    <col min="2564" max="2564" width="9.140625" style="105" hidden="1" customWidth="1"/>
    <col min="2565" max="2565" width="9.140625" style="105" customWidth="1"/>
    <col min="2566" max="2566" width="3.421875" style="105" customWidth="1"/>
    <col min="2567" max="2567" width="9.8515625" style="105" customWidth="1"/>
    <col min="2568" max="2568" width="3.57421875" style="105" customWidth="1"/>
    <col min="2569" max="2569" width="9.140625" style="105" customWidth="1"/>
    <col min="2570" max="2570" width="2.57421875" style="105" customWidth="1"/>
    <col min="2571" max="2571" width="9.7109375" style="105" customWidth="1"/>
    <col min="2572" max="2572" width="3.57421875" style="105" customWidth="1"/>
    <col min="2573" max="2573" width="9.140625" style="105" customWidth="1"/>
    <col min="2574" max="2574" width="2.8515625" style="105" customWidth="1"/>
    <col min="2575" max="2575" width="10.28125" style="105" customWidth="1"/>
    <col min="2576" max="2576" width="3.28125" style="105" customWidth="1"/>
    <col min="2577" max="2577" width="11.421875" style="105" customWidth="1"/>
    <col min="2578" max="2578" width="3.28125" style="105" customWidth="1"/>
    <col min="2579" max="2579" width="9.7109375" style="105" customWidth="1"/>
    <col min="2580" max="2580" width="2.7109375" style="105" customWidth="1"/>
    <col min="2581" max="2581" width="10.8515625" style="105" customWidth="1"/>
    <col min="2582" max="2819" width="9.140625" style="105" customWidth="1"/>
    <col min="2820" max="2820" width="9.140625" style="105" hidden="1" customWidth="1"/>
    <col min="2821" max="2821" width="9.140625" style="105" customWidth="1"/>
    <col min="2822" max="2822" width="3.421875" style="105" customWidth="1"/>
    <col min="2823" max="2823" width="9.8515625" style="105" customWidth="1"/>
    <col min="2824" max="2824" width="3.57421875" style="105" customWidth="1"/>
    <col min="2825" max="2825" width="9.140625" style="105" customWidth="1"/>
    <col min="2826" max="2826" width="2.57421875" style="105" customWidth="1"/>
    <col min="2827" max="2827" width="9.7109375" style="105" customWidth="1"/>
    <col min="2828" max="2828" width="3.57421875" style="105" customWidth="1"/>
    <col min="2829" max="2829" width="9.140625" style="105" customWidth="1"/>
    <col min="2830" max="2830" width="2.8515625" style="105" customWidth="1"/>
    <col min="2831" max="2831" width="10.28125" style="105" customWidth="1"/>
    <col min="2832" max="2832" width="3.28125" style="105" customWidth="1"/>
    <col min="2833" max="2833" width="11.421875" style="105" customWidth="1"/>
    <col min="2834" max="2834" width="3.28125" style="105" customWidth="1"/>
    <col min="2835" max="2835" width="9.7109375" style="105" customWidth="1"/>
    <col min="2836" max="2836" width="2.7109375" style="105" customWidth="1"/>
    <col min="2837" max="2837" width="10.8515625" style="105" customWidth="1"/>
    <col min="2838" max="3075" width="9.140625" style="105" customWidth="1"/>
    <col min="3076" max="3076" width="9.140625" style="105" hidden="1" customWidth="1"/>
    <col min="3077" max="3077" width="9.140625" style="105" customWidth="1"/>
    <col min="3078" max="3078" width="3.421875" style="105" customWidth="1"/>
    <col min="3079" max="3079" width="9.8515625" style="105" customWidth="1"/>
    <col min="3080" max="3080" width="3.57421875" style="105" customWidth="1"/>
    <col min="3081" max="3081" width="9.140625" style="105" customWidth="1"/>
    <col min="3082" max="3082" width="2.57421875" style="105" customWidth="1"/>
    <col min="3083" max="3083" width="9.7109375" style="105" customWidth="1"/>
    <col min="3084" max="3084" width="3.57421875" style="105" customWidth="1"/>
    <col min="3085" max="3085" width="9.140625" style="105" customWidth="1"/>
    <col min="3086" max="3086" width="2.8515625" style="105" customWidth="1"/>
    <col min="3087" max="3087" width="10.28125" style="105" customWidth="1"/>
    <col min="3088" max="3088" width="3.28125" style="105" customWidth="1"/>
    <col min="3089" max="3089" width="11.421875" style="105" customWidth="1"/>
    <col min="3090" max="3090" width="3.28125" style="105" customWidth="1"/>
    <col min="3091" max="3091" width="9.7109375" style="105" customWidth="1"/>
    <col min="3092" max="3092" width="2.7109375" style="105" customWidth="1"/>
    <col min="3093" max="3093" width="10.8515625" style="105" customWidth="1"/>
    <col min="3094" max="3331" width="9.140625" style="105" customWidth="1"/>
    <col min="3332" max="3332" width="9.140625" style="105" hidden="1" customWidth="1"/>
    <col min="3333" max="3333" width="9.140625" style="105" customWidth="1"/>
    <col min="3334" max="3334" width="3.421875" style="105" customWidth="1"/>
    <col min="3335" max="3335" width="9.8515625" style="105" customWidth="1"/>
    <col min="3336" max="3336" width="3.57421875" style="105" customWidth="1"/>
    <col min="3337" max="3337" width="9.140625" style="105" customWidth="1"/>
    <col min="3338" max="3338" width="2.57421875" style="105" customWidth="1"/>
    <col min="3339" max="3339" width="9.7109375" style="105" customWidth="1"/>
    <col min="3340" max="3340" width="3.57421875" style="105" customWidth="1"/>
    <col min="3341" max="3341" width="9.140625" style="105" customWidth="1"/>
    <col min="3342" max="3342" width="2.8515625" style="105" customWidth="1"/>
    <col min="3343" max="3343" width="10.28125" style="105" customWidth="1"/>
    <col min="3344" max="3344" width="3.28125" style="105" customWidth="1"/>
    <col min="3345" max="3345" width="11.421875" style="105" customWidth="1"/>
    <col min="3346" max="3346" width="3.28125" style="105" customWidth="1"/>
    <col min="3347" max="3347" width="9.7109375" style="105" customWidth="1"/>
    <col min="3348" max="3348" width="2.7109375" style="105" customWidth="1"/>
    <col min="3349" max="3349" width="10.8515625" style="105" customWidth="1"/>
    <col min="3350" max="3587" width="9.140625" style="105" customWidth="1"/>
    <col min="3588" max="3588" width="9.140625" style="105" hidden="1" customWidth="1"/>
    <col min="3589" max="3589" width="9.140625" style="105" customWidth="1"/>
    <col min="3590" max="3590" width="3.421875" style="105" customWidth="1"/>
    <col min="3591" max="3591" width="9.8515625" style="105" customWidth="1"/>
    <col min="3592" max="3592" width="3.57421875" style="105" customWidth="1"/>
    <col min="3593" max="3593" width="9.140625" style="105" customWidth="1"/>
    <col min="3594" max="3594" width="2.57421875" style="105" customWidth="1"/>
    <col min="3595" max="3595" width="9.7109375" style="105" customWidth="1"/>
    <col min="3596" max="3596" width="3.57421875" style="105" customWidth="1"/>
    <col min="3597" max="3597" width="9.140625" style="105" customWidth="1"/>
    <col min="3598" max="3598" width="2.8515625" style="105" customWidth="1"/>
    <col min="3599" max="3599" width="10.28125" style="105" customWidth="1"/>
    <col min="3600" max="3600" width="3.28125" style="105" customWidth="1"/>
    <col min="3601" max="3601" width="11.421875" style="105" customWidth="1"/>
    <col min="3602" max="3602" width="3.28125" style="105" customWidth="1"/>
    <col min="3603" max="3603" width="9.7109375" style="105" customWidth="1"/>
    <col min="3604" max="3604" width="2.7109375" style="105" customWidth="1"/>
    <col min="3605" max="3605" width="10.8515625" style="105" customWidth="1"/>
    <col min="3606" max="3843" width="9.140625" style="105" customWidth="1"/>
    <col min="3844" max="3844" width="9.140625" style="105" hidden="1" customWidth="1"/>
    <col min="3845" max="3845" width="9.140625" style="105" customWidth="1"/>
    <col min="3846" max="3846" width="3.421875" style="105" customWidth="1"/>
    <col min="3847" max="3847" width="9.8515625" style="105" customWidth="1"/>
    <col min="3848" max="3848" width="3.57421875" style="105" customWidth="1"/>
    <col min="3849" max="3849" width="9.140625" style="105" customWidth="1"/>
    <col min="3850" max="3850" width="2.57421875" style="105" customWidth="1"/>
    <col min="3851" max="3851" width="9.7109375" style="105" customWidth="1"/>
    <col min="3852" max="3852" width="3.57421875" style="105" customWidth="1"/>
    <col min="3853" max="3853" width="9.140625" style="105" customWidth="1"/>
    <col min="3854" max="3854" width="2.8515625" style="105" customWidth="1"/>
    <col min="3855" max="3855" width="10.28125" style="105" customWidth="1"/>
    <col min="3856" max="3856" width="3.28125" style="105" customWidth="1"/>
    <col min="3857" max="3857" width="11.421875" style="105" customWidth="1"/>
    <col min="3858" max="3858" width="3.28125" style="105" customWidth="1"/>
    <col min="3859" max="3859" width="9.7109375" style="105" customWidth="1"/>
    <col min="3860" max="3860" width="2.7109375" style="105" customWidth="1"/>
    <col min="3861" max="3861" width="10.8515625" style="105" customWidth="1"/>
    <col min="3862" max="4099" width="9.140625" style="105" customWidth="1"/>
    <col min="4100" max="4100" width="9.140625" style="105" hidden="1" customWidth="1"/>
    <col min="4101" max="4101" width="9.140625" style="105" customWidth="1"/>
    <col min="4102" max="4102" width="3.421875" style="105" customWidth="1"/>
    <col min="4103" max="4103" width="9.8515625" style="105" customWidth="1"/>
    <col min="4104" max="4104" width="3.57421875" style="105" customWidth="1"/>
    <col min="4105" max="4105" width="9.140625" style="105" customWidth="1"/>
    <col min="4106" max="4106" width="2.57421875" style="105" customWidth="1"/>
    <col min="4107" max="4107" width="9.7109375" style="105" customWidth="1"/>
    <col min="4108" max="4108" width="3.57421875" style="105" customWidth="1"/>
    <col min="4109" max="4109" width="9.140625" style="105" customWidth="1"/>
    <col min="4110" max="4110" width="2.8515625" style="105" customWidth="1"/>
    <col min="4111" max="4111" width="10.28125" style="105" customWidth="1"/>
    <col min="4112" max="4112" width="3.28125" style="105" customWidth="1"/>
    <col min="4113" max="4113" width="11.421875" style="105" customWidth="1"/>
    <col min="4114" max="4114" width="3.28125" style="105" customWidth="1"/>
    <col min="4115" max="4115" width="9.7109375" style="105" customWidth="1"/>
    <col min="4116" max="4116" width="2.7109375" style="105" customWidth="1"/>
    <col min="4117" max="4117" width="10.8515625" style="105" customWidth="1"/>
    <col min="4118" max="4355" width="9.140625" style="105" customWidth="1"/>
    <col min="4356" max="4356" width="9.140625" style="105" hidden="1" customWidth="1"/>
    <col min="4357" max="4357" width="9.140625" style="105" customWidth="1"/>
    <col min="4358" max="4358" width="3.421875" style="105" customWidth="1"/>
    <col min="4359" max="4359" width="9.8515625" style="105" customWidth="1"/>
    <col min="4360" max="4360" width="3.57421875" style="105" customWidth="1"/>
    <col min="4361" max="4361" width="9.140625" style="105" customWidth="1"/>
    <col min="4362" max="4362" width="2.57421875" style="105" customWidth="1"/>
    <col min="4363" max="4363" width="9.7109375" style="105" customWidth="1"/>
    <col min="4364" max="4364" width="3.57421875" style="105" customWidth="1"/>
    <col min="4365" max="4365" width="9.140625" style="105" customWidth="1"/>
    <col min="4366" max="4366" width="2.8515625" style="105" customWidth="1"/>
    <col min="4367" max="4367" width="10.28125" style="105" customWidth="1"/>
    <col min="4368" max="4368" width="3.28125" style="105" customWidth="1"/>
    <col min="4369" max="4369" width="11.421875" style="105" customWidth="1"/>
    <col min="4370" max="4370" width="3.28125" style="105" customWidth="1"/>
    <col min="4371" max="4371" width="9.7109375" style="105" customWidth="1"/>
    <col min="4372" max="4372" width="2.7109375" style="105" customWidth="1"/>
    <col min="4373" max="4373" width="10.8515625" style="105" customWidth="1"/>
    <col min="4374" max="4611" width="9.140625" style="105" customWidth="1"/>
    <col min="4612" max="4612" width="9.140625" style="105" hidden="1" customWidth="1"/>
    <col min="4613" max="4613" width="9.140625" style="105" customWidth="1"/>
    <col min="4614" max="4614" width="3.421875" style="105" customWidth="1"/>
    <col min="4615" max="4615" width="9.8515625" style="105" customWidth="1"/>
    <col min="4616" max="4616" width="3.57421875" style="105" customWidth="1"/>
    <col min="4617" max="4617" width="9.140625" style="105" customWidth="1"/>
    <col min="4618" max="4618" width="2.57421875" style="105" customWidth="1"/>
    <col min="4619" max="4619" width="9.7109375" style="105" customWidth="1"/>
    <col min="4620" max="4620" width="3.57421875" style="105" customWidth="1"/>
    <col min="4621" max="4621" width="9.140625" style="105" customWidth="1"/>
    <col min="4622" max="4622" width="2.8515625" style="105" customWidth="1"/>
    <col min="4623" max="4623" width="10.28125" style="105" customWidth="1"/>
    <col min="4624" max="4624" width="3.28125" style="105" customWidth="1"/>
    <col min="4625" max="4625" width="11.421875" style="105" customWidth="1"/>
    <col min="4626" max="4626" width="3.28125" style="105" customWidth="1"/>
    <col min="4627" max="4627" width="9.7109375" style="105" customWidth="1"/>
    <col min="4628" max="4628" width="2.7109375" style="105" customWidth="1"/>
    <col min="4629" max="4629" width="10.8515625" style="105" customWidth="1"/>
    <col min="4630" max="4867" width="9.140625" style="105" customWidth="1"/>
    <col min="4868" max="4868" width="9.140625" style="105" hidden="1" customWidth="1"/>
    <col min="4869" max="4869" width="9.140625" style="105" customWidth="1"/>
    <col min="4870" max="4870" width="3.421875" style="105" customWidth="1"/>
    <col min="4871" max="4871" width="9.8515625" style="105" customWidth="1"/>
    <col min="4872" max="4872" width="3.57421875" style="105" customWidth="1"/>
    <col min="4873" max="4873" width="9.140625" style="105" customWidth="1"/>
    <col min="4874" max="4874" width="2.57421875" style="105" customWidth="1"/>
    <col min="4875" max="4875" width="9.7109375" style="105" customWidth="1"/>
    <col min="4876" max="4876" width="3.57421875" style="105" customWidth="1"/>
    <col min="4877" max="4877" width="9.140625" style="105" customWidth="1"/>
    <col min="4878" max="4878" width="2.8515625" style="105" customWidth="1"/>
    <col min="4879" max="4879" width="10.28125" style="105" customWidth="1"/>
    <col min="4880" max="4880" width="3.28125" style="105" customWidth="1"/>
    <col min="4881" max="4881" width="11.421875" style="105" customWidth="1"/>
    <col min="4882" max="4882" width="3.28125" style="105" customWidth="1"/>
    <col min="4883" max="4883" width="9.7109375" style="105" customWidth="1"/>
    <col min="4884" max="4884" width="2.7109375" style="105" customWidth="1"/>
    <col min="4885" max="4885" width="10.8515625" style="105" customWidth="1"/>
    <col min="4886" max="5123" width="9.140625" style="105" customWidth="1"/>
    <col min="5124" max="5124" width="9.140625" style="105" hidden="1" customWidth="1"/>
    <col min="5125" max="5125" width="9.140625" style="105" customWidth="1"/>
    <col min="5126" max="5126" width="3.421875" style="105" customWidth="1"/>
    <col min="5127" max="5127" width="9.8515625" style="105" customWidth="1"/>
    <col min="5128" max="5128" width="3.57421875" style="105" customWidth="1"/>
    <col min="5129" max="5129" width="9.140625" style="105" customWidth="1"/>
    <col min="5130" max="5130" width="2.57421875" style="105" customWidth="1"/>
    <col min="5131" max="5131" width="9.7109375" style="105" customWidth="1"/>
    <col min="5132" max="5132" width="3.57421875" style="105" customWidth="1"/>
    <col min="5133" max="5133" width="9.140625" style="105" customWidth="1"/>
    <col min="5134" max="5134" width="2.8515625" style="105" customWidth="1"/>
    <col min="5135" max="5135" width="10.28125" style="105" customWidth="1"/>
    <col min="5136" max="5136" width="3.28125" style="105" customWidth="1"/>
    <col min="5137" max="5137" width="11.421875" style="105" customWidth="1"/>
    <col min="5138" max="5138" width="3.28125" style="105" customWidth="1"/>
    <col min="5139" max="5139" width="9.7109375" style="105" customWidth="1"/>
    <col min="5140" max="5140" width="2.7109375" style="105" customWidth="1"/>
    <col min="5141" max="5141" width="10.8515625" style="105" customWidth="1"/>
    <col min="5142" max="5379" width="9.140625" style="105" customWidth="1"/>
    <col min="5380" max="5380" width="9.140625" style="105" hidden="1" customWidth="1"/>
    <col min="5381" max="5381" width="9.140625" style="105" customWidth="1"/>
    <col min="5382" max="5382" width="3.421875" style="105" customWidth="1"/>
    <col min="5383" max="5383" width="9.8515625" style="105" customWidth="1"/>
    <col min="5384" max="5384" width="3.57421875" style="105" customWidth="1"/>
    <col min="5385" max="5385" width="9.140625" style="105" customWidth="1"/>
    <col min="5386" max="5386" width="2.57421875" style="105" customWidth="1"/>
    <col min="5387" max="5387" width="9.7109375" style="105" customWidth="1"/>
    <col min="5388" max="5388" width="3.57421875" style="105" customWidth="1"/>
    <col min="5389" max="5389" width="9.140625" style="105" customWidth="1"/>
    <col min="5390" max="5390" width="2.8515625" style="105" customWidth="1"/>
    <col min="5391" max="5391" width="10.28125" style="105" customWidth="1"/>
    <col min="5392" max="5392" width="3.28125" style="105" customWidth="1"/>
    <col min="5393" max="5393" width="11.421875" style="105" customWidth="1"/>
    <col min="5394" max="5394" width="3.28125" style="105" customWidth="1"/>
    <col min="5395" max="5395" width="9.7109375" style="105" customWidth="1"/>
    <col min="5396" max="5396" width="2.7109375" style="105" customWidth="1"/>
    <col min="5397" max="5397" width="10.8515625" style="105" customWidth="1"/>
    <col min="5398" max="5635" width="9.140625" style="105" customWidth="1"/>
    <col min="5636" max="5636" width="9.140625" style="105" hidden="1" customWidth="1"/>
    <col min="5637" max="5637" width="9.140625" style="105" customWidth="1"/>
    <col min="5638" max="5638" width="3.421875" style="105" customWidth="1"/>
    <col min="5639" max="5639" width="9.8515625" style="105" customWidth="1"/>
    <col min="5640" max="5640" width="3.57421875" style="105" customWidth="1"/>
    <col min="5641" max="5641" width="9.140625" style="105" customWidth="1"/>
    <col min="5642" max="5642" width="2.57421875" style="105" customWidth="1"/>
    <col min="5643" max="5643" width="9.7109375" style="105" customWidth="1"/>
    <col min="5644" max="5644" width="3.57421875" style="105" customWidth="1"/>
    <col min="5645" max="5645" width="9.140625" style="105" customWidth="1"/>
    <col min="5646" max="5646" width="2.8515625" style="105" customWidth="1"/>
    <col min="5647" max="5647" width="10.28125" style="105" customWidth="1"/>
    <col min="5648" max="5648" width="3.28125" style="105" customWidth="1"/>
    <col min="5649" max="5649" width="11.421875" style="105" customWidth="1"/>
    <col min="5650" max="5650" width="3.28125" style="105" customWidth="1"/>
    <col min="5651" max="5651" width="9.7109375" style="105" customWidth="1"/>
    <col min="5652" max="5652" width="2.7109375" style="105" customWidth="1"/>
    <col min="5653" max="5653" width="10.8515625" style="105" customWidth="1"/>
    <col min="5654" max="5891" width="9.140625" style="105" customWidth="1"/>
    <col min="5892" max="5892" width="9.140625" style="105" hidden="1" customWidth="1"/>
    <col min="5893" max="5893" width="9.140625" style="105" customWidth="1"/>
    <col min="5894" max="5894" width="3.421875" style="105" customWidth="1"/>
    <col min="5895" max="5895" width="9.8515625" style="105" customWidth="1"/>
    <col min="5896" max="5896" width="3.57421875" style="105" customWidth="1"/>
    <col min="5897" max="5897" width="9.140625" style="105" customWidth="1"/>
    <col min="5898" max="5898" width="2.57421875" style="105" customWidth="1"/>
    <col min="5899" max="5899" width="9.7109375" style="105" customWidth="1"/>
    <col min="5900" max="5900" width="3.57421875" style="105" customWidth="1"/>
    <col min="5901" max="5901" width="9.140625" style="105" customWidth="1"/>
    <col min="5902" max="5902" width="2.8515625" style="105" customWidth="1"/>
    <col min="5903" max="5903" width="10.28125" style="105" customWidth="1"/>
    <col min="5904" max="5904" width="3.28125" style="105" customWidth="1"/>
    <col min="5905" max="5905" width="11.421875" style="105" customWidth="1"/>
    <col min="5906" max="5906" width="3.28125" style="105" customWidth="1"/>
    <col min="5907" max="5907" width="9.7109375" style="105" customWidth="1"/>
    <col min="5908" max="5908" width="2.7109375" style="105" customWidth="1"/>
    <col min="5909" max="5909" width="10.8515625" style="105" customWidth="1"/>
    <col min="5910" max="6147" width="9.140625" style="105" customWidth="1"/>
    <col min="6148" max="6148" width="9.140625" style="105" hidden="1" customWidth="1"/>
    <col min="6149" max="6149" width="9.140625" style="105" customWidth="1"/>
    <col min="6150" max="6150" width="3.421875" style="105" customWidth="1"/>
    <col min="6151" max="6151" width="9.8515625" style="105" customWidth="1"/>
    <col min="6152" max="6152" width="3.57421875" style="105" customWidth="1"/>
    <col min="6153" max="6153" width="9.140625" style="105" customWidth="1"/>
    <col min="6154" max="6154" width="2.57421875" style="105" customWidth="1"/>
    <col min="6155" max="6155" width="9.7109375" style="105" customWidth="1"/>
    <col min="6156" max="6156" width="3.57421875" style="105" customWidth="1"/>
    <col min="6157" max="6157" width="9.140625" style="105" customWidth="1"/>
    <col min="6158" max="6158" width="2.8515625" style="105" customWidth="1"/>
    <col min="6159" max="6159" width="10.28125" style="105" customWidth="1"/>
    <col min="6160" max="6160" width="3.28125" style="105" customWidth="1"/>
    <col min="6161" max="6161" width="11.421875" style="105" customWidth="1"/>
    <col min="6162" max="6162" width="3.28125" style="105" customWidth="1"/>
    <col min="6163" max="6163" width="9.7109375" style="105" customWidth="1"/>
    <col min="6164" max="6164" width="2.7109375" style="105" customWidth="1"/>
    <col min="6165" max="6165" width="10.8515625" style="105" customWidth="1"/>
    <col min="6166" max="6403" width="9.140625" style="105" customWidth="1"/>
    <col min="6404" max="6404" width="9.140625" style="105" hidden="1" customWidth="1"/>
    <col min="6405" max="6405" width="9.140625" style="105" customWidth="1"/>
    <col min="6406" max="6406" width="3.421875" style="105" customWidth="1"/>
    <col min="6407" max="6407" width="9.8515625" style="105" customWidth="1"/>
    <col min="6408" max="6408" width="3.57421875" style="105" customWidth="1"/>
    <col min="6409" max="6409" width="9.140625" style="105" customWidth="1"/>
    <col min="6410" max="6410" width="2.57421875" style="105" customWidth="1"/>
    <col min="6411" max="6411" width="9.7109375" style="105" customWidth="1"/>
    <col min="6412" max="6412" width="3.57421875" style="105" customWidth="1"/>
    <col min="6413" max="6413" width="9.140625" style="105" customWidth="1"/>
    <col min="6414" max="6414" width="2.8515625" style="105" customWidth="1"/>
    <col min="6415" max="6415" width="10.28125" style="105" customWidth="1"/>
    <col min="6416" max="6416" width="3.28125" style="105" customWidth="1"/>
    <col min="6417" max="6417" width="11.421875" style="105" customWidth="1"/>
    <col min="6418" max="6418" width="3.28125" style="105" customWidth="1"/>
    <col min="6419" max="6419" width="9.7109375" style="105" customWidth="1"/>
    <col min="6420" max="6420" width="2.7109375" style="105" customWidth="1"/>
    <col min="6421" max="6421" width="10.8515625" style="105" customWidth="1"/>
    <col min="6422" max="6659" width="9.140625" style="105" customWidth="1"/>
    <col min="6660" max="6660" width="9.140625" style="105" hidden="1" customWidth="1"/>
    <col min="6661" max="6661" width="9.140625" style="105" customWidth="1"/>
    <col min="6662" max="6662" width="3.421875" style="105" customWidth="1"/>
    <col min="6663" max="6663" width="9.8515625" style="105" customWidth="1"/>
    <col min="6664" max="6664" width="3.57421875" style="105" customWidth="1"/>
    <col min="6665" max="6665" width="9.140625" style="105" customWidth="1"/>
    <col min="6666" max="6666" width="2.57421875" style="105" customWidth="1"/>
    <col min="6667" max="6667" width="9.7109375" style="105" customWidth="1"/>
    <col min="6668" max="6668" width="3.57421875" style="105" customWidth="1"/>
    <col min="6669" max="6669" width="9.140625" style="105" customWidth="1"/>
    <col min="6670" max="6670" width="2.8515625" style="105" customWidth="1"/>
    <col min="6671" max="6671" width="10.28125" style="105" customWidth="1"/>
    <col min="6672" max="6672" width="3.28125" style="105" customWidth="1"/>
    <col min="6673" max="6673" width="11.421875" style="105" customWidth="1"/>
    <col min="6674" max="6674" width="3.28125" style="105" customWidth="1"/>
    <col min="6675" max="6675" width="9.7109375" style="105" customWidth="1"/>
    <col min="6676" max="6676" width="2.7109375" style="105" customWidth="1"/>
    <col min="6677" max="6677" width="10.8515625" style="105" customWidth="1"/>
    <col min="6678" max="6915" width="9.140625" style="105" customWidth="1"/>
    <col min="6916" max="6916" width="9.140625" style="105" hidden="1" customWidth="1"/>
    <col min="6917" max="6917" width="9.140625" style="105" customWidth="1"/>
    <col min="6918" max="6918" width="3.421875" style="105" customWidth="1"/>
    <col min="6919" max="6919" width="9.8515625" style="105" customWidth="1"/>
    <col min="6920" max="6920" width="3.57421875" style="105" customWidth="1"/>
    <col min="6921" max="6921" width="9.140625" style="105" customWidth="1"/>
    <col min="6922" max="6922" width="2.57421875" style="105" customWidth="1"/>
    <col min="6923" max="6923" width="9.7109375" style="105" customWidth="1"/>
    <col min="6924" max="6924" width="3.57421875" style="105" customWidth="1"/>
    <col min="6925" max="6925" width="9.140625" style="105" customWidth="1"/>
    <col min="6926" max="6926" width="2.8515625" style="105" customWidth="1"/>
    <col min="6927" max="6927" width="10.28125" style="105" customWidth="1"/>
    <col min="6928" max="6928" width="3.28125" style="105" customWidth="1"/>
    <col min="6929" max="6929" width="11.421875" style="105" customWidth="1"/>
    <col min="6930" max="6930" width="3.28125" style="105" customWidth="1"/>
    <col min="6931" max="6931" width="9.7109375" style="105" customWidth="1"/>
    <col min="6932" max="6932" width="2.7109375" style="105" customWidth="1"/>
    <col min="6933" max="6933" width="10.8515625" style="105" customWidth="1"/>
    <col min="6934" max="7171" width="9.140625" style="105" customWidth="1"/>
    <col min="7172" max="7172" width="9.140625" style="105" hidden="1" customWidth="1"/>
    <col min="7173" max="7173" width="9.140625" style="105" customWidth="1"/>
    <col min="7174" max="7174" width="3.421875" style="105" customWidth="1"/>
    <col min="7175" max="7175" width="9.8515625" style="105" customWidth="1"/>
    <col min="7176" max="7176" width="3.57421875" style="105" customWidth="1"/>
    <col min="7177" max="7177" width="9.140625" style="105" customWidth="1"/>
    <col min="7178" max="7178" width="2.57421875" style="105" customWidth="1"/>
    <col min="7179" max="7179" width="9.7109375" style="105" customWidth="1"/>
    <col min="7180" max="7180" width="3.57421875" style="105" customWidth="1"/>
    <col min="7181" max="7181" width="9.140625" style="105" customWidth="1"/>
    <col min="7182" max="7182" width="2.8515625" style="105" customWidth="1"/>
    <col min="7183" max="7183" width="10.28125" style="105" customWidth="1"/>
    <col min="7184" max="7184" width="3.28125" style="105" customWidth="1"/>
    <col min="7185" max="7185" width="11.421875" style="105" customWidth="1"/>
    <col min="7186" max="7186" width="3.28125" style="105" customWidth="1"/>
    <col min="7187" max="7187" width="9.7109375" style="105" customWidth="1"/>
    <col min="7188" max="7188" width="2.7109375" style="105" customWidth="1"/>
    <col min="7189" max="7189" width="10.8515625" style="105" customWidth="1"/>
    <col min="7190" max="7427" width="9.140625" style="105" customWidth="1"/>
    <col min="7428" max="7428" width="9.140625" style="105" hidden="1" customWidth="1"/>
    <col min="7429" max="7429" width="9.140625" style="105" customWidth="1"/>
    <col min="7430" max="7430" width="3.421875" style="105" customWidth="1"/>
    <col min="7431" max="7431" width="9.8515625" style="105" customWidth="1"/>
    <col min="7432" max="7432" width="3.57421875" style="105" customWidth="1"/>
    <col min="7433" max="7433" width="9.140625" style="105" customWidth="1"/>
    <col min="7434" max="7434" width="2.57421875" style="105" customWidth="1"/>
    <col min="7435" max="7435" width="9.7109375" style="105" customWidth="1"/>
    <col min="7436" max="7436" width="3.57421875" style="105" customWidth="1"/>
    <col min="7437" max="7437" width="9.140625" style="105" customWidth="1"/>
    <col min="7438" max="7438" width="2.8515625" style="105" customWidth="1"/>
    <col min="7439" max="7439" width="10.28125" style="105" customWidth="1"/>
    <col min="7440" max="7440" width="3.28125" style="105" customWidth="1"/>
    <col min="7441" max="7441" width="11.421875" style="105" customWidth="1"/>
    <col min="7442" max="7442" width="3.28125" style="105" customWidth="1"/>
    <col min="7443" max="7443" width="9.7109375" style="105" customWidth="1"/>
    <col min="7444" max="7444" width="2.7109375" style="105" customWidth="1"/>
    <col min="7445" max="7445" width="10.8515625" style="105" customWidth="1"/>
    <col min="7446" max="7683" width="9.140625" style="105" customWidth="1"/>
    <col min="7684" max="7684" width="9.140625" style="105" hidden="1" customWidth="1"/>
    <col min="7685" max="7685" width="9.140625" style="105" customWidth="1"/>
    <col min="7686" max="7686" width="3.421875" style="105" customWidth="1"/>
    <col min="7687" max="7687" width="9.8515625" style="105" customWidth="1"/>
    <col min="7688" max="7688" width="3.57421875" style="105" customWidth="1"/>
    <col min="7689" max="7689" width="9.140625" style="105" customWidth="1"/>
    <col min="7690" max="7690" width="2.57421875" style="105" customWidth="1"/>
    <col min="7691" max="7691" width="9.7109375" style="105" customWidth="1"/>
    <col min="7692" max="7692" width="3.57421875" style="105" customWidth="1"/>
    <col min="7693" max="7693" width="9.140625" style="105" customWidth="1"/>
    <col min="7694" max="7694" width="2.8515625" style="105" customWidth="1"/>
    <col min="7695" max="7695" width="10.28125" style="105" customWidth="1"/>
    <col min="7696" max="7696" width="3.28125" style="105" customWidth="1"/>
    <col min="7697" max="7697" width="11.421875" style="105" customWidth="1"/>
    <col min="7698" max="7698" width="3.28125" style="105" customWidth="1"/>
    <col min="7699" max="7699" width="9.7109375" style="105" customWidth="1"/>
    <col min="7700" max="7700" width="2.7109375" style="105" customWidth="1"/>
    <col min="7701" max="7701" width="10.8515625" style="105" customWidth="1"/>
    <col min="7702" max="7939" width="9.140625" style="105" customWidth="1"/>
    <col min="7940" max="7940" width="9.140625" style="105" hidden="1" customWidth="1"/>
    <col min="7941" max="7941" width="9.140625" style="105" customWidth="1"/>
    <col min="7942" max="7942" width="3.421875" style="105" customWidth="1"/>
    <col min="7943" max="7943" width="9.8515625" style="105" customWidth="1"/>
    <col min="7944" max="7944" width="3.57421875" style="105" customWidth="1"/>
    <col min="7945" max="7945" width="9.140625" style="105" customWidth="1"/>
    <col min="7946" max="7946" width="2.57421875" style="105" customWidth="1"/>
    <col min="7947" max="7947" width="9.7109375" style="105" customWidth="1"/>
    <col min="7948" max="7948" width="3.57421875" style="105" customWidth="1"/>
    <col min="7949" max="7949" width="9.140625" style="105" customWidth="1"/>
    <col min="7950" max="7950" width="2.8515625" style="105" customWidth="1"/>
    <col min="7951" max="7951" width="10.28125" style="105" customWidth="1"/>
    <col min="7952" max="7952" width="3.28125" style="105" customWidth="1"/>
    <col min="7953" max="7953" width="11.421875" style="105" customWidth="1"/>
    <col min="7954" max="7954" width="3.28125" style="105" customWidth="1"/>
    <col min="7955" max="7955" width="9.7109375" style="105" customWidth="1"/>
    <col min="7956" max="7956" width="2.7109375" style="105" customWidth="1"/>
    <col min="7957" max="7957" width="10.8515625" style="105" customWidth="1"/>
    <col min="7958" max="8195" width="9.140625" style="105" customWidth="1"/>
    <col min="8196" max="8196" width="9.140625" style="105" hidden="1" customWidth="1"/>
    <col min="8197" max="8197" width="9.140625" style="105" customWidth="1"/>
    <col min="8198" max="8198" width="3.421875" style="105" customWidth="1"/>
    <col min="8199" max="8199" width="9.8515625" style="105" customWidth="1"/>
    <col min="8200" max="8200" width="3.57421875" style="105" customWidth="1"/>
    <col min="8201" max="8201" width="9.140625" style="105" customWidth="1"/>
    <col min="8202" max="8202" width="2.57421875" style="105" customWidth="1"/>
    <col min="8203" max="8203" width="9.7109375" style="105" customWidth="1"/>
    <col min="8204" max="8204" width="3.57421875" style="105" customWidth="1"/>
    <col min="8205" max="8205" width="9.140625" style="105" customWidth="1"/>
    <col min="8206" max="8206" width="2.8515625" style="105" customWidth="1"/>
    <col min="8207" max="8207" width="10.28125" style="105" customWidth="1"/>
    <col min="8208" max="8208" width="3.28125" style="105" customWidth="1"/>
    <col min="8209" max="8209" width="11.421875" style="105" customWidth="1"/>
    <col min="8210" max="8210" width="3.28125" style="105" customWidth="1"/>
    <col min="8211" max="8211" width="9.7109375" style="105" customWidth="1"/>
    <col min="8212" max="8212" width="2.7109375" style="105" customWidth="1"/>
    <col min="8213" max="8213" width="10.8515625" style="105" customWidth="1"/>
    <col min="8214" max="8451" width="9.140625" style="105" customWidth="1"/>
    <col min="8452" max="8452" width="9.140625" style="105" hidden="1" customWidth="1"/>
    <col min="8453" max="8453" width="9.140625" style="105" customWidth="1"/>
    <col min="8454" max="8454" width="3.421875" style="105" customWidth="1"/>
    <col min="8455" max="8455" width="9.8515625" style="105" customWidth="1"/>
    <col min="8456" max="8456" width="3.57421875" style="105" customWidth="1"/>
    <col min="8457" max="8457" width="9.140625" style="105" customWidth="1"/>
    <col min="8458" max="8458" width="2.57421875" style="105" customWidth="1"/>
    <col min="8459" max="8459" width="9.7109375" style="105" customWidth="1"/>
    <col min="8460" max="8460" width="3.57421875" style="105" customWidth="1"/>
    <col min="8461" max="8461" width="9.140625" style="105" customWidth="1"/>
    <col min="8462" max="8462" width="2.8515625" style="105" customWidth="1"/>
    <col min="8463" max="8463" width="10.28125" style="105" customWidth="1"/>
    <col min="8464" max="8464" width="3.28125" style="105" customWidth="1"/>
    <col min="8465" max="8465" width="11.421875" style="105" customWidth="1"/>
    <col min="8466" max="8466" width="3.28125" style="105" customWidth="1"/>
    <col min="8467" max="8467" width="9.7109375" style="105" customWidth="1"/>
    <col min="8468" max="8468" width="2.7109375" style="105" customWidth="1"/>
    <col min="8469" max="8469" width="10.8515625" style="105" customWidth="1"/>
    <col min="8470" max="8707" width="9.140625" style="105" customWidth="1"/>
    <col min="8708" max="8708" width="9.140625" style="105" hidden="1" customWidth="1"/>
    <col min="8709" max="8709" width="9.140625" style="105" customWidth="1"/>
    <col min="8710" max="8710" width="3.421875" style="105" customWidth="1"/>
    <col min="8711" max="8711" width="9.8515625" style="105" customWidth="1"/>
    <col min="8712" max="8712" width="3.57421875" style="105" customWidth="1"/>
    <col min="8713" max="8713" width="9.140625" style="105" customWidth="1"/>
    <col min="8714" max="8714" width="2.57421875" style="105" customWidth="1"/>
    <col min="8715" max="8715" width="9.7109375" style="105" customWidth="1"/>
    <col min="8716" max="8716" width="3.57421875" style="105" customWidth="1"/>
    <col min="8717" max="8717" width="9.140625" style="105" customWidth="1"/>
    <col min="8718" max="8718" width="2.8515625" style="105" customWidth="1"/>
    <col min="8719" max="8719" width="10.28125" style="105" customWidth="1"/>
    <col min="8720" max="8720" width="3.28125" style="105" customWidth="1"/>
    <col min="8721" max="8721" width="11.421875" style="105" customWidth="1"/>
    <col min="8722" max="8722" width="3.28125" style="105" customWidth="1"/>
    <col min="8723" max="8723" width="9.7109375" style="105" customWidth="1"/>
    <col min="8724" max="8724" width="2.7109375" style="105" customWidth="1"/>
    <col min="8725" max="8725" width="10.8515625" style="105" customWidth="1"/>
    <col min="8726" max="8963" width="9.140625" style="105" customWidth="1"/>
    <col min="8964" max="8964" width="9.140625" style="105" hidden="1" customWidth="1"/>
    <col min="8965" max="8965" width="9.140625" style="105" customWidth="1"/>
    <col min="8966" max="8966" width="3.421875" style="105" customWidth="1"/>
    <col min="8967" max="8967" width="9.8515625" style="105" customWidth="1"/>
    <col min="8968" max="8968" width="3.57421875" style="105" customWidth="1"/>
    <col min="8969" max="8969" width="9.140625" style="105" customWidth="1"/>
    <col min="8970" max="8970" width="2.57421875" style="105" customWidth="1"/>
    <col min="8971" max="8971" width="9.7109375" style="105" customWidth="1"/>
    <col min="8972" max="8972" width="3.57421875" style="105" customWidth="1"/>
    <col min="8973" max="8973" width="9.140625" style="105" customWidth="1"/>
    <col min="8974" max="8974" width="2.8515625" style="105" customWidth="1"/>
    <col min="8975" max="8975" width="10.28125" style="105" customWidth="1"/>
    <col min="8976" max="8976" width="3.28125" style="105" customWidth="1"/>
    <col min="8977" max="8977" width="11.421875" style="105" customWidth="1"/>
    <col min="8978" max="8978" width="3.28125" style="105" customWidth="1"/>
    <col min="8979" max="8979" width="9.7109375" style="105" customWidth="1"/>
    <col min="8980" max="8980" width="2.7109375" style="105" customWidth="1"/>
    <col min="8981" max="8981" width="10.8515625" style="105" customWidth="1"/>
    <col min="8982" max="9219" width="9.140625" style="105" customWidth="1"/>
    <col min="9220" max="9220" width="9.140625" style="105" hidden="1" customWidth="1"/>
    <col min="9221" max="9221" width="9.140625" style="105" customWidth="1"/>
    <col min="9222" max="9222" width="3.421875" style="105" customWidth="1"/>
    <col min="9223" max="9223" width="9.8515625" style="105" customWidth="1"/>
    <col min="9224" max="9224" width="3.57421875" style="105" customWidth="1"/>
    <col min="9225" max="9225" width="9.140625" style="105" customWidth="1"/>
    <col min="9226" max="9226" width="2.57421875" style="105" customWidth="1"/>
    <col min="9227" max="9227" width="9.7109375" style="105" customWidth="1"/>
    <col min="9228" max="9228" width="3.57421875" style="105" customWidth="1"/>
    <col min="9229" max="9229" width="9.140625" style="105" customWidth="1"/>
    <col min="9230" max="9230" width="2.8515625" style="105" customWidth="1"/>
    <col min="9231" max="9231" width="10.28125" style="105" customWidth="1"/>
    <col min="9232" max="9232" width="3.28125" style="105" customWidth="1"/>
    <col min="9233" max="9233" width="11.421875" style="105" customWidth="1"/>
    <col min="9234" max="9234" width="3.28125" style="105" customWidth="1"/>
    <col min="9235" max="9235" width="9.7109375" style="105" customWidth="1"/>
    <col min="9236" max="9236" width="2.7109375" style="105" customWidth="1"/>
    <col min="9237" max="9237" width="10.8515625" style="105" customWidth="1"/>
    <col min="9238" max="9475" width="9.140625" style="105" customWidth="1"/>
    <col min="9476" max="9476" width="9.140625" style="105" hidden="1" customWidth="1"/>
    <col min="9477" max="9477" width="9.140625" style="105" customWidth="1"/>
    <col min="9478" max="9478" width="3.421875" style="105" customWidth="1"/>
    <col min="9479" max="9479" width="9.8515625" style="105" customWidth="1"/>
    <col min="9480" max="9480" width="3.57421875" style="105" customWidth="1"/>
    <col min="9481" max="9481" width="9.140625" style="105" customWidth="1"/>
    <col min="9482" max="9482" width="2.57421875" style="105" customWidth="1"/>
    <col min="9483" max="9483" width="9.7109375" style="105" customWidth="1"/>
    <col min="9484" max="9484" width="3.57421875" style="105" customWidth="1"/>
    <col min="9485" max="9485" width="9.140625" style="105" customWidth="1"/>
    <col min="9486" max="9486" width="2.8515625" style="105" customWidth="1"/>
    <col min="9487" max="9487" width="10.28125" style="105" customWidth="1"/>
    <col min="9488" max="9488" width="3.28125" style="105" customWidth="1"/>
    <col min="9489" max="9489" width="11.421875" style="105" customWidth="1"/>
    <col min="9490" max="9490" width="3.28125" style="105" customWidth="1"/>
    <col min="9491" max="9491" width="9.7109375" style="105" customWidth="1"/>
    <col min="9492" max="9492" width="2.7109375" style="105" customWidth="1"/>
    <col min="9493" max="9493" width="10.8515625" style="105" customWidth="1"/>
    <col min="9494" max="9731" width="9.140625" style="105" customWidth="1"/>
    <col min="9732" max="9732" width="9.140625" style="105" hidden="1" customWidth="1"/>
    <col min="9733" max="9733" width="9.140625" style="105" customWidth="1"/>
    <col min="9734" max="9734" width="3.421875" style="105" customWidth="1"/>
    <col min="9735" max="9735" width="9.8515625" style="105" customWidth="1"/>
    <col min="9736" max="9736" width="3.57421875" style="105" customWidth="1"/>
    <col min="9737" max="9737" width="9.140625" style="105" customWidth="1"/>
    <col min="9738" max="9738" width="2.57421875" style="105" customWidth="1"/>
    <col min="9739" max="9739" width="9.7109375" style="105" customWidth="1"/>
    <col min="9740" max="9740" width="3.57421875" style="105" customWidth="1"/>
    <col min="9741" max="9741" width="9.140625" style="105" customWidth="1"/>
    <col min="9742" max="9742" width="2.8515625" style="105" customWidth="1"/>
    <col min="9743" max="9743" width="10.28125" style="105" customWidth="1"/>
    <col min="9744" max="9744" width="3.28125" style="105" customWidth="1"/>
    <col min="9745" max="9745" width="11.421875" style="105" customWidth="1"/>
    <col min="9746" max="9746" width="3.28125" style="105" customWidth="1"/>
    <col min="9747" max="9747" width="9.7109375" style="105" customWidth="1"/>
    <col min="9748" max="9748" width="2.7109375" style="105" customWidth="1"/>
    <col min="9749" max="9749" width="10.8515625" style="105" customWidth="1"/>
    <col min="9750" max="9987" width="9.140625" style="105" customWidth="1"/>
    <col min="9988" max="9988" width="9.140625" style="105" hidden="1" customWidth="1"/>
    <col min="9989" max="9989" width="9.140625" style="105" customWidth="1"/>
    <col min="9990" max="9990" width="3.421875" style="105" customWidth="1"/>
    <col min="9991" max="9991" width="9.8515625" style="105" customWidth="1"/>
    <col min="9992" max="9992" width="3.57421875" style="105" customWidth="1"/>
    <col min="9993" max="9993" width="9.140625" style="105" customWidth="1"/>
    <col min="9994" max="9994" width="2.57421875" style="105" customWidth="1"/>
    <col min="9995" max="9995" width="9.7109375" style="105" customWidth="1"/>
    <col min="9996" max="9996" width="3.57421875" style="105" customWidth="1"/>
    <col min="9997" max="9997" width="9.140625" style="105" customWidth="1"/>
    <col min="9998" max="9998" width="2.8515625" style="105" customWidth="1"/>
    <col min="9999" max="9999" width="10.28125" style="105" customWidth="1"/>
    <col min="10000" max="10000" width="3.28125" style="105" customWidth="1"/>
    <col min="10001" max="10001" width="11.421875" style="105" customWidth="1"/>
    <col min="10002" max="10002" width="3.28125" style="105" customWidth="1"/>
    <col min="10003" max="10003" width="9.7109375" style="105" customWidth="1"/>
    <col min="10004" max="10004" width="2.7109375" style="105" customWidth="1"/>
    <col min="10005" max="10005" width="10.8515625" style="105" customWidth="1"/>
    <col min="10006" max="10243" width="9.140625" style="105" customWidth="1"/>
    <col min="10244" max="10244" width="9.140625" style="105" hidden="1" customWidth="1"/>
    <col min="10245" max="10245" width="9.140625" style="105" customWidth="1"/>
    <col min="10246" max="10246" width="3.421875" style="105" customWidth="1"/>
    <col min="10247" max="10247" width="9.8515625" style="105" customWidth="1"/>
    <col min="10248" max="10248" width="3.57421875" style="105" customWidth="1"/>
    <col min="10249" max="10249" width="9.140625" style="105" customWidth="1"/>
    <col min="10250" max="10250" width="2.57421875" style="105" customWidth="1"/>
    <col min="10251" max="10251" width="9.7109375" style="105" customWidth="1"/>
    <col min="10252" max="10252" width="3.57421875" style="105" customWidth="1"/>
    <col min="10253" max="10253" width="9.140625" style="105" customWidth="1"/>
    <col min="10254" max="10254" width="2.8515625" style="105" customWidth="1"/>
    <col min="10255" max="10255" width="10.28125" style="105" customWidth="1"/>
    <col min="10256" max="10256" width="3.28125" style="105" customWidth="1"/>
    <col min="10257" max="10257" width="11.421875" style="105" customWidth="1"/>
    <col min="10258" max="10258" width="3.28125" style="105" customWidth="1"/>
    <col min="10259" max="10259" width="9.7109375" style="105" customWidth="1"/>
    <col min="10260" max="10260" width="2.7109375" style="105" customWidth="1"/>
    <col min="10261" max="10261" width="10.8515625" style="105" customWidth="1"/>
    <col min="10262" max="10499" width="9.140625" style="105" customWidth="1"/>
    <col min="10500" max="10500" width="9.140625" style="105" hidden="1" customWidth="1"/>
    <col min="10501" max="10501" width="9.140625" style="105" customWidth="1"/>
    <col min="10502" max="10502" width="3.421875" style="105" customWidth="1"/>
    <col min="10503" max="10503" width="9.8515625" style="105" customWidth="1"/>
    <col min="10504" max="10504" width="3.57421875" style="105" customWidth="1"/>
    <col min="10505" max="10505" width="9.140625" style="105" customWidth="1"/>
    <col min="10506" max="10506" width="2.57421875" style="105" customWidth="1"/>
    <col min="10507" max="10507" width="9.7109375" style="105" customWidth="1"/>
    <col min="10508" max="10508" width="3.57421875" style="105" customWidth="1"/>
    <col min="10509" max="10509" width="9.140625" style="105" customWidth="1"/>
    <col min="10510" max="10510" width="2.8515625" style="105" customWidth="1"/>
    <col min="10511" max="10511" width="10.28125" style="105" customWidth="1"/>
    <col min="10512" max="10512" width="3.28125" style="105" customWidth="1"/>
    <col min="10513" max="10513" width="11.421875" style="105" customWidth="1"/>
    <col min="10514" max="10514" width="3.28125" style="105" customWidth="1"/>
    <col min="10515" max="10515" width="9.7109375" style="105" customWidth="1"/>
    <col min="10516" max="10516" width="2.7109375" style="105" customWidth="1"/>
    <col min="10517" max="10517" width="10.8515625" style="105" customWidth="1"/>
    <col min="10518" max="10755" width="9.140625" style="105" customWidth="1"/>
    <col min="10756" max="10756" width="9.140625" style="105" hidden="1" customWidth="1"/>
    <col min="10757" max="10757" width="9.140625" style="105" customWidth="1"/>
    <col min="10758" max="10758" width="3.421875" style="105" customWidth="1"/>
    <col min="10759" max="10759" width="9.8515625" style="105" customWidth="1"/>
    <col min="10760" max="10760" width="3.57421875" style="105" customWidth="1"/>
    <col min="10761" max="10761" width="9.140625" style="105" customWidth="1"/>
    <col min="10762" max="10762" width="2.57421875" style="105" customWidth="1"/>
    <col min="10763" max="10763" width="9.7109375" style="105" customWidth="1"/>
    <col min="10764" max="10764" width="3.57421875" style="105" customWidth="1"/>
    <col min="10765" max="10765" width="9.140625" style="105" customWidth="1"/>
    <col min="10766" max="10766" width="2.8515625" style="105" customWidth="1"/>
    <col min="10767" max="10767" width="10.28125" style="105" customWidth="1"/>
    <col min="10768" max="10768" width="3.28125" style="105" customWidth="1"/>
    <col min="10769" max="10769" width="11.421875" style="105" customWidth="1"/>
    <col min="10770" max="10770" width="3.28125" style="105" customWidth="1"/>
    <col min="10771" max="10771" width="9.7109375" style="105" customWidth="1"/>
    <col min="10772" max="10772" width="2.7109375" style="105" customWidth="1"/>
    <col min="10773" max="10773" width="10.8515625" style="105" customWidth="1"/>
    <col min="10774" max="11011" width="9.140625" style="105" customWidth="1"/>
    <col min="11012" max="11012" width="9.140625" style="105" hidden="1" customWidth="1"/>
    <col min="11013" max="11013" width="9.140625" style="105" customWidth="1"/>
    <col min="11014" max="11014" width="3.421875" style="105" customWidth="1"/>
    <col min="11015" max="11015" width="9.8515625" style="105" customWidth="1"/>
    <col min="11016" max="11016" width="3.57421875" style="105" customWidth="1"/>
    <col min="11017" max="11017" width="9.140625" style="105" customWidth="1"/>
    <col min="11018" max="11018" width="2.57421875" style="105" customWidth="1"/>
    <col min="11019" max="11019" width="9.7109375" style="105" customWidth="1"/>
    <col min="11020" max="11020" width="3.57421875" style="105" customWidth="1"/>
    <col min="11021" max="11021" width="9.140625" style="105" customWidth="1"/>
    <col min="11022" max="11022" width="2.8515625" style="105" customWidth="1"/>
    <col min="11023" max="11023" width="10.28125" style="105" customWidth="1"/>
    <col min="11024" max="11024" width="3.28125" style="105" customWidth="1"/>
    <col min="11025" max="11025" width="11.421875" style="105" customWidth="1"/>
    <col min="11026" max="11026" width="3.28125" style="105" customWidth="1"/>
    <col min="11027" max="11027" width="9.7109375" style="105" customWidth="1"/>
    <col min="11028" max="11028" width="2.7109375" style="105" customWidth="1"/>
    <col min="11029" max="11029" width="10.8515625" style="105" customWidth="1"/>
    <col min="11030" max="11267" width="9.140625" style="105" customWidth="1"/>
    <col min="11268" max="11268" width="9.140625" style="105" hidden="1" customWidth="1"/>
    <col min="11269" max="11269" width="9.140625" style="105" customWidth="1"/>
    <col min="11270" max="11270" width="3.421875" style="105" customWidth="1"/>
    <col min="11271" max="11271" width="9.8515625" style="105" customWidth="1"/>
    <col min="11272" max="11272" width="3.57421875" style="105" customWidth="1"/>
    <col min="11273" max="11273" width="9.140625" style="105" customWidth="1"/>
    <col min="11274" max="11274" width="2.57421875" style="105" customWidth="1"/>
    <col min="11275" max="11275" width="9.7109375" style="105" customWidth="1"/>
    <col min="11276" max="11276" width="3.57421875" style="105" customWidth="1"/>
    <col min="11277" max="11277" width="9.140625" style="105" customWidth="1"/>
    <col min="11278" max="11278" width="2.8515625" style="105" customWidth="1"/>
    <col min="11279" max="11279" width="10.28125" style="105" customWidth="1"/>
    <col min="11280" max="11280" width="3.28125" style="105" customWidth="1"/>
    <col min="11281" max="11281" width="11.421875" style="105" customWidth="1"/>
    <col min="11282" max="11282" width="3.28125" style="105" customWidth="1"/>
    <col min="11283" max="11283" width="9.7109375" style="105" customWidth="1"/>
    <col min="11284" max="11284" width="2.7109375" style="105" customWidth="1"/>
    <col min="11285" max="11285" width="10.8515625" style="105" customWidth="1"/>
    <col min="11286" max="11523" width="9.140625" style="105" customWidth="1"/>
    <col min="11524" max="11524" width="9.140625" style="105" hidden="1" customWidth="1"/>
    <col min="11525" max="11525" width="9.140625" style="105" customWidth="1"/>
    <col min="11526" max="11526" width="3.421875" style="105" customWidth="1"/>
    <col min="11527" max="11527" width="9.8515625" style="105" customWidth="1"/>
    <col min="11528" max="11528" width="3.57421875" style="105" customWidth="1"/>
    <col min="11529" max="11529" width="9.140625" style="105" customWidth="1"/>
    <col min="11530" max="11530" width="2.57421875" style="105" customWidth="1"/>
    <col min="11531" max="11531" width="9.7109375" style="105" customWidth="1"/>
    <col min="11532" max="11532" width="3.57421875" style="105" customWidth="1"/>
    <col min="11533" max="11533" width="9.140625" style="105" customWidth="1"/>
    <col min="11534" max="11534" width="2.8515625" style="105" customWidth="1"/>
    <col min="11535" max="11535" width="10.28125" style="105" customWidth="1"/>
    <col min="11536" max="11536" width="3.28125" style="105" customWidth="1"/>
    <col min="11537" max="11537" width="11.421875" style="105" customWidth="1"/>
    <col min="11538" max="11538" width="3.28125" style="105" customWidth="1"/>
    <col min="11539" max="11539" width="9.7109375" style="105" customWidth="1"/>
    <col min="11540" max="11540" width="2.7109375" style="105" customWidth="1"/>
    <col min="11541" max="11541" width="10.8515625" style="105" customWidth="1"/>
    <col min="11542" max="11779" width="9.140625" style="105" customWidth="1"/>
    <col min="11780" max="11780" width="9.140625" style="105" hidden="1" customWidth="1"/>
    <col min="11781" max="11781" width="9.140625" style="105" customWidth="1"/>
    <col min="11782" max="11782" width="3.421875" style="105" customWidth="1"/>
    <col min="11783" max="11783" width="9.8515625" style="105" customWidth="1"/>
    <col min="11784" max="11784" width="3.57421875" style="105" customWidth="1"/>
    <col min="11785" max="11785" width="9.140625" style="105" customWidth="1"/>
    <col min="11786" max="11786" width="2.57421875" style="105" customWidth="1"/>
    <col min="11787" max="11787" width="9.7109375" style="105" customWidth="1"/>
    <col min="11788" max="11788" width="3.57421875" style="105" customWidth="1"/>
    <col min="11789" max="11789" width="9.140625" style="105" customWidth="1"/>
    <col min="11790" max="11790" width="2.8515625" style="105" customWidth="1"/>
    <col min="11791" max="11791" width="10.28125" style="105" customWidth="1"/>
    <col min="11792" max="11792" width="3.28125" style="105" customWidth="1"/>
    <col min="11793" max="11793" width="11.421875" style="105" customWidth="1"/>
    <col min="11794" max="11794" width="3.28125" style="105" customWidth="1"/>
    <col min="11795" max="11795" width="9.7109375" style="105" customWidth="1"/>
    <col min="11796" max="11796" width="2.7109375" style="105" customWidth="1"/>
    <col min="11797" max="11797" width="10.8515625" style="105" customWidth="1"/>
    <col min="11798" max="12035" width="9.140625" style="105" customWidth="1"/>
    <col min="12036" max="12036" width="9.140625" style="105" hidden="1" customWidth="1"/>
    <col min="12037" max="12037" width="9.140625" style="105" customWidth="1"/>
    <col min="12038" max="12038" width="3.421875" style="105" customWidth="1"/>
    <col min="12039" max="12039" width="9.8515625" style="105" customWidth="1"/>
    <col min="12040" max="12040" width="3.57421875" style="105" customWidth="1"/>
    <col min="12041" max="12041" width="9.140625" style="105" customWidth="1"/>
    <col min="12042" max="12042" width="2.57421875" style="105" customWidth="1"/>
    <col min="12043" max="12043" width="9.7109375" style="105" customWidth="1"/>
    <col min="12044" max="12044" width="3.57421875" style="105" customWidth="1"/>
    <col min="12045" max="12045" width="9.140625" style="105" customWidth="1"/>
    <col min="12046" max="12046" width="2.8515625" style="105" customWidth="1"/>
    <col min="12047" max="12047" width="10.28125" style="105" customWidth="1"/>
    <col min="12048" max="12048" width="3.28125" style="105" customWidth="1"/>
    <col min="12049" max="12049" width="11.421875" style="105" customWidth="1"/>
    <col min="12050" max="12050" width="3.28125" style="105" customWidth="1"/>
    <col min="12051" max="12051" width="9.7109375" style="105" customWidth="1"/>
    <col min="12052" max="12052" width="2.7109375" style="105" customWidth="1"/>
    <col min="12053" max="12053" width="10.8515625" style="105" customWidth="1"/>
    <col min="12054" max="12291" width="9.140625" style="105" customWidth="1"/>
    <col min="12292" max="12292" width="9.140625" style="105" hidden="1" customWidth="1"/>
    <col min="12293" max="12293" width="9.140625" style="105" customWidth="1"/>
    <col min="12294" max="12294" width="3.421875" style="105" customWidth="1"/>
    <col min="12295" max="12295" width="9.8515625" style="105" customWidth="1"/>
    <col min="12296" max="12296" width="3.57421875" style="105" customWidth="1"/>
    <col min="12297" max="12297" width="9.140625" style="105" customWidth="1"/>
    <col min="12298" max="12298" width="2.57421875" style="105" customWidth="1"/>
    <col min="12299" max="12299" width="9.7109375" style="105" customWidth="1"/>
    <col min="12300" max="12300" width="3.57421875" style="105" customWidth="1"/>
    <col min="12301" max="12301" width="9.140625" style="105" customWidth="1"/>
    <col min="12302" max="12302" width="2.8515625" style="105" customWidth="1"/>
    <col min="12303" max="12303" width="10.28125" style="105" customWidth="1"/>
    <col min="12304" max="12304" width="3.28125" style="105" customWidth="1"/>
    <col min="12305" max="12305" width="11.421875" style="105" customWidth="1"/>
    <col min="12306" max="12306" width="3.28125" style="105" customWidth="1"/>
    <col min="12307" max="12307" width="9.7109375" style="105" customWidth="1"/>
    <col min="12308" max="12308" width="2.7109375" style="105" customWidth="1"/>
    <col min="12309" max="12309" width="10.8515625" style="105" customWidth="1"/>
    <col min="12310" max="12547" width="9.140625" style="105" customWidth="1"/>
    <col min="12548" max="12548" width="9.140625" style="105" hidden="1" customWidth="1"/>
    <col min="12549" max="12549" width="9.140625" style="105" customWidth="1"/>
    <col min="12550" max="12550" width="3.421875" style="105" customWidth="1"/>
    <col min="12551" max="12551" width="9.8515625" style="105" customWidth="1"/>
    <col min="12552" max="12552" width="3.57421875" style="105" customWidth="1"/>
    <col min="12553" max="12553" width="9.140625" style="105" customWidth="1"/>
    <col min="12554" max="12554" width="2.57421875" style="105" customWidth="1"/>
    <col min="12555" max="12555" width="9.7109375" style="105" customWidth="1"/>
    <col min="12556" max="12556" width="3.57421875" style="105" customWidth="1"/>
    <col min="12557" max="12557" width="9.140625" style="105" customWidth="1"/>
    <col min="12558" max="12558" width="2.8515625" style="105" customWidth="1"/>
    <col min="12559" max="12559" width="10.28125" style="105" customWidth="1"/>
    <col min="12560" max="12560" width="3.28125" style="105" customWidth="1"/>
    <col min="12561" max="12561" width="11.421875" style="105" customWidth="1"/>
    <col min="12562" max="12562" width="3.28125" style="105" customWidth="1"/>
    <col min="12563" max="12563" width="9.7109375" style="105" customWidth="1"/>
    <col min="12564" max="12564" width="2.7109375" style="105" customWidth="1"/>
    <col min="12565" max="12565" width="10.8515625" style="105" customWidth="1"/>
    <col min="12566" max="12803" width="9.140625" style="105" customWidth="1"/>
    <col min="12804" max="12804" width="9.140625" style="105" hidden="1" customWidth="1"/>
    <col min="12805" max="12805" width="9.140625" style="105" customWidth="1"/>
    <col min="12806" max="12806" width="3.421875" style="105" customWidth="1"/>
    <col min="12807" max="12807" width="9.8515625" style="105" customWidth="1"/>
    <col min="12808" max="12808" width="3.57421875" style="105" customWidth="1"/>
    <col min="12809" max="12809" width="9.140625" style="105" customWidth="1"/>
    <col min="12810" max="12810" width="2.57421875" style="105" customWidth="1"/>
    <col min="12811" max="12811" width="9.7109375" style="105" customWidth="1"/>
    <col min="12812" max="12812" width="3.57421875" style="105" customWidth="1"/>
    <col min="12813" max="12813" width="9.140625" style="105" customWidth="1"/>
    <col min="12814" max="12814" width="2.8515625" style="105" customWidth="1"/>
    <col min="12815" max="12815" width="10.28125" style="105" customWidth="1"/>
    <col min="12816" max="12816" width="3.28125" style="105" customWidth="1"/>
    <col min="12817" max="12817" width="11.421875" style="105" customWidth="1"/>
    <col min="12818" max="12818" width="3.28125" style="105" customWidth="1"/>
    <col min="12819" max="12819" width="9.7109375" style="105" customWidth="1"/>
    <col min="12820" max="12820" width="2.7109375" style="105" customWidth="1"/>
    <col min="12821" max="12821" width="10.8515625" style="105" customWidth="1"/>
    <col min="12822" max="13059" width="9.140625" style="105" customWidth="1"/>
    <col min="13060" max="13060" width="9.140625" style="105" hidden="1" customWidth="1"/>
    <col min="13061" max="13061" width="9.140625" style="105" customWidth="1"/>
    <col min="13062" max="13062" width="3.421875" style="105" customWidth="1"/>
    <col min="13063" max="13063" width="9.8515625" style="105" customWidth="1"/>
    <col min="13064" max="13064" width="3.57421875" style="105" customWidth="1"/>
    <col min="13065" max="13065" width="9.140625" style="105" customWidth="1"/>
    <col min="13066" max="13066" width="2.57421875" style="105" customWidth="1"/>
    <col min="13067" max="13067" width="9.7109375" style="105" customWidth="1"/>
    <col min="13068" max="13068" width="3.57421875" style="105" customWidth="1"/>
    <col min="13069" max="13069" width="9.140625" style="105" customWidth="1"/>
    <col min="13070" max="13070" width="2.8515625" style="105" customWidth="1"/>
    <col min="13071" max="13071" width="10.28125" style="105" customWidth="1"/>
    <col min="13072" max="13072" width="3.28125" style="105" customWidth="1"/>
    <col min="13073" max="13073" width="11.421875" style="105" customWidth="1"/>
    <col min="13074" max="13074" width="3.28125" style="105" customWidth="1"/>
    <col min="13075" max="13075" width="9.7109375" style="105" customWidth="1"/>
    <col min="13076" max="13076" width="2.7109375" style="105" customWidth="1"/>
    <col min="13077" max="13077" width="10.8515625" style="105" customWidth="1"/>
    <col min="13078" max="13315" width="9.140625" style="105" customWidth="1"/>
    <col min="13316" max="13316" width="9.140625" style="105" hidden="1" customWidth="1"/>
    <col min="13317" max="13317" width="9.140625" style="105" customWidth="1"/>
    <col min="13318" max="13318" width="3.421875" style="105" customWidth="1"/>
    <col min="13319" max="13319" width="9.8515625" style="105" customWidth="1"/>
    <col min="13320" max="13320" width="3.57421875" style="105" customWidth="1"/>
    <col min="13321" max="13321" width="9.140625" style="105" customWidth="1"/>
    <col min="13322" max="13322" width="2.57421875" style="105" customWidth="1"/>
    <col min="13323" max="13323" width="9.7109375" style="105" customWidth="1"/>
    <col min="13324" max="13324" width="3.57421875" style="105" customWidth="1"/>
    <col min="13325" max="13325" width="9.140625" style="105" customWidth="1"/>
    <col min="13326" max="13326" width="2.8515625" style="105" customWidth="1"/>
    <col min="13327" max="13327" width="10.28125" style="105" customWidth="1"/>
    <col min="13328" max="13328" width="3.28125" style="105" customWidth="1"/>
    <col min="13329" max="13329" width="11.421875" style="105" customWidth="1"/>
    <col min="13330" max="13330" width="3.28125" style="105" customWidth="1"/>
    <col min="13331" max="13331" width="9.7109375" style="105" customWidth="1"/>
    <col min="13332" max="13332" width="2.7109375" style="105" customWidth="1"/>
    <col min="13333" max="13333" width="10.8515625" style="105" customWidth="1"/>
    <col min="13334" max="13571" width="9.140625" style="105" customWidth="1"/>
    <col min="13572" max="13572" width="9.140625" style="105" hidden="1" customWidth="1"/>
    <col min="13573" max="13573" width="9.140625" style="105" customWidth="1"/>
    <col min="13574" max="13574" width="3.421875" style="105" customWidth="1"/>
    <col min="13575" max="13575" width="9.8515625" style="105" customWidth="1"/>
    <col min="13576" max="13576" width="3.57421875" style="105" customWidth="1"/>
    <col min="13577" max="13577" width="9.140625" style="105" customWidth="1"/>
    <col min="13578" max="13578" width="2.57421875" style="105" customWidth="1"/>
    <col min="13579" max="13579" width="9.7109375" style="105" customWidth="1"/>
    <col min="13580" max="13580" width="3.57421875" style="105" customWidth="1"/>
    <col min="13581" max="13581" width="9.140625" style="105" customWidth="1"/>
    <col min="13582" max="13582" width="2.8515625" style="105" customWidth="1"/>
    <col min="13583" max="13583" width="10.28125" style="105" customWidth="1"/>
    <col min="13584" max="13584" width="3.28125" style="105" customWidth="1"/>
    <col min="13585" max="13585" width="11.421875" style="105" customWidth="1"/>
    <col min="13586" max="13586" width="3.28125" style="105" customWidth="1"/>
    <col min="13587" max="13587" width="9.7109375" style="105" customWidth="1"/>
    <col min="13588" max="13588" width="2.7109375" style="105" customWidth="1"/>
    <col min="13589" max="13589" width="10.8515625" style="105" customWidth="1"/>
    <col min="13590" max="13827" width="9.140625" style="105" customWidth="1"/>
    <col min="13828" max="13828" width="9.140625" style="105" hidden="1" customWidth="1"/>
    <col min="13829" max="13829" width="9.140625" style="105" customWidth="1"/>
    <col min="13830" max="13830" width="3.421875" style="105" customWidth="1"/>
    <col min="13831" max="13831" width="9.8515625" style="105" customWidth="1"/>
    <col min="13832" max="13832" width="3.57421875" style="105" customWidth="1"/>
    <col min="13833" max="13833" width="9.140625" style="105" customWidth="1"/>
    <col min="13834" max="13834" width="2.57421875" style="105" customWidth="1"/>
    <col min="13835" max="13835" width="9.7109375" style="105" customWidth="1"/>
    <col min="13836" max="13836" width="3.57421875" style="105" customWidth="1"/>
    <col min="13837" max="13837" width="9.140625" style="105" customWidth="1"/>
    <col min="13838" max="13838" width="2.8515625" style="105" customWidth="1"/>
    <col min="13839" max="13839" width="10.28125" style="105" customWidth="1"/>
    <col min="13840" max="13840" width="3.28125" style="105" customWidth="1"/>
    <col min="13841" max="13841" width="11.421875" style="105" customWidth="1"/>
    <col min="13842" max="13842" width="3.28125" style="105" customWidth="1"/>
    <col min="13843" max="13843" width="9.7109375" style="105" customWidth="1"/>
    <col min="13844" max="13844" width="2.7109375" style="105" customWidth="1"/>
    <col min="13845" max="13845" width="10.8515625" style="105" customWidth="1"/>
    <col min="13846" max="14083" width="9.140625" style="105" customWidth="1"/>
    <col min="14084" max="14084" width="9.140625" style="105" hidden="1" customWidth="1"/>
    <col min="14085" max="14085" width="9.140625" style="105" customWidth="1"/>
    <col min="14086" max="14086" width="3.421875" style="105" customWidth="1"/>
    <col min="14087" max="14087" width="9.8515625" style="105" customWidth="1"/>
    <col min="14088" max="14088" width="3.57421875" style="105" customWidth="1"/>
    <col min="14089" max="14089" width="9.140625" style="105" customWidth="1"/>
    <col min="14090" max="14090" width="2.57421875" style="105" customWidth="1"/>
    <col min="14091" max="14091" width="9.7109375" style="105" customWidth="1"/>
    <col min="14092" max="14092" width="3.57421875" style="105" customWidth="1"/>
    <col min="14093" max="14093" width="9.140625" style="105" customWidth="1"/>
    <col min="14094" max="14094" width="2.8515625" style="105" customWidth="1"/>
    <col min="14095" max="14095" width="10.28125" style="105" customWidth="1"/>
    <col min="14096" max="14096" width="3.28125" style="105" customWidth="1"/>
    <col min="14097" max="14097" width="11.421875" style="105" customWidth="1"/>
    <col min="14098" max="14098" width="3.28125" style="105" customWidth="1"/>
    <col min="14099" max="14099" width="9.7109375" style="105" customWidth="1"/>
    <col min="14100" max="14100" width="2.7109375" style="105" customWidth="1"/>
    <col min="14101" max="14101" width="10.8515625" style="105" customWidth="1"/>
    <col min="14102" max="14339" width="9.140625" style="105" customWidth="1"/>
    <col min="14340" max="14340" width="9.140625" style="105" hidden="1" customWidth="1"/>
    <col min="14341" max="14341" width="9.140625" style="105" customWidth="1"/>
    <col min="14342" max="14342" width="3.421875" style="105" customWidth="1"/>
    <col min="14343" max="14343" width="9.8515625" style="105" customWidth="1"/>
    <col min="14344" max="14344" width="3.57421875" style="105" customWidth="1"/>
    <col min="14345" max="14345" width="9.140625" style="105" customWidth="1"/>
    <col min="14346" max="14346" width="2.57421875" style="105" customWidth="1"/>
    <col min="14347" max="14347" width="9.7109375" style="105" customWidth="1"/>
    <col min="14348" max="14348" width="3.57421875" style="105" customWidth="1"/>
    <col min="14349" max="14349" width="9.140625" style="105" customWidth="1"/>
    <col min="14350" max="14350" width="2.8515625" style="105" customWidth="1"/>
    <col min="14351" max="14351" width="10.28125" style="105" customWidth="1"/>
    <col min="14352" max="14352" width="3.28125" style="105" customWidth="1"/>
    <col min="14353" max="14353" width="11.421875" style="105" customWidth="1"/>
    <col min="14354" max="14354" width="3.28125" style="105" customWidth="1"/>
    <col min="14355" max="14355" width="9.7109375" style="105" customWidth="1"/>
    <col min="14356" max="14356" width="2.7109375" style="105" customWidth="1"/>
    <col min="14357" max="14357" width="10.8515625" style="105" customWidth="1"/>
    <col min="14358" max="14595" width="9.140625" style="105" customWidth="1"/>
    <col min="14596" max="14596" width="9.140625" style="105" hidden="1" customWidth="1"/>
    <col min="14597" max="14597" width="9.140625" style="105" customWidth="1"/>
    <col min="14598" max="14598" width="3.421875" style="105" customWidth="1"/>
    <col min="14599" max="14599" width="9.8515625" style="105" customWidth="1"/>
    <col min="14600" max="14600" width="3.57421875" style="105" customWidth="1"/>
    <col min="14601" max="14601" width="9.140625" style="105" customWidth="1"/>
    <col min="14602" max="14602" width="2.57421875" style="105" customWidth="1"/>
    <col min="14603" max="14603" width="9.7109375" style="105" customWidth="1"/>
    <col min="14604" max="14604" width="3.57421875" style="105" customWidth="1"/>
    <col min="14605" max="14605" width="9.140625" style="105" customWidth="1"/>
    <col min="14606" max="14606" width="2.8515625" style="105" customWidth="1"/>
    <col min="14607" max="14607" width="10.28125" style="105" customWidth="1"/>
    <col min="14608" max="14608" width="3.28125" style="105" customWidth="1"/>
    <col min="14609" max="14609" width="11.421875" style="105" customWidth="1"/>
    <col min="14610" max="14610" width="3.28125" style="105" customWidth="1"/>
    <col min="14611" max="14611" width="9.7109375" style="105" customWidth="1"/>
    <col min="14612" max="14612" width="2.7109375" style="105" customWidth="1"/>
    <col min="14613" max="14613" width="10.8515625" style="105" customWidth="1"/>
    <col min="14614" max="14851" width="9.140625" style="105" customWidth="1"/>
    <col min="14852" max="14852" width="9.140625" style="105" hidden="1" customWidth="1"/>
    <col min="14853" max="14853" width="9.140625" style="105" customWidth="1"/>
    <col min="14854" max="14854" width="3.421875" style="105" customWidth="1"/>
    <col min="14855" max="14855" width="9.8515625" style="105" customWidth="1"/>
    <col min="14856" max="14856" width="3.57421875" style="105" customWidth="1"/>
    <col min="14857" max="14857" width="9.140625" style="105" customWidth="1"/>
    <col min="14858" max="14858" width="2.57421875" style="105" customWidth="1"/>
    <col min="14859" max="14859" width="9.7109375" style="105" customWidth="1"/>
    <col min="14860" max="14860" width="3.57421875" style="105" customWidth="1"/>
    <col min="14861" max="14861" width="9.140625" style="105" customWidth="1"/>
    <col min="14862" max="14862" width="2.8515625" style="105" customWidth="1"/>
    <col min="14863" max="14863" width="10.28125" style="105" customWidth="1"/>
    <col min="14864" max="14864" width="3.28125" style="105" customWidth="1"/>
    <col min="14865" max="14865" width="11.421875" style="105" customWidth="1"/>
    <col min="14866" max="14866" width="3.28125" style="105" customWidth="1"/>
    <col min="14867" max="14867" width="9.7109375" style="105" customWidth="1"/>
    <col min="14868" max="14868" width="2.7109375" style="105" customWidth="1"/>
    <col min="14869" max="14869" width="10.8515625" style="105" customWidth="1"/>
    <col min="14870" max="15107" width="9.140625" style="105" customWidth="1"/>
    <col min="15108" max="15108" width="9.140625" style="105" hidden="1" customWidth="1"/>
    <col min="15109" max="15109" width="9.140625" style="105" customWidth="1"/>
    <col min="15110" max="15110" width="3.421875" style="105" customWidth="1"/>
    <col min="15111" max="15111" width="9.8515625" style="105" customWidth="1"/>
    <col min="15112" max="15112" width="3.57421875" style="105" customWidth="1"/>
    <col min="15113" max="15113" width="9.140625" style="105" customWidth="1"/>
    <col min="15114" max="15114" width="2.57421875" style="105" customWidth="1"/>
    <col min="15115" max="15115" width="9.7109375" style="105" customWidth="1"/>
    <col min="15116" max="15116" width="3.57421875" style="105" customWidth="1"/>
    <col min="15117" max="15117" width="9.140625" style="105" customWidth="1"/>
    <col min="15118" max="15118" width="2.8515625" style="105" customWidth="1"/>
    <col min="15119" max="15119" width="10.28125" style="105" customWidth="1"/>
    <col min="15120" max="15120" width="3.28125" style="105" customWidth="1"/>
    <col min="15121" max="15121" width="11.421875" style="105" customWidth="1"/>
    <col min="15122" max="15122" width="3.28125" style="105" customWidth="1"/>
    <col min="15123" max="15123" width="9.7109375" style="105" customWidth="1"/>
    <col min="15124" max="15124" width="2.7109375" style="105" customWidth="1"/>
    <col min="15125" max="15125" width="10.8515625" style="105" customWidth="1"/>
    <col min="15126" max="15363" width="9.140625" style="105" customWidth="1"/>
    <col min="15364" max="15364" width="9.140625" style="105" hidden="1" customWidth="1"/>
    <col min="15365" max="15365" width="9.140625" style="105" customWidth="1"/>
    <col min="15366" max="15366" width="3.421875" style="105" customWidth="1"/>
    <col min="15367" max="15367" width="9.8515625" style="105" customWidth="1"/>
    <col min="15368" max="15368" width="3.57421875" style="105" customWidth="1"/>
    <col min="15369" max="15369" width="9.140625" style="105" customWidth="1"/>
    <col min="15370" max="15370" width="2.57421875" style="105" customWidth="1"/>
    <col min="15371" max="15371" width="9.7109375" style="105" customWidth="1"/>
    <col min="15372" max="15372" width="3.57421875" style="105" customWidth="1"/>
    <col min="15373" max="15373" width="9.140625" style="105" customWidth="1"/>
    <col min="15374" max="15374" width="2.8515625" style="105" customWidth="1"/>
    <col min="15375" max="15375" width="10.28125" style="105" customWidth="1"/>
    <col min="15376" max="15376" width="3.28125" style="105" customWidth="1"/>
    <col min="15377" max="15377" width="11.421875" style="105" customWidth="1"/>
    <col min="15378" max="15378" width="3.28125" style="105" customWidth="1"/>
    <col min="15379" max="15379" width="9.7109375" style="105" customWidth="1"/>
    <col min="15380" max="15380" width="2.7109375" style="105" customWidth="1"/>
    <col min="15381" max="15381" width="10.8515625" style="105" customWidth="1"/>
    <col min="15382" max="15619" width="9.140625" style="105" customWidth="1"/>
    <col min="15620" max="15620" width="9.140625" style="105" hidden="1" customWidth="1"/>
    <col min="15621" max="15621" width="9.140625" style="105" customWidth="1"/>
    <col min="15622" max="15622" width="3.421875" style="105" customWidth="1"/>
    <col min="15623" max="15623" width="9.8515625" style="105" customWidth="1"/>
    <col min="15624" max="15624" width="3.57421875" style="105" customWidth="1"/>
    <col min="15625" max="15625" width="9.140625" style="105" customWidth="1"/>
    <col min="15626" max="15626" width="2.57421875" style="105" customWidth="1"/>
    <col min="15627" max="15627" width="9.7109375" style="105" customWidth="1"/>
    <col min="15628" max="15628" width="3.57421875" style="105" customWidth="1"/>
    <col min="15629" max="15629" width="9.140625" style="105" customWidth="1"/>
    <col min="15630" max="15630" width="2.8515625" style="105" customWidth="1"/>
    <col min="15631" max="15631" width="10.28125" style="105" customWidth="1"/>
    <col min="15632" max="15632" width="3.28125" style="105" customWidth="1"/>
    <col min="15633" max="15633" width="11.421875" style="105" customWidth="1"/>
    <col min="15634" max="15634" width="3.28125" style="105" customWidth="1"/>
    <col min="15635" max="15635" width="9.7109375" style="105" customWidth="1"/>
    <col min="15636" max="15636" width="2.7109375" style="105" customWidth="1"/>
    <col min="15637" max="15637" width="10.8515625" style="105" customWidth="1"/>
    <col min="15638" max="15875" width="9.140625" style="105" customWidth="1"/>
    <col min="15876" max="15876" width="9.140625" style="105" hidden="1" customWidth="1"/>
    <col min="15877" max="15877" width="9.140625" style="105" customWidth="1"/>
    <col min="15878" max="15878" width="3.421875" style="105" customWidth="1"/>
    <col min="15879" max="15879" width="9.8515625" style="105" customWidth="1"/>
    <col min="15880" max="15880" width="3.57421875" style="105" customWidth="1"/>
    <col min="15881" max="15881" width="9.140625" style="105" customWidth="1"/>
    <col min="15882" max="15882" width="2.57421875" style="105" customWidth="1"/>
    <col min="15883" max="15883" width="9.7109375" style="105" customWidth="1"/>
    <col min="15884" max="15884" width="3.57421875" style="105" customWidth="1"/>
    <col min="15885" max="15885" width="9.140625" style="105" customWidth="1"/>
    <col min="15886" max="15886" width="2.8515625" style="105" customWidth="1"/>
    <col min="15887" max="15887" width="10.28125" style="105" customWidth="1"/>
    <col min="15888" max="15888" width="3.28125" style="105" customWidth="1"/>
    <col min="15889" max="15889" width="11.421875" style="105" customWidth="1"/>
    <col min="15890" max="15890" width="3.28125" style="105" customWidth="1"/>
    <col min="15891" max="15891" width="9.7109375" style="105" customWidth="1"/>
    <col min="15892" max="15892" width="2.7109375" style="105" customWidth="1"/>
    <col min="15893" max="15893" width="10.8515625" style="105" customWidth="1"/>
    <col min="15894" max="16131" width="9.140625" style="105" customWidth="1"/>
    <col min="16132" max="16132" width="9.140625" style="105" hidden="1" customWidth="1"/>
    <col min="16133" max="16133" width="9.140625" style="105" customWidth="1"/>
    <col min="16134" max="16134" width="3.421875" style="105" customWidth="1"/>
    <col min="16135" max="16135" width="9.8515625" style="105" customWidth="1"/>
    <col min="16136" max="16136" width="3.57421875" style="105" customWidth="1"/>
    <col min="16137" max="16137" width="9.140625" style="105" customWidth="1"/>
    <col min="16138" max="16138" width="2.57421875" style="105" customWidth="1"/>
    <col min="16139" max="16139" width="9.7109375" style="105" customWidth="1"/>
    <col min="16140" max="16140" width="3.57421875" style="105" customWidth="1"/>
    <col min="16141" max="16141" width="9.140625" style="105" customWidth="1"/>
    <col min="16142" max="16142" width="2.8515625" style="105" customWidth="1"/>
    <col min="16143" max="16143" width="10.28125" style="105" customWidth="1"/>
    <col min="16144" max="16144" width="3.28125" style="105" customWidth="1"/>
    <col min="16145" max="16145" width="11.421875" style="105" customWidth="1"/>
    <col min="16146" max="16146" width="3.28125" style="105" customWidth="1"/>
    <col min="16147" max="16147" width="9.7109375" style="105" customWidth="1"/>
    <col min="16148" max="16148" width="2.7109375" style="105" customWidth="1"/>
    <col min="16149" max="16149" width="10.8515625" style="105" customWidth="1"/>
    <col min="16150" max="16384" width="9.140625" style="105" customWidth="1"/>
  </cols>
  <sheetData>
    <row r="1" spans="3:21" ht="12.75">
      <c r="C1" s="409" t="s">
        <v>737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</row>
    <row r="2" spans="3:21" ht="12.75">
      <c r="C2" s="409" t="s">
        <v>650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</row>
    <row r="3" spans="3:21" ht="12.75">
      <c r="C3" s="409" t="s">
        <v>736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</row>
    <row r="4" spans="3:21" ht="12.75">
      <c r="C4" s="409" t="s">
        <v>283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</row>
    <row r="5" spans="1:21" ht="12.75" customHeight="1">
      <c r="A5" s="177"/>
      <c r="B5" s="177"/>
      <c r="C5" s="401"/>
      <c r="D5" s="177"/>
      <c r="E5" s="225"/>
      <c r="F5" s="177"/>
      <c r="G5" s="225"/>
      <c r="H5" s="177"/>
      <c r="I5" s="225"/>
      <c r="J5" s="177"/>
      <c r="K5" s="225"/>
      <c r="L5" s="177"/>
      <c r="M5" s="225"/>
      <c r="N5" s="225"/>
      <c r="O5" s="225"/>
      <c r="P5" s="225"/>
      <c r="Q5" s="225"/>
      <c r="R5" s="177"/>
      <c r="S5" s="225"/>
      <c r="T5" s="177"/>
      <c r="U5" s="225"/>
    </row>
    <row r="6" spans="1:21" ht="15">
      <c r="A6" s="177"/>
      <c r="B6" s="177"/>
      <c r="C6" s="397" t="s">
        <v>172</v>
      </c>
      <c r="D6" s="398"/>
      <c r="E6" s="399" t="s">
        <v>173</v>
      </c>
      <c r="F6" s="398"/>
      <c r="G6" s="399" t="s">
        <v>174</v>
      </c>
      <c r="H6" s="398"/>
      <c r="I6" s="399" t="s">
        <v>175</v>
      </c>
      <c r="J6" s="398"/>
      <c r="K6" s="399" t="s">
        <v>176</v>
      </c>
      <c r="L6" s="398"/>
      <c r="M6" s="399" t="s">
        <v>177</v>
      </c>
      <c r="N6" s="399"/>
      <c r="O6" s="400" t="s">
        <v>286</v>
      </c>
      <c r="P6" s="398"/>
      <c r="Q6" s="399" t="s">
        <v>287</v>
      </c>
      <c r="R6" s="398"/>
      <c r="S6" s="399" t="s">
        <v>288</v>
      </c>
      <c r="T6" s="398"/>
      <c r="U6" s="399" t="s">
        <v>289</v>
      </c>
    </row>
    <row r="7" spans="1:21" ht="15.75">
      <c r="A7" s="177"/>
      <c r="B7" s="177"/>
      <c r="C7" s="282"/>
      <c r="D7" s="279"/>
      <c r="E7" s="280"/>
      <c r="F7" s="279"/>
      <c r="G7" s="280"/>
      <c r="H7" s="279"/>
      <c r="I7" s="280"/>
      <c r="J7" s="279"/>
      <c r="K7" s="280"/>
      <c r="L7" s="279"/>
      <c r="M7" s="280"/>
      <c r="N7" s="280"/>
      <c r="O7" s="280"/>
      <c r="P7" s="280"/>
      <c r="Q7" s="281" t="s">
        <v>56</v>
      </c>
      <c r="R7" s="279"/>
      <c r="S7" s="280"/>
      <c r="T7" s="279"/>
      <c r="U7" s="280"/>
    </row>
    <row r="8" spans="1:21" ht="12.75">
      <c r="A8" s="177"/>
      <c r="B8" s="177"/>
      <c r="C8" s="281"/>
      <c r="D8" s="281"/>
      <c r="E8" s="281"/>
      <c r="F8" s="281"/>
      <c r="G8" s="281"/>
      <c r="H8" s="281"/>
      <c r="I8" s="281" t="s">
        <v>261</v>
      </c>
      <c r="J8" s="281"/>
      <c r="K8" s="281"/>
      <c r="L8" s="281"/>
      <c r="M8" s="281"/>
      <c r="N8" s="281"/>
      <c r="O8" s="281"/>
      <c r="P8" s="281"/>
      <c r="Q8" s="281" t="s">
        <v>573</v>
      </c>
      <c r="R8" s="281"/>
      <c r="S8" s="281" t="s">
        <v>261</v>
      </c>
      <c r="T8" s="281"/>
      <c r="U8" s="281"/>
    </row>
    <row r="9" spans="1:21" ht="12.75">
      <c r="A9" s="177"/>
      <c r="B9" s="177"/>
      <c r="C9" s="281"/>
      <c r="D9" s="281"/>
      <c r="E9" s="281"/>
      <c r="F9" s="281"/>
      <c r="G9" s="281" t="s">
        <v>580</v>
      </c>
      <c r="H9" s="281"/>
      <c r="I9" s="281" t="s">
        <v>574</v>
      </c>
      <c r="J9" s="281"/>
      <c r="K9" s="281"/>
      <c r="L9" s="281"/>
      <c r="M9" s="281"/>
      <c r="N9" s="281"/>
      <c r="O9" s="281" t="s">
        <v>651</v>
      </c>
      <c r="P9" s="281"/>
      <c r="Q9" s="281" t="s">
        <v>575</v>
      </c>
      <c r="R9" s="281"/>
      <c r="S9" s="281" t="s">
        <v>576</v>
      </c>
      <c r="T9" s="281"/>
      <c r="U9" s="281" t="s">
        <v>577</v>
      </c>
    </row>
    <row r="10" spans="1:21" ht="12.75">
      <c r="A10" s="177"/>
      <c r="B10" s="177"/>
      <c r="C10" s="281" t="s">
        <v>578</v>
      </c>
      <c r="D10" s="281"/>
      <c r="E10" s="281" t="s">
        <v>579</v>
      </c>
      <c r="F10" s="281"/>
      <c r="G10" s="281" t="s">
        <v>593</v>
      </c>
      <c r="H10" s="281"/>
      <c r="I10" s="281" t="s">
        <v>581</v>
      </c>
      <c r="J10" s="281"/>
      <c r="K10" s="281"/>
      <c r="L10" s="281"/>
      <c r="M10" s="281" t="s">
        <v>582</v>
      </c>
      <c r="N10" s="281"/>
      <c r="O10" s="281" t="s">
        <v>652</v>
      </c>
      <c r="P10" s="281"/>
      <c r="Q10" s="281" t="s">
        <v>583</v>
      </c>
      <c r="R10" s="281"/>
      <c r="S10" s="281" t="s">
        <v>584</v>
      </c>
      <c r="T10" s="281"/>
      <c r="U10" s="281" t="s">
        <v>261</v>
      </c>
    </row>
    <row r="11" spans="1:24" ht="12.75">
      <c r="A11" s="177"/>
      <c r="B11" s="177"/>
      <c r="C11" s="281" t="s">
        <v>80</v>
      </c>
      <c r="D11" s="281"/>
      <c r="E11" s="281" t="s">
        <v>261</v>
      </c>
      <c r="F11" s="281"/>
      <c r="G11" s="281" t="s">
        <v>592</v>
      </c>
      <c r="H11" s="281"/>
      <c r="I11" s="281" t="s">
        <v>585</v>
      </c>
      <c r="J11" s="281"/>
      <c r="K11" s="281" t="s">
        <v>129</v>
      </c>
      <c r="L11" s="281"/>
      <c r="M11" s="281" t="s">
        <v>586</v>
      </c>
      <c r="N11" s="281"/>
      <c r="O11" s="281" t="s">
        <v>653</v>
      </c>
      <c r="P11" s="281"/>
      <c r="Q11" s="281" t="s">
        <v>570</v>
      </c>
      <c r="R11" s="281"/>
      <c r="S11" s="281" t="s">
        <v>587</v>
      </c>
      <c r="T11" s="281"/>
      <c r="U11" s="281" t="s">
        <v>588</v>
      </c>
      <c r="X11" s="177"/>
    </row>
    <row r="12" spans="1:24" ht="12.75">
      <c r="A12" s="177"/>
      <c r="B12" s="177"/>
      <c r="C12" s="401"/>
      <c r="D12" s="177"/>
      <c r="E12" s="225"/>
      <c r="F12" s="177"/>
      <c r="G12" s="225"/>
      <c r="H12" s="177"/>
      <c r="I12" s="225"/>
      <c r="J12" s="177"/>
      <c r="K12" s="225"/>
      <c r="L12" s="177"/>
      <c r="M12" s="225"/>
      <c r="N12" s="225"/>
      <c r="O12" s="225"/>
      <c r="P12" s="225"/>
      <c r="Q12" s="225"/>
      <c r="R12" s="177"/>
      <c r="S12" s="225"/>
      <c r="T12" s="177"/>
      <c r="U12" s="225"/>
      <c r="X12" s="177"/>
    </row>
    <row r="13" spans="1:24" ht="12.75">
      <c r="A13" s="177"/>
      <c r="B13" s="177"/>
      <c r="C13" s="402" t="s">
        <v>589</v>
      </c>
      <c r="D13" s="177"/>
      <c r="E13" s="225"/>
      <c r="F13" s="177"/>
      <c r="G13" s="225"/>
      <c r="H13" s="177"/>
      <c r="I13" s="225"/>
      <c r="J13" s="177"/>
      <c r="K13" s="225"/>
      <c r="L13" s="177"/>
      <c r="M13" s="225"/>
      <c r="N13" s="225"/>
      <c r="O13" s="225"/>
      <c r="P13" s="225"/>
      <c r="Q13" s="225"/>
      <c r="R13" s="177"/>
      <c r="S13" s="225"/>
      <c r="T13" s="177"/>
      <c r="U13" s="225"/>
      <c r="X13" s="177"/>
    </row>
    <row r="14" spans="1:21" ht="12.75">
      <c r="A14" s="177"/>
      <c r="B14" s="401">
        <v>1</v>
      </c>
      <c r="C14" s="401">
        <v>2012</v>
      </c>
      <c r="D14" s="177"/>
      <c r="E14" s="271">
        <v>256945</v>
      </c>
      <c r="F14" s="271"/>
      <c r="G14" s="271">
        <v>0</v>
      </c>
      <c r="H14" s="271"/>
      <c r="I14" s="271"/>
      <c r="J14" s="271"/>
      <c r="K14" s="271">
        <v>-11145</v>
      </c>
      <c r="L14" s="271"/>
      <c r="M14" s="271">
        <v>245800</v>
      </c>
      <c r="N14" s="271"/>
      <c r="O14" s="271"/>
      <c r="P14" s="271"/>
      <c r="Q14" s="272">
        <v>-45752</v>
      </c>
      <c r="R14" s="271"/>
      <c r="S14" s="271">
        <v>-30300</v>
      </c>
      <c r="T14" s="271"/>
      <c r="U14" s="271">
        <v>169748</v>
      </c>
    </row>
    <row r="15" spans="1:21" ht="12.75">
      <c r="A15" s="177"/>
      <c r="B15" s="401">
        <v>2</v>
      </c>
      <c r="C15" s="401">
        <v>2013</v>
      </c>
      <c r="D15" s="177"/>
      <c r="E15" s="271">
        <v>281514.81291000004</v>
      </c>
      <c r="F15" s="271"/>
      <c r="G15" s="271">
        <v>0</v>
      </c>
      <c r="H15" s="271"/>
      <c r="I15" s="271"/>
      <c r="J15" s="271"/>
      <c r="K15" s="271">
        <v>-10674.16585</v>
      </c>
      <c r="L15" s="271"/>
      <c r="M15" s="271">
        <v>270840.64706000005</v>
      </c>
      <c r="N15" s="271"/>
      <c r="O15" s="271"/>
      <c r="P15" s="271"/>
      <c r="Q15" s="272">
        <v>-45752</v>
      </c>
      <c r="R15" s="271"/>
      <c r="S15" s="271">
        <v>-15443.65349</v>
      </c>
      <c r="T15" s="271"/>
      <c r="U15" s="271">
        <v>209644.99357000005</v>
      </c>
    </row>
    <row r="16" spans="1:21" ht="12.75">
      <c r="A16" s="177"/>
      <c r="B16" s="401">
        <v>3</v>
      </c>
      <c r="C16" s="401">
        <f>C15+1</f>
        <v>2014</v>
      </c>
      <c r="D16" s="177"/>
      <c r="E16" s="271">
        <v>265865.0459</v>
      </c>
      <c r="F16" s="271"/>
      <c r="G16" s="271">
        <v>0</v>
      </c>
      <c r="H16" s="271"/>
      <c r="I16" s="271"/>
      <c r="J16" s="271"/>
      <c r="K16" s="271">
        <v>-9375.117619999999</v>
      </c>
      <c r="L16" s="271"/>
      <c r="M16" s="271">
        <v>256489.92828000002</v>
      </c>
      <c r="N16" s="271"/>
      <c r="O16" s="271"/>
      <c r="P16" s="271"/>
      <c r="Q16" s="272">
        <v>-45752</v>
      </c>
      <c r="R16" s="271"/>
      <c r="S16" s="271">
        <v>-14191.99854</v>
      </c>
      <c r="T16" s="271"/>
      <c r="U16" s="271">
        <v>196545.92974000002</v>
      </c>
    </row>
    <row r="17" spans="1:21" ht="12.75">
      <c r="A17" s="177"/>
      <c r="B17" s="401">
        <v>4</v>
      </c>
      <c r="C17" s="401">
        <v>2015</v>
      </c>
      <c r="D17" s="177"/>
      <c r="E17" s="271">
        <v>250757.20813999997</v>
      </c>
      <c r="F17" s="271"/>
      <c r="G17" s="271">
        <v>0</v>
      </c>
      <c r="H17" s="271"/>
      <c r="I17" s="271"/>
      <c r="J17" s="271"/>
      <c r="K17" s="271">
        <v>-8664.035109999999</v>
      </c>
      <c r="L17" s="271"/>
      <c r="M17" s="271">
        <v>242093.17302999998</v>
      </c>
      <c r="N17" s="271"/>
      <c r="O17" s="271">
        <v>14041</v>
      </c>
      <c r="P17" s="271"/>
      <c r="Q17" s="271">
        <v>-45936.984</v>
      </c>
      <c r="R17" s="271"/>
      <c r="S17" s="271">
        <v>-8980.93528</v>
      </c>
      <c r="T17" s="271"/>
      <c r="U17" s="271">
        <v>201216.25374999997</v>
      </c>
    </row>
    <row r="18" spans="1:21" ht="12.75">
      <c r="A18" s="177"/>
      <c r="B18" s="401">
        <v>5</v>
      </c>
      <c r="C18" s="401">
        <f>C17+1</f>
        <v>2016</v>
      </c>
      <c r="D18" s="177"/>
      <c r="E18" s="271">
        <v>239256.09071000002</v>
      </c>
      <c r="F18" s="271"/>
      <c r="G18" s="271">
        <v>0</v>
      </c>
      <c r="H18" s="271"/>
      <c r="I18" s="271"/>
      <c r="J18" s="271"/>
      <c r="K18" s="271">
        <v>-9261.886970000001</v>
      </c>
      <c r="L18" s="271"/>
      <c r="M18" s="271">
        <f>SUM(E18:L18)</f>
        <v>229994.20374000003</v>
      </c>
      <c r="N18" s="271"/>
      <c r="O18" s="271">
        <v>13272.830539999999</v>
      </c>
      <c r="P18" s="271"/>
      <c r="Q18" s="271">
        <v>-45936.984</v>
      </c>
      <c r="R18" s="271"/>
      <c r="S18" s="271">
        <v>-11404.626400000001</v>
      </c>
      <c r="T18" s="271"/>
      <c r="U18" s="271">
        <f>SUM(M18:T18)</f>
        <v>185925.42388000002</v>
      </c>
    </row>
    <row r="19" spans="1:21" ht="12.75">
      <c r="A19" s="177"/>
      <c r="B19" s="401">
        <v>6</v>
      </c>
      <c r="C19" s="403" t="s">
        <v>590</v>
      </c>
      <c r="D19" s="177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</row>
    <row r="20" spans="1:23" ht="12.75">
      <c r="A20" s="225"/>
      <c r="B20" s="401">
        <v>7</v>
      </c>
      <c r="C20" s="401">
        <v>2017</v>
      </c>
      <c r="D20" s="177"/>
      <c r="E20" s="271">
        <v>169478.238</v>
      </c>
      <c r="F20" s="271"/>
      <c r="G20" s="271">
        <v>0</v>
      </c>
      <c r="H20" s="271"/>
      <c r="I20" s="271"/>
      <c r="J20" s="271"/>
      <c r="K20" s="271">
        <v>-9900</v>
      </c>
      <c r="L20" s="271"/>
      <c r="M20" s="271">
        <f>+E20+K20</f>
        <v>159578.238</v>
      </c>
      <c r="N20" s="271"/>
      <c r="O20" s="271">
        <v>12468.924</v>
      </c>
      <c r="P20" s="271"/>
      <c r="Q20" s="271">
        <v>-45937</v>
      </c>
      <c r="R20" s="271"/>
      <c r="S20" s="271">
        <v>-1726.536</v>
      </c>
      <c r="T20" s="271"/>
      <c r="U20" s="271">
        <f>SUM(M20:T20)</f>
        <v>124383.62600000002</v>
      </c>
      <c r="V20" s="177"/>
      <c r="W20" s="74"/>
    </row>
    <row r="21" spans="1:21" ht="12.75">
      <c r="A21" s="225"/>
      <c r="B21" s="401">
        <v>8</v>
      </c>
      <c r="C21" s="403" t="s">
        <v>568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ht="12.75">
      <c r="A22" s="225"/>
      <c r="B22" s="401">
        <v>9</v>
      </c>
      <c r="C22" s="401">
        <v>2018</v>
      </c>
      <c r="E22" s="272">
        <f>+'Revised Revenue Test'!E31+'Revised Revenue Test'!E33</f>
        <v>139743</v>
      </c>
      <c r="F22" s="272"/>
      <c r="G22" s="272">
        <v>0</v>
      </c>
      <c r="H22" s="272"/>
      <c r="I22" s="272">
        <f>-'interest credit calculations'!C34</f>
        <v>-611</v>
      </c>
      <c r="J22" s="272"/>
      <c r="K22" s="272">
        <f>+'Revised Revenue Test'!E36</f>
        <v>-8379.415325</v>
      </c>
      <c r="L22" s="272"/>
      <c r="M22" s="272">
        <f>SUM(E22:L22)</f>
        <v>130752.584675</v>
      </c>
      <c r="N22" s="272"/>
      <c r="O22" s="272">
        <f>+'Income Statement Cash Flows'!E33</f>
        <v>11627.714081461887</v>
      </c>
      <c r="P22" s="272"/>
      <c r="Q22" s="272">
        <f>-45937</f>
        <v>-45937</v>
      </c>
      <c r="R22" s="272"/>
      <c r="S22" s="272">
        <f>+'Revised Revenue Test'!E37-'Statement D Table 1'!I22</f>
        <v>-871.9090000000001</v>
      </c>
      <c r="T22" s="272"/>
      <c r="U22" s="272">
        <f>SUM(M22:T22)</f>
        <v>95571.38975646188</v>
      </c>
    </row>
    <row r="23" spans="1:21" ht="12.75">
      <c r="A23" s="225"/>
      <c r="B23" s="401">
        <v>10</v>
      </c>
      <c r="C23" s="401">
        <v>2019</v>
      </c>
      <c r="D23" s="177"/>
      <c r="E23" s="272">
        <f>+'Revised Revenue Test'!F31+'Revised Revenue Test'!F33</f>
        <v>145989</v>
      </c>
      <c r="F23" s="272"/>
      <c r="G23" s="272">
        <v>0</v>
      </c>
      <c r="H23" s="272"/>
      <c r="I23" s="272">
        <f>-'interest credit calculations'!D34</f>
        <v>-1144</v>
      </c>
      <c r="J23" s="272"/>
      <c r="K23" s="272">
        <f>+'Revised Revenue Test'!F36</f>
        <v>-8307.435</v>
      </c>
      <c r="L23" s="272"/>
      <c r="M23" s="272">
        <f aca="true" t="shared" si="0" ref="M23:M74">SUM(E23:L23)</f>
        <v>136537.565</v>
      </c>
      <c r="N23" s="272"/>
      <c r="O23" s="272">
        <f>+'Income Statement Cash Flows'!F33</f>
        <v>10747.46794684212</v>
      </c>
      <c r="P23" s="272"/>
      <c r="Q23" s="272">
        <f>-45937</f>
        <v>-45937</v>
      </c>
      <c r="R23" s="272"/>
      <c r="S23" s="272">
        <f>+'Revised Revenue Test'!F37-'Statement D Table 1'!I23</f>
        <v>-1197.0014999999999</v>
      </c>
      <c r="T23" s="272"/>
      <c r="U23" s="272">
        <f aca="true" t="shared" si="1" ref="U23:U74">SUM(M23:T23)</f>
        <v>100151.03144684211</v>
      </c>
    </row>
    <row r="24" spans="1:21" ht="12.75">
      <c r="A24" s="225"/>
      <c r="B24" s="401">
        <v>11</v>
      </c>
      <c r="C24" s="403" t="s">
        <v>591</v>
      </c>
      <c r="D24" s="177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1:23" ht="12.75">
      <c r="A25" s="404">
        <v>298215.6203</v>
      </c>
      <c r="B25" s="401">
        <v>12</v>
      </c>
      <c r="C25" s="401">
        <f>C23+1</f>
        <v>2020</v>
      </c>
      <c r="D25" s="177"/>
      <c r="E25" s="272">
        <f>+'Inputs for Evans Tables'!I9+-I25</f>
        <v>162711.507</v>
      </c>
      <c r="F25" s="272"/>
      <c r="G25" s="272">
        <f>+'Inputs for Evans Tables'!H9</f>
        <v>0</v>
      </c>
      <c r="H25" s="272"/>
      <c r="I25" s="272">
        <f>+'Inputs for Evans Tables'!O9</f>
        <v>-1052</v>
      </c>
      <c r="J25" s="272"/>
      <c r="K25" s="272">
        <f>K$23</f>
        <v>-8307.435</v>
      </c>
      <c r="L25" s="272"/>
      <c r="M25" s="272">
        <f t="shared" si="0"/>
        <v>153352.07200000001</v>
      </c>
      <c r="N25" s="272"/>
      <c r="O25" s="272">
        <v>11627.714081461887</v>
      </c>
      <c r="P25" s="272"/>
      <c r="Q25" s="272">
        <f>Q$23</f>
        <v>-45937</v>
      </c>
      <c r="R25" s="272"/>
      <c r="S25" s="272">
        <f>-I25-'interest credit calculations'!$E$81</f>
        <v>-1082.444</v>
      </c>
      <c r="T25" s="272"/>
      <c r="U25" s="272">
        <f>SUM(M25:T25)</f>
        <v>117960.3420814619</v>
      </c>
      <c r="W25" s="74"/>
    </row>
    <row r="26" spans="1:21" ht="12.75">
      <c r="A26" s="404">
        <v>307479.22</v>
      </c>
      <c r="B26" s="401">
        <v>13</v>
      </c>
      <c r="C26" s="401">
        <f aca="true" t="shared" si="2" ref="C26:C74">C25+1</f>
        <v>2021</v>
      </c>
      <c r="D26" s="177"/>
      <c r="E26" s="272">
        <f>+'Inputs for Evans Tables'!I10+-I26</f>
        <v>168382.667</v>
      </c>
      <c r="F26" s="272"/>
      <c r="G26" s="272">
        <f>+'Inputs for Evans Tables'!H10</f>
        <v>0</v>
      </c>
      <c r="H26" s="272"/>
      <c r="I26" s="272">
        <f>+'Inputs for Evans Tables'!O10</f>
        <v>-1083</v>
      </c>
      <c r="J26" s="272"/>
      <c r="K26" s="272">
        <f aca="true" t="shared" si="3" ref="K26:K74">K$23</f>
        <v>-8307.435</v>
      </c>
      <c r="L26" s="272"/>
      <c r="M26" s="272">
        <f t="shared" si="0"/>
        <v>158992.232</v>
      </c>
      <c r="N26" s="272"/>
      <c r="O26" s="272">
        <v>10747.46794684212</v>
      </c>
      <c r="P26" s="272"/>
      <c r="Q26" s="272">
        <f aca="true" t="shared" si="4" ref="Q26:Q74">Q$23</f>
        <v>-45937</v>
      </c>
      <c r="R26" s="272"/>
      <c r="S26" s="272">
        <f>-I26-'interest credit calculations'!$E$81</f>
        <v>-1051.444</v>
      </c>
      <c r="T26" s="272"/>
      <c r="U26" s="272">
        <f t="shared" si="1"/>
        <v>122751.2559468421</v>
      </c>
    </row>
    <row r="27" spans="1:21" ht="12.75">
      <c r="A27" s="404">
        <v>316670.11</v>
      </c>
      <c r="B27" s="401">
        <v>14</v>
      </c>
      <c r="C27" s="401">
        <f t="shared" si="2"/>
        <v>2022</v>
      </c>
      <c r="D27" s="177"/>
      <c r="E27" s="272">
        <f>+'Inputs for Evans Tables'!I11+-I27</f>
        <v>173360.122</v>
      </c>
      <c r="F27" s="272"/>
      <c r="G27" s="272">
        <f>+'Inputs for Evans Tables'!H11</f>
        <v>0</v>
      </c>
      <c r="H27" s="272"/>
      <c r="I27" s="272">
        <f>+'Inputs for Evans Tables'!O11</f>
        <v>-975</v>
      </c>
      <c r="J27" s="272"/>
      <c r="K27" s="272">
        <f t="shared" si="3"/>
        <v>-8307.435</v>
      </c>
      <c r="L27" s="272"/>
      <c r="M27" s="272">
        <f t="shared" si="0"/>
        <v>164077.687</v>
      </c>
      <c r="N27" s="272"/>
      <c r="O27" s="272">
        <v>9826.374364535337</v>
      </c>
      <c r="P27" s="272"/>
      <c r="Q27" s="272">
        <f t="shared" si="4"/>
        <v>-45937</v>
      </c>
      <c r="R27" s="272"/>
      <c r="S27" s="272">
        <f>-I27-'interest credit calculations'!$E$81</f>
        <v>-1159.444</v>
      </c>
      <c r="T27" s="272"/>
      <c r="U27" s="272">
        <f t="shared" si="1"/>
        <v>126807.61736453533</v>
      </c>
    </row>
    <row r="28" spans="1:21" ht="12.75">
      <c r="A28" s="404">
        <v>321241.82</v>
      </c>
      <c r="B28" s="401">
        <v>15</v>
      </c>
      <c r="C28" s="401">
        <f t="shared" si="2"/>
        <v>2023</v>
      </c>
      <c r="D28" s="177"/>
      <c r="E28" s="272">
        <f>+'Inputs for Evans Tables'!I12+-I28</f>
        <v>175778.152</v>
      </c>
      <c r="F28" s="272"/>
      <c r="G28" s="272">
        <f>+'Inputs for Evans Tables'!H12</f>
        <v>0</v>
      </c>
      <c r="H28" s="272"/>
      <c r="I28" s="272">
        <f>+'Inputs for Evans Tables'!O12</f>
        <v>-1054</v>
      </c>
      <c r="J28" s="272"/>
      <c r="K28" s="272">
        <f t="shared" si="3"/>
        <v>-8307.435</v>
      </c>
      <c r="L28" s="272"/>
      <c r="M28" s="272">
        <f t="shared" si="0"/>
        <v>166416.717</v>
      </c>
      <c r="N28" s="272"/>
      <c r="O28" s="272">
        <v>8862.537513691579</v>
      </c>
      <c r="P28" s="272"/>
      <c r="Q28" s="272">
        <f t="shared" si="4"/>
        <v>-45937</v>
      </c>
      <c r="R28" s="272"/>
      <c r="S28" s="272">
        <f>-I28-'interest credit calculations'!$E$81</f>
        <v>-1080.444</v>
      </c>
      <c r="T28" s="272"/>
      <c r="U28" s="272">
        <f t="shared" si="1"/>
        <v>128261.81051369158</v>
      </c>
    </row>
    <row r="29" spans="1:21" ht="12.75">
      <c r="A29" s="404">
        <v>318458.77</v>
      </c>
      <c r="B29" s="401">
        <v>16</v>
      </c>
      <c r="C29" s="401">
        <f t="shared" si="2"/>
        <v>2024</v>
      </c>
      <c r="D29" s="177"/>
      <c r="E29" s="272">
        <f>+'Inputs for Evans Tables'!I13+-I29</f>
        <v>179264.213</v>
      </c>
      <c r="F29" s="272"/>
      <c r="G29" s="272">
        <f>+'Inputs for Evans Tables'!H13</f>
        <v>0</v>
      </c>
      <c r="H29" s="272"/>
      <c r="I29" s="272">
        <f>+'Inputs for Evans Tables'!O13</f>
        <v>-1028</v>
      </c>
      <c r="J29" s="272"/>
      <c r="K29" s="272">
        <f t="shared" si="3"/>
        <v>-8307.435</v>
      </c>
      <c r="L29" s="272"/>
      <c r="M29" s="272">
        <f t="shared" si="0"/>
        <v>169928.778</v>
      </c>
      <c r="N29" s="272"/>
      <c r="O29" s="272">
        <v>7853.97357060828</v>
      </c>
      <c r="P29" s="272"/>
      <c r="Q29" s="272">
        <f t="shared" si="4"/>
        <v>-45937</v>
      </c>
      <c r="R29" s="272"/>
      <c r="S29" s="272">
        <f>-I29-'interest credit calculations'!$E$81</f>
        <v>-1106.444</v>
      </c>
      <c r="T29" s="272"/>
      <c r="U29" s="272">
        <f t="shared" si="1"/>
        <v>130739.30757060826</v>
      </c>
    </row>
    <row r="30" spans="1:21" ht="12.75">
      <c r="A30" s="404">
        <v>317349.24</v>
      </c>
      <c r="B30" s="401">
        <v>17</v>
      </c>
      <c r="C30" s="401">
        <f t="shared" si="2"/>
        <v>2025</v>
      </c>
      <c r="D30" s="177"/>
      <c r="E30" s="272">
        <f>+'Inputs for Evans Tables'!I14+-I30</f>
        <v>184968.665</v>
      </c>
      <c r="F30" s="272"/>
      <c r="G30" s="272">
        <f>+'Inputs for Evans Tables'!H14</f>
        <v>1682.757</v>
      </c>
      <c r="H30" s="272"/>
      <c r="I30" s="272">
        <f>+'Inputs for Evans Tables'!O14</f>
        <v>-924</v>
      </c>
      <c r="J30" s="272"/>
      <c r="K30" s="272">
        <f t="shared" si="3"/>
        <v>-8307.435</v>
      </c>
      <c r="L30" s="272"/>
      <c r="M30" s="272">
        <f t="shared" si="0"/>
        <v>177419.98700000002</v>
      </c>
      <c r="N30" s="272"/>
      <c r="O30" s="272">
        <v>6798.60662309995</v>
      </c>
      <c r="P30" s="272"/>
      <c r="Q30" s="272">
        <f t="shared" si="4"/>
        <v>-45937</v>
      </c>
      <c r="R30" s="272"/>
      <c r="S30" s="272">
        <f>-I30-'interest credit calculations'!$E$81</f>
        <v>-1210.444</v>
      </c>
      <c r="T30" s="272"/>
      <c r="U30" s="272">
        <f t="shared" si="1"/>
        <v>137071.14962309998</v>
      </c>
    </row>
    <row r="31" spans="1:21" ht="12.75">
      <c r="A31" s="404">
        <v>310398.41</v>
      </c>
      <c r="B31" s="401">
        <v>18</v>
      </c>
      <c r="C31" s="401">
        <f t="shared" si="2"/>
        <v>2026</v>
      </c>
      <c r="D31" s="177"/>
      <c r="E31" s="272">
        <f>+'Inputs for Evans Tables'!I15+-I31</f>
        <v>188068.26</v>
      </c>
      <c r="F31" s="272"/>
      <c r="G31" s="272">
        <f>+'Inputs for Evans Tables'!H15</f>
        <v>870.509</v>
      </c>
      <c r="H31" s="272"/>
      <c r="I31" s="272">
        <f>+'Inputs for Evans Tables'!O15</f>
        <v>-1006</v>
      </c>
      <c r="J31" s="272"/>
      <c r="K31" s="272">
        <f t="shared" si="3"/>
        <v>-8307.435</v>
      </c>
      <c r="L31" s="272"/>
      <c r="M31" s="272">
        <f t="shared" si="0"/>
        <v>179625.334</v>
      </c>
      <c r="N31" s="272"/>
      <c r="O31" s="272">
        <v>5694.264395162258</v>
      </c>
      <c r="P31" s="272"/>
      <c r="Q31" s="272">
        <f t="shared" si="4"/>
        <v>-45937</v>
      </c>
      <c r="R31" s="272"/>
      <c r="S31" s="272">
        <f>-I31-'interest credit calculations'!$E$81</f>
        <v>-1128.444</v>
      </c>
      <c r="T31" s="272"/>
      <c r="U31" s="272">
        <f t="shared" si="1"/>
        <v>138254.15439516227</v>
      </c>
    </row>
    <row r="32" spans="1:21" ht="12.75">
      <c r="A32" s="404">
        <v>300349.87</v>
      </c>
      <c r="B32" s="401">
        <v>19</v>
      </c>
      <c r="C32" s="401">
        <f t="shared" si="2"/>
        <v>2027</v>
      </c>
      <c r="D32" s="177"/>
      <c r="E32" s="272">
        <f>+'Inputs for Evans Tables'!I16+-I32</f>
        <v>193783.518</v>
      </c>
      <c r="F32" s="272"/>
      <c r="G32" s="272">
        <f>+'Inputs for Evans Tables'!H16</f>
        <v>0</v>
      </c>
      <c r="H32" s="272"/>
      <c r="I32" s="272">
        <f>+'Inputs for Evans Tables'!O16</f>
        <v>-968</v>
      </c>
      <c r="J32" s="272"/>
      <c r="K32" s="272">
        <f t="shared" si="3"/>
        <v>-8307.435</v>
      </c>
      <c r="L32" s="272"/>
      <c r="M32" s="272">
        <f t="shared" si="0"/>
        <v>184508.083</v>
      </c>
      <c r="N32" s="272"/>
      <c r="O32" s="272">
        <v>4538.673773120818</v>
      </c>
      <c r="P32" s="272"/>
      <c r="Q32" s="272">
        <f t="shared" si="4"/>
        <v>-45937</v>
      </c>
      <c r="R32" s="272"/>
      <c r="S32" s="272">
        <f>-I32-'interest credit calculations'!$E$81</f>
        <v>-1166.444</v>
      </c>
      <c r="T32" s="272"/>
      <c r="U32" s="272">
        <f t="shared" si="1"/>
        <v>141943.31277312085</v>
      </c>
    </row>
    <row r="33" spans="1:21" ht="12.75">
      <c r="A33" s="404">
        <v>293368.77</v>
      </c>
      <c r="B33" s="401">
        <v>20</v>
      </c>
      <c r="C33" s="401">
        <f t="shared" si="2"/>
        <v>2028</v>
      </c>
      <c r="D33" s="177"/>
      <c r="E33" s="272">
        <f>+'Inputs for Evans Tables'!I17+-I33</f>
        <v>197955.245</v>
      </c>
      <c r="F33" s="272"/>
      <c r="G33" s="272">
        <f>+'Inputs for Evans Tables'!H17</f>
        <v>0</v>
      </c>
      <c r="H33" s="272"/>
      <c r="I33" s="272">
        <f>+'Inputs for Evans Tables'!O17</f>
        <v>-863</v>
      </c>
      <c r="J33" s="272"/>
      <c r="K33" s="272">
        <f t="shared" si="3"/>
        <v>-8307.435</v>
      </c>
      <c r="L33" s="272"/>
      <c r="M33" s="272">
        <f t="shared" si="0"/>
        <v>188784.81</v>
      </c>
      <c r="N33" s="272"/>
      <c r="O33" s="272">
        <v>3329.456124045985</v>
      </c>
      <c r="P33" s="272"/>
      <c r="Q33" s="272">
        <f t="shared" si="4"/>
        <v>-45937</v>
      </c>
      <c r="R33" s="272"/>
      <c r="S33" s="272">
        <f>-I33-'interest credit calculations'!$E$81</f>
        <v>-1271.444</v>
      </c>
      <c r="T33" s="272"/>
      <c r="U33" s="272">
        <f t="shared" si="1"/>
        <v>144905.82212404598</v>
      </c>
    </row>
    <row r="34" spans="1:21" ht="12.75">
      <c r="A34" s="404">
        <v>276138.87</v>
      </c>
      <c r="B34" s="401">
        <v>21</v>
      </c>
      <c r="C34" s="401">
        <f t="shared" si="2"/>
        <v>2029</v>
      </c>
      <c r="D34" s="177"/>
      <c r="E34" s="272">
        <f>+'Inputs for Evans Tables'!I18+-I34</f>
        <v>198002.751</v>
      </c>
      <c r="F34" s="272"/>
      <c r="G34" s="272">
        <f>+'Inputs for Evans Tables'!H18</f>
        <v>9541.867</v>
      </c>
      <c r="H34" s="272"/>
      <c r="I34" s="272">
        <f>+'Inputs for Evans Tables'!O18</f>
        <v>-1940</v>
      </c>
      <c r="J34" s="272"/>
      <c r="K34" s="272">
        <f t="shared" si="3"/>
        <v>-8307.435</v>
      </c>
      <c r="L34" s="272"/>
      <c r="M34" s="272">
        <f t="shared" si="0"/>
        <v>197297.183</v>
      </c>
      <c r="N34" s="272"/>
      <c r="O34" s="272">
        <v>2064.1223967866927</v>
      </c>
      <c r="P34" s="272"/>
      <c r="Q34" s="272">
        <f t="shared" si="4"/>
        <v>-45937</v>
      </c>
      <c r="R34" s="272"/>
      <c r="S34" s="272">
        <f>-I34-'interest credit calculations'!$E$81</f>
        <v>-194.44399999999996</v>
      </c>
      <c r="T34" s="272"/>
      <c r="U34" s="272">
        <f t="shared" si="1"/>
        <v>153229.8613967867</v>
      </c>
    </row>
    <row r="35" spans="1:21" ht="12.75">
      <c r="A35" s="404">
        <v>244584.68</v>
      </c>
      <c r="B35" s="401">
        <v>22</v>
      </c>
      <c r="C35" s="401">
        <f t="shared" si="2"/>
        <v>2030</v>
      </c>
      <c r="D35" s="177"/>
      <c r="E35" s="272">
        <f>+'Inputs for Evans Tables'!I19+-I35</f>
        <v>193589.209</v>
      </c>
      <c r="F35" s="272"/>
      <c r="G35" s="272">
        <f>+'Inputs for Evans Tables'!H19</f>
        <v>0</v>
      </c>
      <c r="H35" s="272"/>
      <c r="I35" s="272">
        <f>+'Inputs for Evans Tables'!O19</f>
        <v>-1674</v>
      </c>
      <c r="J35" s="272"/>
      <c r="K35" s="272">
        <f t="shared" si="3"/>
        <v>-8307.435</v>
      </c>
      <c r="L35" s="272"/>
      <c r="M35" s="272">
        <f t="shared" si="0"/>
        <v>183607.774</v>
      </c>
      <c r="N35" s="272"/>
      <c r="O35" s="272">
        <v>740.067995528412</v>
      </c>
      <c r="P35" s="272"/>
      <c r="Q35" s="272">
        <f t="shared" si="4"/>
        <v>-45937</v>
      </c>
      <c r="R35" s="272"/>
      <c r="S35" s="272">
        <f>-I35-'interest credit calculations'!$E$81</f>
        <v>-460.44399999999996</v>
      </c>
      <c r="T35" s="272"/>
      <c r="U35" s="272">
        <f t="shared" si="1"/>
        <v>137950.39799552842</v>
      </c>
    </row>
    <row r="36" spans="1:21" ht="12.75">
      <c r="A36" s="404">
        <v>217047.18</v>
      </c>
      <c r="B36" s="401">
        <v>23</v>
      </c>
      <c r="C36" s="401">
        <f t="shared" si="2"/>
        <v>2031</v>
      </c>
      <c r="D36" s="177"/>
      <c r="E36" s="272">
        <f>+'Inputs for Evans Tables'!I20+-I36</f>
        <v>188015.071</v>
      </c>
      <c r="F36" s="272"/>
      <c r="G36" s="272">
        <f>+'Inputs for Evans Tables'!H20</f>
        <v>0</v>
      </c>
      <c r="H36" s="272"/>
      <c r="I36" s="272">
        <f>+'Inputs for Evans Tables'!O20</f>
        <v>-1773</v>
      </c>
      <c r="J36" s="272"/>
      <c r="K36" s="272">
        <f t="shared" si="3"/>
        <v>-8307.435</v>
      </c>
      <c r="L36" s="272"/>
      <c r="M36" s="272">
        <f t="shared" si="0"/>
        <v>177934.636</v>
      </c>
      <c r="N36" s="272"/>
      <c r="O36" s="272">
        <v>1937.8143532951985</v>
      </c>
      <c r="P36" s="272"/>
      <c r="Q36" s="272">
        <f t="shared" si="4"/>
        <v>-45937</v>
      </c>
      <c r="R36" s="272"/>
      <c r="S36" s="272">
        <f>-I36-'interest credit calculations'!$E$81</f>
        <v>-361.44399999999996</v>
      </c>
      <c r="T36" s="272"/>
      <c r="U36" s="272">
        <f t="shared" si="1"/>
        <v>133574.0063532952</v>
      </c>
    </row>
    <row r="37" spans="1:21" ht="12.75">
      <c r="A37" s="404">
        <v>190939.16</v>
      </c>
      <c r="B37" s="401">
        <v>24</v>
      </c>
      <c r="C37" s="401">
        <f t="shared" si="2"/>
        <v>2032</v>
      </c>
      <c r="D37" s="177"/>
      <c r="E37" s="272">
        <f>+'Inputs for Evans Tables'!I21+-I37</f>
        <v>174465.614</v>
      </c>
      <c r="F37" s="272"/>
      <c r="G37" s="272">
        <f>+'Inputs for Evans Tables'!H21</f>
        <v>1207.197</v>
      </c>
      <c r="H37" s="272"/>
      <c r="I37" s="272">
        <f>+'Inputs for Evans Tables'!O21</f>
        <v>-2107</v>
      </c>
      <c r="J37" s="272"/>
      <c r="K37" s="272">
        <f t="shared" si="3"/>
        <v>-8307.435</v>
      </c>
      <c r="L37" s="272"/>
      <c r="M37" s="272">
        <f t="shared" si="0"/>
        <v>165258.376</v>
      </c>
      <c r="N37" s="272"/>
      <c r="O37" s="272">
        <v>693.8968598293366</v>
      </c>
      <c r="P37" s="272"/>
      <c r="Q37" s="272">
        <f t="shared" si="4"/>
        <v>-45937</v>
      </c>
      <c r="R37" s="272"/>
      <c r="S37" s="272">
        <f>-I37-'interest credit calculations'!$E$81</f>
        <v>-27.44399999999996</v>
      </c>
      <c r="T37" s="272"/>
      <c r="U37" s="272">
        <f t="shared" si="1"/>
        <v>119987.82885982933</v>
      </c>
    </row>
    <row r="38" spans="1:21" ht="12.75">
      <c r="A38" s="404">
        <v>165004.53</v>
      </c>
      <c r="B38" s="401">
        <v>25</v>
      </c>
      <c r="C38" s="401">
        <f t="shared" si="2"/>
        <v>2033</v>
      </c>
      <c r="D38" s="177"/>
      <c r="E38" s="272">
        <f>+'Inputs for Evans Tables'!I22+-I38</f>
        <v>173230.672</v>
      </c>
      <c r="F38" s="272"/>
      <c r="G38" s="272">
        <f>+'Inputs for Evans Tables'!H22</f>
        <v>0</v>
      </c>
      <c r="H38" s="272"/>
      <c r="I38" s="272">
        <f>+'Inputs for Evans Tables'!O22</f>
        <v>-2146</v>
      </c>
      <c r="J38" s="272"/>
      <c r="K38" s="272">
        <f t="shared" si="3"/>
        <v>-8307.435</v>
      </c>
      <c r="L38" s="272"/>
      <c r="M38" s="272">
        <f t="shared" si="0"/>
        <v>162777.237</v>
      </c>
      <c r="N38" s="272"/>
      <c r="O38" s="272">
        <v>0</v>
      </c>
      <c r="P38" s="272"/>
      <c r="Q38" s="272">
        <f t="shared" si="4"/>
        <v>-45937</v>
      </c>
      <c r="R38" s="272"/>
      <c r="S38" s="272">
        <f>-I38-'interest credit calculations'!$E$81</f>
        <v>11.55600000000004</v>
      </c>
      <c r="T38" s="272"/>
      <c r="U38" s="272">
        <f t="shared" si="1"/>
        <v>116851.79299999999</v>
      </c>
    </row>
    <row r="39" spans="1:21" ht="12.75">
      <c r="A39" s="404">
        <v>137794.55</v>
      </c>
      <c r="B39" s="401">
        <v>26</v>
      </c>
      <c r="C39" s="401">
        <f t="shared" si="2"/>
        <v>2034</v>
      </c>
      <c r="D39" s="177"/>
      <c r="E39" s="272">
        <f>+'Inputs for Evans Tables'!I23+-I39</f>
        <v>163600.191</v>
      </c>
      <c r="F39" s="272"/>
      <c r="G39" s="272">
        <f>+'Inputs for Evans Tables'!H23</f>
        <v>0</v>
      </c>
      <c r="H39" s="272"/>
      <c r="I39" s="272">
        <f>+'Inputs for Evans Tables'!O23</f>
        <v>-2124</v>
      </c>
      <c r="J39" s="272"/>
      <c r="K39" s="272">
        <f t="shared" si="3"/>
        <v>-8307.435</v>
      </c>
      <c r="L39" s="272"/>
      <c r="M39" s="272">
        <f t="shared" si="0"/>
        <v>153168.756</v>
      </c>
      <c r="N39" s="272"/>
      <c r="O39" s="272">
        <v>0</v>
      </c>
      <c r="P39" s="272"/>
      <c r="Q39" s="272">
        <f t="shared" si="4"/>
        <v>-45937</v>
      </c>
      <c r="R39" s="272"/>
      <c r="S39" s="272">
        <f>-I39-'interest credit calculations'!$E$81</f>
        <v>-10.44399999999996</v>
      </c>
      <c r="T39" s="272"/>
      <c r="U39" s="272">
        <f t="shared" si="1"/>
        <v>107221.31199999999</v>
      </c>
    </row>
    <row r="40" spans="1:21" ht="12.75">
      <c r="A40" s="404">
        <v>108696.3234</v>
      </c>
      <c r="B40" s="401">
        <v>27</v>
      </c>
      <c r="C40" s="401">
        <f t="shared" si="2"/>
        <v>2035</v>
      </c>
      <c r="D40" s="177"/>
      <c r="E40" s="272">
        <f>+'Inputs for Evans Tables'!I24+-I40</f>
        <v>150590.081</v>
      </c>
      <c r="F40" s="272"/>
      <c r="G40" s="272">
        <f>+'Inputs for Evans Tables'!H24</f>
        <v>-4012.426</v>
      </c>
      <c r="H40" s="272"/>
      <c r="I40" s="272">
        <f>+'Inputs for Evans Tables'!O24</f>
        <v>-2150</v>
      </c>
      <c r="J40" s="272"/>
      <c r="K40" s="272">
        <f t="shared" si="3"/>
        <v>-8307.435</v>
      </c>
      <c r="L40" s="272"/>
      <c r="M40" s="272">
        <f t="shared" si="0"/>
        <v>136120.22</v>
      </c>
      <c r="N40" s="272"/>
      <c r="O40" s="272">
        <v>0</v>
      </c>
      <c r="P40" s="272"/>
      <c r="Q40" s="272">
        <f t="shared" si="4"/>
        <v>-45937</v>
      </c>
      <c r="R40" s="272"/>
      <c r="S40" s="272">
        <f>-I40-'interest credit calculations'!$E$81</f>
        <v>15.55600000000004</v>
      </c>
      <c r="T40" s="272"/>
      <c r="U40" s="272">
        <f t="shared" si="1"/>
        <v>90198.776</v>
      </c>
    </row>
    <row r="41" spans="1:21" ht="12.75">
      <c r="A41" s="404">
        <v>83809.3891</v>
      </c>
      <c r="B41" s="401">
        <v>28</v>
      </c>
      <c r="C41" s="401">
        <f t="shared" si="2"/>
        <v>2036</v>
      </c>
      <c r="D41" s="177"/>
      <c r="E41" s="272">
        <f>+'Inputs for Evans Tables'!I25+-I41</f>
        <v>134416.185</v>
      </c>
      <c r="F41" s="272"/>
      <c r="G41" s="272">
        <f>+'Inputs for Evans Tables'!H25</f>
        <v>0</v>
      </c>
      <c r="H41" s="272"/>
      <c r="I41" s="272">
        <f>+'Inputs for Evans Tables'!O25</f>
        <v>-2256</v>
      </c>
      <c r="J41" s="272"/>
      <c r="K41" s="272">
        <f t="shared" si="3"/>
        <v>-8307.435</v>
      </c>
      <c r="L41" s="272"/>
      <c r="M41" s="272">
        <f t="shared" si="0"/>
        <v>123852.75</v>
      </c>
      <c r="N41" s="272"/>
      <c r="O41" s="272">
        <v>0</v>
      </c>
      <c r="P41" s="272"/>
      <c r="Q41" s="272">
        <f t="shared" si="4"/>
        <v>-45937</v>
      </c>
      <c r="R41" s="272"/>
      <c r="S41" s="272">
        <f>-I41-'interest credit calculations'!$E$81</f>
        <v>121.55600000000004</v>
      </c>
      <c r="T41" s="272"/>
      <c r="U41" s="272">
        <f t="shared" si="1"/>
        <v>78037.306</v>
      </c>
    </row>
    <row r="42" spans="1:21" ht="12.75">
      <c r="A42" s="404">
        <v>48851.131</v>
      </c>
      <c r="B42" s="401">
        <v>29</v>
      </c>
      <c r="C42" s="401">
        <f t="shared" si="2"/>
        <v>2037</v>
      </c>
      <c r="D42" s="177"/>
      <c r="E42" s="272">
        <f>+'Inputs for Evans Tables'!I26+-I42</f>
        <v>117300.784</v>
      </c>
      <c r="F42" s="272"/>
      <c r="G42" s="272">
        <f>+'Inputs for Evans Tables'!H26</f>
        <v>0</v>
      </c>
      <c r="H42" s="272"/>
      <c r="I42" s="272">
        <f>+'Inputs for Evans Tables'!O26</f>
        <v>-2286</v>
      </c>
      <c r="J42" s="272"/>
      <c r="K42" s="272">
        <f t="shared" si="3"/>
        <v>-8307.435</v>
      </c>
      <c r="L42" s="272"/>
      <c r="M42" s="272">
        <f t="shared" si="0"/>
        <v>106707.349</v>
      </c>
      <c r="N42" s="272"/>
      <c r="O42" s="272">
        <v>0</v>
      </c>
      <c r="P42" s="272"/>
      <c r="Q42" s="272">
        <f t="shared" si="4"/>
        <v>-45937</v>
      </c>
      <c r="R42" s="272"/>
      <c r="S42" s="272">
        <f>-I42-'interest credit calculations'!$E$81</f>
        <v>151.55600000000004</v>
      </c>
      <c r="T42" s="272"/>
      <c r="U42" s="272">
        <f t="shared" si="1"/>
        <v>60921.905</v>
      </c>
    </row>
    <row r="43" spans="1:21" ht="12.75">
      <c r="A43" s="404">
        <v>19281.6547</v>
      </c>
      <c r="B43" s="401">
        <v>30</v>
      </c>
      <c r="C43" s="401">
        <f t="shared" si="2"/>
        <v>2038</v>
      </c>
      <c r="D43" s="177"/>
      <c r="E43" s="272">
        <f>+'Inputs for Evans Tables'!I27+-I43</f>
        <v>98509.835</v>
      </c>
      <c r="F43" s="272"/>
      <c r="G43" s="272">
        <f>+'Inputs for Evans Tables'!H27</f>
        <v>0</v>
      </c>
      <c r="H43" s="272"/>
      <c r="I43" s="272">
        <f>+'Inputs for Evans Tables'!O27</f>
        <v>-2348</v>
      </c>
      <c r="J43" s="272"/>
      <c r="K43" s="272">
        <f t="shared" si="3"/>
        <v>-8307.435</v>
      </c>
      <c r="L43" s="272"/>
      <c r="M43" s="272">
        <f t="shared" si="0"/>
        <v>87854.40000000001</v>
      </c>
      <c r="N43" s="272"/>
      <c r="O43" s="272">
        <v>0</v>
      </c>
      <c r="P43" s="272"/>
      <c r="Q43" s="272">
        <f t="shared" si="4"/>
        <v>-45937</v>
      </c>
      <c r="R43" s="272"/>
      <c r="S43" s="272">
        <f>-I43-'interest credit calculations'!$E$81</f>
        <v>213.55600000000004</v>
      </c>
      <c r="T43" s="272"/>
      <c r="U43" s="272">
        <f t="shared" si="1"/>
        <v>42130.956000000006</v>
      </c>
    </row>
    <row r="44" spans="1:21" ht="12.75">
      <c r="A44" s="404">
        <v>-8154.65</v>
      </c>
      <c r="B44" s="401">
        <v>31</v>
      </c>
      <c r="C44" s="401">
        <f t="shared" si="2"/>
        <v>2039</v>
      </c>
      <c r="D44" s="177"/>
      <c r="E44" s="272">
        <f>+'Inputs for Evans Tables'!I28+-I44</f>
        <v>77870.812</v>
      </c>
      <c r="F44" s="272"/>
      <c r="G44" s="272">
        <f>+'Inputs for Evans Tables'!H28</f>
        <v>0</v>
      </c>
      <c r="H44" s="272"/>
      <c r="I44" s="272">
        <f>+'Inputs for Evans Tables'!O28</f>
        <v>-2488</v>
      </c>
      <c r="J44" s="272"/>
      <c r="K44" s="272">
        <f t="shared" si="3"/>
        <v>-8307.435</v>
      </c>
      <c r="L44" s="272"/>
      <c r="M44" s="272">
        <f t="shared" si="0"/>
        <v>67075.37700000001</v>
      </c>
      <c r="N44" s="272"/>
      <c r="O44" s="272">
        <v>0</v>
      </c>
      <c r="P44" s="272"/>
      <c r="Q44" s="272">
        <f t="shared" si="4"/>
        <v>-45937</v>
      </c>
      <c r="R44" s="272"/>
      <c r="S44" s="272">
        <f>-I44-'interest credit calculations'!$E$81</f>
        <v>353.55600000000004</v>
      </c>
      <c r="T44" s="272"/>
      <c r="U44" s="272">
        <f t="shared" si="1"/>
        <v>21491.933000000008</v>
      </c>
    </row>
    <row r="45" spans="1:21" ht="12.75">
      <c r="A45" s="404">
        <v>-8481.35</v>
      </c>
      <c r="B45" s="401">
        <v>32</v>
      </c>
      <c r="C45" s="401">
        <f t="shared" si="2"/>
        <v>2040</v>
      </c>
      <c r="D45" s="177"/>
      <c r="E45" s="272">
        <f>+'Inputs for Evans Tables'!I29+-I45</f>
        <v>55509.51</v>
      </c>
      <c r="F45" s="272"/>
      <c r="G45" s="272">
        <f>+'Inputs for Evans Tables'!H29</f>
        <v>0</v>
      </c>
      <c r="H45" s="272"/>
      <c r="I45" s="272">
        <f>+'Inputs for Evans Tables'!O29</f>
        <v>-2531</v>
      </c>
      <c r="J45" s="272"/>
      <c r="K45" s="272">
        <f t="shared" si="3"/>
        <v>-8307.435</v>
      </c>
      <c r="L45" s="272"/>
      <c r="M45" s="272">
        <f t="shared" si="0"/>
        <v>44671.075000000004</v>
      </c>
      <c r="N45" s="272"/>
      <c r="O45" s="272">
        <v>0</v>
      </c>
      <c r="P45" s="272"/>
      <c r="Q45" s="272">
        <f t="shared" si="4"/>
        <v>-45937</v>
      </c>
      <c r="R45" s="272"/>
      <c r="S45" s="272">
        <f>-I45-'interest credit calculations'!$E$81</f>
        <v>396.55600000000004</v>
      </c>
      <c r="T45" s="272"/>
      <c r="U45" s="272">
        <f t="shared" si="1"/>
        <v>-869.3689999999956</v>
      </c>
    </row>
    <row r="46" spans="1:21" ht="12.75">
      <c r="A46" s="404">
        <v>-8487.22</v>
      </c>
      <c r="B46" s="401">
        <v>33</v>
      </c>
      <c r="C46" s="401">
        <f t="shared" si="2"/>
        <v>2041</v>
      </c>
      <c r="D46" s="177"/>
      <c r="E46" s="272">
        <f>+'Inputs for Evans Tables'!I30+-I46</f>
        <v>31603.03</v>
      </c>
      <c r="F46" s="272"/>
      <c r="G46" s="272">
        <f>+'Inputs for Evans Tables'!H30</f>
        <v>0</v>
      </c>
      <c r="H46" s="272"/>
      <c r="I46" s="272">
        <f>+'Inputs for Evans Tables'!O30</f>
        <v>-2593</v>
      </c>
      <c r="J46" s="272"/>
      <c r="K46" s="272">
        <f t="shared" si="3"/>
        <v>-8307.435</v>
      </c>
      <c r="L46" s="272"/>
      <c r="M46" s="272">
        <f t="shared" si="0"/>
        <v>20702.595</v>
      </c>
      <c r="N46" s="272"/>
      <c r="O46" s="272">
        <v>0</v>
      </c>
      <c r="P46" s="272"/>
      <c r="Q46" s="272">
        <f t="shared" si="4"/>
        <v>-45937</v>
      </c>
      <c r="R46" s="272"/>
      <c r="S46" s="272">
        <f>-I46-'interest credit calculations'!$E$81</f>
        <v>458.55600000000004</v>
      </c>
      <c r="T46" s="272"/>
      <c r="U46" s="272">
        <f t="shared" si="1"/>
        <v>-24775.849</v>
      </c>
    </row>
    <row r="47" spans="1:21" ht="12.75">
      <c r="A47" s="404">
        <v>-8481.29</v>
      </c>
      <c r="B47" s="401">
        <v>34</v>
      </c>
      <c r="C47" s="401">
        <f t="shared" si="2"/>
        <v>2042</v>
      </c>
      <c r="D47" s="177"/>
      <c r="E47" s="272">
        <f>+'Inputs for Evans Tables'!I31+-I47</f>
        <v>16000.777</v>
      </c>
      <c r="F47" s="272"/>
      <c r="G47" s="272">
        <f>+'Inputs for Evans Tables'!H31</f>
        <v>0</v>
      </c>
      <c r="H47" s="272"/>
      <c r="I47" s="272">
        <f>+'Inputs for Evans Tables'!O31</f>
        <v>-2633</v>
      </c>
      <c r="J47" s="272"/>
      <c r="K47" s="272">
        <f t="shared" si="3"/>
        <v>-8307.435</v>
      </c>
      <c r="L47" s="272"/>
      <c r="M47" s="272">
        <f t="shared" si="0"/>
        <v>5060.342000000001</v>
      </c>
      <c r="N47" s="272"/>
      <c r="O47" s="272">
        <v>0</v>
      </c>
      <c r="P47" s="272"/>
      <c r="Q47" s="272">
        <f t="shared" si="4"/>
        <v>-45937</v>
      </c>
      <c r="R47" s="272"/>
      <c r="S47" s="272">
        <f>-I47-'interest credit calculations'!$E$81</f>
        <v>498.55600000000004</v>
      </c>
      <c r="T47" s="272"/>
      <c r="U47" s="272">
        <f t="shared" si="1"/>
        <v>-40378.102</v>
      </c>
    </row>
    <row r="48" spans="1:21" ht="12.75">
      <c r="A48" s="404">
        <v>-8481.36</v>
      </c>
      <c r="B48" s="401">
        <v>35</v>
      </c>
      <c r="C48" s="401">
        <f t="shared" si="2"/>
        <v>2043</v>
      </c>
      <c r="D48" s="177"/>
      <c r="E48" s="272">
        <f>+'Inputs for Evans Tables'!I32+-I48</f>
        <v>12695.059</v>
      </c>
      <c r="F48" s="272"/>
      <c r="G48" s="272">
        <f>+'Inputs for Evans Tables'!H32</f>
        <v>0</v>
      </c>
      <c r="H48" s="272"/>
      <c r="I48" s="272">
        <f>+'Inputs for Evans Tables'!O32</f>
        <v>-2644</v>
      </c>
      <c r="J48" s="272"/>
      <c r="K48" s="272">
        <f t="shared" si="3"/>
        <v>-8307.435</v>
      </c>
      <c r="L48" s="272"/>
      <c r="M48" s="272">
        <f t="shared" si="0"/>
        <v>1743.6239999999998</v>
      </c>
      <c r="N48" s="272"/>
      <c r="O48" s="272">
        <v>0</v>
      </c>
      <c r="P48" s="272"/>
      <c r="Q48" s="272">
        <f t="shared" si="4"/>
        <v>-45937</v>
      </c>
      <c r="R48" s="272"/>
      <c r="S48" s="272">
        <f>-I48-'interest credit calculations'!$E$81</f>
        <v>509.55600000000004</v>
      </c>
      <c r="T48" s="272"/>
      <c r="U48" s="272">
        <f t="shared" si="1"/>
        <v>-43683.82000000001</v>
      </c>
    </row>
    <row r="49" spans="1:21" ht="12.75">
      <c r="A49" s="404">
        <v>-8481.37</v>
      </c>
      <c r="B49" s="401">
        <v>36</v>
      </c>
      <c r="C49" s="401">
        <f t="shared" si="2"/>
        <v>2044</v>
      </c>
      <c r="D49" s="177"/>
      <c r="E49" s="272">
        <f>+'Inputs for Evans Tables'!I33+-I49</f>
        <v>12695.22</v>
      </c>
      <c r="F49" s="272"/>
      <c r="G49" s="272">
        <f>+'Inputs for Evans Tables'!H33</f>
        <v>0</v>
      </c>
      <c r="H49" s="272"/>
      <c r="I49" s="272">
        <f>+'Inputs for Evans Tables'!O33</f>
        <v>-2252</v>
      </c>
      <c r="J49" s="272"/>
      <c r="K49" s="272">
        <f t="shared" si="3"/>
        <v>-8307.435</v>
      </c>
      <c r="L49" s="272"/>
      <c r="M49" s="272">
        <f t="shared" si="0"/>
        <v>2135.785</v>
      </c>
      <c r="N49" s="272"/>
      <c r="O49" s="272">
        <v>0</v>
      </c>
      <c r="P49" s="272"/>
      <c r="Q49" s="272">
        <f t="shared" si="4"/>
        <v>-45937</v>
      </c>
      <c r="R49" s="272"/>
      <c r="S49" s="272">
        <f>-I49-'interest credit calculations'!$E$81</f>
        <v>117.55600000000004</v>
      </c>
      <c r="T49" s="272"/>
      <c r="U49" s="272">
        <f t="shared" si="1"/>
        <v>-43683.659</v>
      </c>
    </row>
    <row r="50" spans="1:21" ht="12.75">
      <c r="A50" s="404">
        <v>-8481.34</v>
      </c>
      <c r="B50" s="401">
        <v>37</v>
      </c>
      <c r="C50" s="401">
        <f t="shared" si="2"/>
        <v>2045</v>
      </c>
      <c r="D50" s="177"/>
      <c r="E50" s="272">
        <f>+'Inputs for Evans Tables'!I34+-I50</f>
        <v>12695.258</v>
      </c>
      <c r="F50" s="272"/>
      <c r="G50" s="272">
        <f>+'Inputs for Evans Tables'!H34</f>
        <v>0</v>
      </c>
      <c r="H50" s="272"/>
      <c r="I50" s="272">
        <f>+'Inputs for Evans Tables'!O34</f>
        <v>-1085</v>
      </c>
      <c r="J50" s="272"/>
      <c r="K50" s="272">
        <f t="shared" si="3"/>
        <v>-8307.435</v>
      </c>
      <c r="L50" s="272"/>
      <c r="M50" s="272">
        <f t="shared" si="0"/>
        <v>3302.8230000000003</v>
      </c>
      <c r="N50" s="272"/>
      <c r="O50" s="272">
        <v>0</v>
      </c>
      <c r="P50" s="272"/>
      <c r="Q50" s="272">
        <f t="shared" si="4"/>
        <v>-45937</v>
      </c>
      <c r="R50" s="272"/>
      <c r="S50" s="272">
        <f>-I50-'interest credit calculations'!$E$81</f>
        <v>-1049.444</v>
      </c>
      <c r="T50" s="272"/>
      <c r="U50" s="272">
        <f t="shared" si="1"/>
        <v>-43683.621</v>
      </c>
    </row>
    <row r="51" spans="1:21" ht="12.75">
      <c r="A51" s="404">
        <v>-8481.3</v>
      </c>
      <c r="B51" s="401">
        <v>38</v>
      </c>
      <c r="C51" s="401">
        <f t="shared" si="2"/>
        <v>2046</v>
      </c>
      <c r="D51" s="177"/>
      <c r="E51" s="272">
        <f>+'Inputs for Evans Tables'!I35+-I51</f>
        <v>12695.255</v>
      </c>
      <c r="F51" s="272"/>
      <c r="G51" s="272">
        <f>+'Inputs for Evans Tables'!H35</f>
        <v>0</v>
      </c>
      <c r="H51" s="272"/>
      <c r="I51" s="272">
        <f>+'Inputs for Evans Tables'!O35</f>
        <v>-1085</v>
      </c>
      <c r="J51" s="272"/>
      <c r="K51" s="272">
        <f t="shared" si="3"/>
        <v>-8307.435</v>
      </c>
      <c r="L51" s="272"/>
      <c r="M51" s="272">
        <f t="shared" si="0"/>
        <v>3302.8199999999997</v>
      </c>
      <c r="N51" s="272"/>
      <c r="O51" s="272">
        <v>0</v>
      </c>
      <c r="P51" s="272"/>
      <c r="Q51" s="272">
        <f t="shared" si="4"/>
        <v>-45937</v>
      </c>
      <c r="R51" s="272"/>
      <c r="S51" s="272">
        <f>-I51-'interest credit calculations'!$E$81</f>
        <v>-1049.444</v>
      </c>
      <c r="T51" s="272"/>
      <c r="U51" s="272">
        <f t="shared" si="1"/>
        <v>-43683.624</v>
      </c>
    </row>
    <row r="52" spans="1:21" ht="12.75">
      <c r="A52" s="404">
        <v>-8481.37</v>
      </c>
      <c r="B52" s="401">
        <v>39</v>
      </c>
      <c r="C52" s="401">
        <f t="shared" si="2"/>
        <v>2047</v>
      </c>
      <c r="D52" s="177"/>
      <c r="E52" s="272">
        <f>+'Inputs for Evans Tables'!I36+-I52</f>
        <v>12695.262</v>
      </c>
      <c r="F52" s="272"/>
      <c r="G52" s="272">
        <f>+'Inputs for Evans Tables'!H36</f>
        <v>0</v>
      </c>
      <c r="H52" s="272"/>
      <c r="I52" s="272">
        <f>+'Inputs for Evans Tables'!O36</f>
        <v>-1085</v>
      </c>
      <c r="J52" s="272"/>
      <c r="K52" s="272">
        <f t="shared" si="3"/>
        <v>-8307.435</v>
      </c>
      <c r="L52" s="272"/>
      <c r="M52" s="272">
        <f t="shared" si="0"/>
        <v>3302.827000000001</v>
      </c>
      <c r="N52" s="272"/>
      <c r="O52" s="272">
        <v>0</v>
      </c>
      <c r="P52" s="272"/>
      <c r="Q52" s="272">
        <f t="shared" si="4"/>
        <v>-45937</v>
      </c>
      <c r="R52" s="272"/>
      <c r="S52" s="272">
        <f>-I52-'interest credit calculations'!$E$81</f>
        <v>-1049.444</v>
      </c>
      <c r="T52" s="272"/>
      <c r="U52" s="272">
        <f t="shared" si="1"/>
        <v>-43683.617</v>
      </c>
    </row>
    <row r="53" spans="1:21" ht="12.75">
      <c r="A53" s="404">
        <v>-7429.43</v>
      </c>
      <c r="B53" s="401">
        <v>40</v>
      </c>
      <c r="C53" s="401">
        <f t="shared" si="2"/>
        <v>2048</v>
      </c>
      <c r="D53" s="177"/>
      <c r="E53" s="272">
        <f>+'Inputs for Evans Tables'!I37+-I53</f>
        <v>12695.255</v>
      </c>
      <c r="F53" s="272"/>
      <c r="G53" s="272">
        <f>+'Inputs for Evans Tables'!H37</f>
        <v>0</v>
      </c>
      <c r="H53" s="272"/>
      <c r="I53" s="272">
        <f>+'Inputs for Evans Tables'!O37</f>
        <v>-1085</v>
      </c>
      <c r="J53" s="272"/>
      <c r="K53" s="272">
        <f t="shared" si="3"/>
        <v>-8307.435</v>
      </c>
      <c r="L53" s="272"/>
      <c r="M53" s="272">
        <f t="shared" si="0"/>
        <v>3302.8199999999997</v>
      </c>
      <c r="N53" s="272"/>
      <c r="O53" s="272">
        <v>0</v>
      </c>
      <c r="P53" s="272"/>
      <c r="Q53" s="272">
        <f t="shared" si="4"/>
        <v>-45937</v>
      </c>
      <c r="R53" s="272"/>
      <c r="S53" s="272">
        <f>-I53-'interest credit calculations'!$E$81</f>
        <v>-1049.444</v>
      </c>
      <c r="T53" s="272"/>
      <c r="U53" s="272">
        <f t="shared" si="1"/>
        <v>-43683.624</v>
      </c>
    </row>
    <row r="54" spans="1:21" ht="12.75">
      <c r="A54" s="404">
        <v>-4300.43</v>
      </c>
      <c r="B54" s="401">
        <v>41</v>
      </c>
      <c r="C54" s="401">
        <f t="shared" si="2"/>
        <v>2049</v>
      </c>
      <c r="D54" s="177"/>
      <c r="E54" s="272">
        <f>+'Inputs for Evans Tables'!I38+-I54</f>
        <v>12695.258</v>
      </c>
      <c r="F54" s="272"/>
      <c r="G54" s="272">
        <f>+'Inputs for Evans Tables'!H38</f>
        <v>0</v>
      </c>
      <c r="H54" s="272"/>
      <c r="I54" s="272">
        <f>+'Inputs for Evans Tables'!O38</f>
        <v>-1085</v>
      </c>
      <c r="J54" s="272"/>
      <c r="K54" s="272">
        <f t="shared" si="3"/>
        <v>-8307.435</v>
      </c>
      <c r="L54" s="272"/>
      <c r="M54" s="272">
        <f t="shared" si="0"/>
        <v>3302.8230000000003</v>
      </c>
      <c r="N54" s="272"/>
      <c r="O54" s="272">
        <v>0</v>
      </c>
      <c r="P54" s="272"/>
      <c r="Q54" s="272">
        <f t="shared" si="4"/>
        <v>-45937</v>
      </c>
      <c r="R54" s="272"/>
      <c r="S54" s="272">
        <f>-I54-'interest credit calculations'!$E$81</f>
        <v>-1049.444</v>
      </c>
      <c r="T54" s="272"/>
      <c r="U54" s="272">
        <f t="shared" si="1"/>
        <v>-43683.621</v>
      </c>
    </row>
    <row r="55" spans="1:21" ht="12.75">
      <c r="A55" s="404">
        <v>-4300.44</v>
      </c>
      <c r="B55" s="401">
        <v>42</v>
      </c>
      <c r="C55" s="401">
        <f t="shared" si="2"/>
        <v>2050</v>
      </c>
      <c r="D55" s="177"/>
      <c r="E55" s="272">
        <f>+'Inputs for Evans Tables'!I39+-I55</f>
        <v>12695.257</v>
      </c>
      <c r="F55" s="272"/>
      <c r="G55" s="272">
        <f>+'Inputs for Evans Tables'!H39</f>
        <v>0</v>
      </c>
      <c r="H55" s="272"/>
      <c r="I55" s="272">
        <f>+'Inputs for Evans Tables'!O39</f>
        <v>-1085</v>
      </c>
      <c r="J55" s="272"/>
      <c r="K55" s="272">
        <f t="shared" si="3"/>
        <v>-8307.435</v>
      </c>
      <c r="L55" s="272"/>
      <c r="M55" s="272">
        <f t="shared" si="0"/>
        <v>3302.822</v>
      </c>
      <c r="N55" s="272"/>
      <c r="O55" s="272">
        <v>0</v>
      </c>
      <c r="P55" s="272"/>
      <c r="Q55" s="272">
        <f t="shared" si="4"/>
        <v>-45937</v>
      </c>
      <c r="R55" s="272"/>
      <c r="S55" s="272">
        <f>-I55-'interest credit calculations'!$E$81</f>
        <v>-1049.444</v>
      </c>
      <c r="T55" s="272"/>
      <c r="U55" s="272">
        <f t="shared" si="1"/>
        <v>-43683.622</v>
      </c>
    </row>
    <row r="56" spans="1:21" ht="12.75">
      <c r="A56" s="404">
        <v>-4300.42</v>
      </c>
      <c r="B56" s="401">
        <v>43</v>
      </c>
      <c r="C56" s="401">
        <f t="shared" si="2"/>
        <v>2051</v>
      </c>
      <c r="D56" s="177"/>
      <c r="E56" s="272">
        <f>+'Inputs for Evans Tables'!I40+-I56</f>
        <v>12695.254</v>
      </c>
      <c r="F56" s="272"/>
      <c r="G56" s="272">
        <f>+'Inputs for Evans Tables'!H40</f>
        <v>0</v>
      </c>
      <c r="H56" s="272"/>
      <c r="I56" s="272">
        <f>+'Inputs for Evans Tables'!O40</f>
        <v>-1085</v>
      </c>
      <c r="J56" s="272"/>
      <c r="K56" s="272">
        <f t="shared" si="3"/>
        <v>-8307.435</v>
      </c>
      <c r="L56" s="272"/>
      <c r="M56" s="272">
        <f t="shared" si="0"/>
        <v>3302.8190000000013</v>
      </c>
      <c r="N56" s="272"/>
      <c r="O56" s="272">
        <v>0</v>
      </c>
      <c r="P56" s="272"/>
      <c r="Q56" s="272">
        <f t="shared" si="4"/>
        <v>-45937</v>
      </c>
      <c r="R56" s="272"/>
      <c r="S56" s="272">
        <f>-I56-'interest credit calculations'!$E$81</f>
        <v>-1049.444</v>
      </c>
      <c r="T56" s="272"/>
      <c r="U56" s="272">
        <f t="shared" si="1"/>
        <v>-43683.625</v>
      </c>
    </row>
    <row r="57" spans="1:21" ht="12.75">
      <c r="A57" s="404">
        <v>-4300.44</v>
      </c>
      <c r="B57" s="401">
        <v>44</v>
      </c>
      <c r="C57" s="401">
        <f t="shared" si="2"/>
        <v>2052</v>
      </c>
      <c r="D57" s="177"/>
      <c r="E57" s="272">
        <f>+'Inputs for Evans Tables'!I41+-I57</f>
        <v>12695.255</v>
      </c>
      <c r="F57" s="272"/>
      <c r="G57" s="272">
        <f>+'Inputs for Evans Tables'!H41</f>
        <v>0</v>
      </c>
      <c r="H57" s="272"/>
      <c r="I57" s="272">
        <f>+'Inputs for Evans Tables'!O41</f>
        <v>-1085</v>
      </c>
      <c r="J57" s="272"/>
      <c r="K57" s="272">
        <f t="shared" si="3"/>
        <v>-8307.435</v>
      </c>
      <c r="L57" s="272"/>
      <c r="M57" s="272">
        <f t="shared" si="0"/>
        <v>3302.8199999999997</v>
      </c>
      <c r="N57" s="272"/>
      <c r="O57" s="272">
        <v>0</v>
      </c>
      <c r="P57" s="272"/>
      <c r="Q57" s="272">
        <f t="shared" si="4"/>
        <v>-45937</v>
      </c>
      <c r="R57" s="272"/>
      <c r="S57" s="272">
        <f>-I57-'interest credit calculations'!$E$81</f>
        <v>-1049.444</v>
      </c>
      <c r="T57" s="272"/>
      <c r="U57" s="272">
        <f t="shared" si="1"/>
        <v>-43683.624</v>
      </c>
    </row>
    <row r="58" spans="1:21" ht="12.75">
      <c r="A58" s="404">
        <v>-4300.43</v>
      </c>
      <c r="B58" s="401">
        <v>45</v>
      </c>
      <c r="C58" s="401">
        <f t="shared" si="2"/>
        <v>2053</v>
      </c>
      <c r="D58" s="177"/>
      <c r="E58" s="272">
        <f>+'Inputs for Evans Tables'!I42+-I58</f>
        <v>12695.255</v>
      </c>
      <c r="F58" s="272"/>
      <c r="G58" s="272">
        <f>+'Inputs for Evans Tables'!H42</f>
        <v>0</v>
      </c>
      <c r="H58" s="272"/>
      <c r="I58" s="272">
        <f>+'Inputs for Evans Tables'!O42</f>
        <v>-1085</v>
      </c>
      <c r="J58" s="272"/>
      <c r="K58" s="272">
        <f t="shared" si="3"/>
        <v>-8307.435</v>
      </c>
      <c r="L58" s="272"/>
      <c r="M58" s="272">
        <f t="shared" si="0"/>
        <v>3302.8199999999997</v>
      </c>
      <c r="N58" s="272"/>
      <c r="O58" s="272">
        <v>0</v>
      </c>
      <c r="P58" s="272"/>
      <c r="Q58" s="272">
        <f t="shared" si="4"/>
        <v>-45937</v>
      </c>
      <c r="R58" s="272"/>
      <c r="S58" s="272">
        <f>-I58-'interest credit calculations'!$E$81</f>
        <v>-1049.444</v>
      </c>
      <c r="T58" s="272"/>
      <c r="U58" s="272">
        <f t="shared" si="1"/>
        <v>-43683.624</v>
      </c>
    </row>
    <row r="59" spans="1:21" ht="12.75">
      <c r="A59" s="404">
        <v>-4300.44</v>
      </c>
      <c r="B59" s="401">
        <v>46</v>
      </c>
      <c r="C59" s="401">
        <f t="shared" si="2"/>
        <v>2054</v>
      </c>
      <c r="D59" s="177"/>
      <c r="E59" s="272">
        <f>+'Inputs for Evans Tables'!I43+-I59</f>
        <v>12695.258</v>
      </c>
      <c r="F59" s="272"/>
      <c r="G59" s="272">
        <f>+'Inputs for Evans Tables'!H43</f>
        <v>0</v>
      </c>
      <c r="H59" s="272"/>
      <c r="I59" s="272">
        <f>+'Inputs for Evans Tables'!O43</f>
        <v>-1085</v>
      </c>
      <c r="J59" s="272"/>
      <c r="K59" s="272">
        <f t="shared" si="3"/>
        <v>-8307.435</v>
      </c>
      <c r="L59" s="272"/>
      <c r="M59" s="272">
        <f t="shared" si="0"/>
        <v>3302.8230000000003</v>
      </c>
      <c r="N59" s="272"/>
      <c r="O59" s="272">
        <v>0</v>
      </c>
      <c r="P59" s="272"/>
      <c r="Q59" s="272">
        <f t="shared" si="4"/>
        <v>-45937</v>
      </c>
      <c r="R59" s="272"/>
      <c r="S59" s="272">
        <f>-I59-'interest credit calculations'!$E$81</f>
        <v>-1049.444</v>
      </c>
      <c r="T59" s="272"/>
      <c r="U59" s="272">
        <f t="shared" si="1"/>
        <v>-43683.621</v>
      </c>
    </row>
    <row r="60" spans="1:21" ht="12.75">
      <c r="A60" s="404">
        <v>-4300.45</v>
      </c>
      <c r="B60" s="401">
        <v>47</v>
      </c>
      <c r="C60" s="401">
        <f t="shared" si="2"/>
        <v>2055</v>
      </c>
      <c r="D60" s="177"/>
      <c r="E60" s="272">
        <f>+'Inputs for Evans Tables'!I44+-I60</f>
        <v>12695.259</v>
      </c>
      <c r="F60" s="272"/>
      <c r="G60" s="272">
        <f>+'Inputs for Evans Tables'!H44</f>
        <v>0</v>
      </c>
      <c r="H60" s="272"/>
      <c r="I60" s="272">
        <f>+'Inputs for Evans Tables'!O44</f>
        <v>-1085</v>
      </c>
      <c r="J60" s="272"/>
      <c r="K60" s="272">
        <f t="shared" si="3"/>
        <v>-8307.435</v>
      </c>
      <c r="L60" s="272"/>
      <c r="M60" s="272">
        <f t="shared" si="0"/>
        <v>3302.8240000000005</v>
      </c>
      <c r="N60" s="272"/>
      <c r="O60" s="272">
        <v>0</v>
      </c>
      <c r="P60" s="272"/>
      <c r="Q60" s="272">
        <f t="shared" si="4"/>
        <v>-45937</v>
      </c>
      <c r="R60" s="272"/>
      <c r="S60" s="272">
        <f>-I60-'interest credit calculations'!$E$81</f>
        <v>-1049.444</v>
      </c>
      <c r="T60" s="272"/>
      <c r="U60" s="272">
        <f t="shared" si="1"/>
        <v>-43683.62</v>
      </c>
    </row>
    <row r="61" spans="1:21" ht="12.75">
      <c r="A61" s="404">
        <v>-4300.44</v>
      </c>
      <c r="B61" s="401">
        <v>48</v>
      </c>
      <c r="C61" s="401">
        <f t="shared" si="2"/>
        <v>2056</v>
      </c>
      <c r="D61" s="177"/>
      <c r="E61" s="272">
        <f>+'Inputs for Evans Tables'!I45+-I61</f>
        <v>12695.25</v>
      </c>
      <c r="F61" s="272"/>
      <c r="G61" s="272">
        <f>+'Inputs for Evans Tables'!H45</f>
        <v>0</v>
      </c>
      <c r="H61" s="272"/>
      <c r="I61" s="272">
        <f>+'Inputs for Evans Tables'!O45</f>
        <v>-1085</v>
      </c>
      <c r="J61" s="272"/>
      <c r="K61" s="272">
        <f t="shared" si="3"/>
        <v>-8307.435</v>
      </c>
      <c r="L61" s="272"/>
      <c r="M61" s="272">
        <f t="shared" si="0"/>
        <v>3302.8150000000005</v>
      </c>
      <c r="N61" s="272"/>
      <c r="O61" s="272">
        <v>0</v>
      </c>
      <c r="P61" s="272"/>
      <c r="Q61" s="272">
        <f t="shared" si="4"/>
        <v>-45937</v>
      </c>
      <c r="R61" s="272"/>
      <c r="S61" s="272">
        <f>-I61-'interest credit calculations'!$E$81</f>
        <v>-1049.444</v>
      </c>
      <c r="T61" s="272"/>
      <c r="U61" s="272">
        <f t="shared" si="1"/>
        <v>-43683.629</v>
      </c>
    </row>
    <row r="62" spans="1:21" ht="12.75">
      <c r="A62" s="404">
        <v>-4300.44</v>
      </c>
      <c r="B62" s="401">
        <v>49</v>
      </c>
      <c r="C62" s="401">
        <f t="shared" si="2"/>
        <v>2057</v>
      </c>
      <c r="D62" s="177"/>
      <c r="E62" s="272">
        <f>+'Inputs for Evans Tables'!I46+-I62</f>
        <v>12695.25</v>
      </c>
      <c r="F62" s="272"/>
      <c r="G62" s="272">
        <f>+'Inputs for Evans Tables'!H46</f>
        <v>0</v>
      </c>
      <c r="H62" s="272"/>
      <c r="I62" s="272">
        <f>+'Inputs for Evans Tables'!O46</f>
        <v>-1085</v>
      </c>
      <c r="J62" s="272"/>
      <c r="K62" s="272">
        <f t="shared" si="3"/>
        <v>-8307.435</v>
      </c>
      <c r="L62" s="272"/>
      <c r="M62" s="272">
        <f t="shared" si="0"/>
        <v>3302.8150000000005</v>
      </c>
      <c r="N62" s="272"/>
      <c r="O62" s="272">
        <v>0</v>
      </c>
      <c r="P62" s="272"/>
      <c r="Q62" s="272">
        <f t="shared" si="4"/>
        <v>-45937</v>
      </c>
      <c r="R62" s="272"/>
      <c r="S62" s="272">
        <f>-I62-'interest credit calculations'!$E$81</f>
        <v>-1049.444</v>
      </c>
      <c r="T62" s="272"/>
      <c r="U62" s="272">
        <f t="shared" si="1"/>
        <v>-43683.629</v>
      </c>
    </row>
    <row r="63" spans="1:21" ht="12.75">
      <c r="A63" s="404">
        <v>-4300.43</v>
      </c>
      <c r="B63" s="401">
        <v>50</v>
      </c>
      <c r="C63" s="401">
        <f t="shared" si="2"/>
        <v>2058</v>
      </c>
      <c r="D63" s="177"/>
      <c r="E63" s="272">
        <f>+'Inputs for Evans Tables'!I47+-I63</f>
        <v>12695.254</v>
      </c>
      <c r="F63" s="272"/>
      <c r="G63" s="272">
        <f>+'Inputs for Evans Tables'!H47</f>
        <v>0</v>
      </c>
      <c r="H63" s="272"/>
      <c r="I63" s="272">
        <f>+'Inputs for Evans Tables'!O47</f>
        <v>-1085</v>
      </c>
      <c r="J63" s="272"/>
      <c r="K63" s="272">
        <f t="shared" si="3"/>
        <v>-8307.435</v>
      </c>
      <c r="L63" s="272"/>
      <c r="M63" s="272">
        <f t="shared" si="0"/>
        <v>3302.8190000000013</v>
      </c>
      <c r="N63" s="272"/>
      <c r="O63" s="272">
        <v>0</v>
      </c>
      <c r="P63" s="272"/>
      <c r="Q63" s="272">
        <f t="shared" si="4"/>
        <v>-45937</v>
      </c>
      <c r="R63" s="272"/>
      <c r="S63" s="272">
        <f>-I63-'interest credit calculations'!$E$81</f>
        <v>-1049.444</v>
      </c>
      <c r="T63" s="272"/>
      <c r="U63" s="272">
        <f t="shared" si="1"/>
        <v>-43683.625</v>
      </c>
    </row>
    <row r="64" spans="1:21" ht="12.75">
      <c r="A64" s="404">
        <v>-4300.43</v>
      </c>
      <c r="B64" s="401">
        <v>51</v>
      </c>
      <c r="C64" s="401">
        <f t="shared" si="2"/>
        <v>2059</v>
      </c>
      <c r="D64" s="177"/>
      <c r="E64" s="272">
        <f>+'Inputs for Evans Tables'!I48+-I64</f>
        <v>9808.499</v>
      </c>
      <c r="F64" s="272"/>
      <c r="G64" s="272">
        <f>+'Inputs for Evans Tables'!H48</f>
        <v>0</v>
      </c>
      <c r="H64" s="272"/>
      <c r="I64" s="272">
        <f>+'Inputs for Evans Tables'!O48</f>
        <v>-1085</v>
      </c>
      <c r="J64" s="272"/>
      <c r="K64" s="272">
        <f t="shared" si="3"/>
        <v>-8307.435</v>
      </c>
      <c r="L64" s="272"/>
      <c r="M64" s="272">
        <f t="shared" si="0"/>
        <v>416.0640000000003</v>
      </c>
      <c r="N64" s="272"/>
      <c r="O64" s="272">
        <v>0</v>
      </c>
      <c r="P64" s="272"/>
      <c r="Q64" s="272">
        <f t="shared" si="4"/>
        <v>-45937</v>
      </c>
      <c r="R64" s="272"/>
      <c r="S64" s="272">
        <f>-I64-'interest credit calculations'!$E$81</f>
        <v>-1049.444</v>
      </c>
      <c r="T64" s="272"/>
      <c r="U64" s="272">
        <f t="shared" si="1"/>
        <v>-46570.380000000005</v>
      </c>
    </row>
    <row r="65" spans="1:21" ht="12.75">
      <c r="A65" s="404">
        <v>-4300.46</v>
      </c>
      <c r="B65" s="401">
        <v>52</v>
      </c>
      <c r="C65" s="401">
        <f t="shared" si="2"/>
        <v>2060</v>
      </c>
      <c r="D65" s="177"/>
      <c r="E65" s="272">
        <f>+'Inputs for Evans Tables'!I49+-I65</f>
        <v>9676.441</v>
      </c>
      <c r="F65" s="272"/>
      <c r="G65" s="272">
        <f>+'Inputs for Evans Tables'!H49</f>
        <v>0</v>
      </c>
      <c r="H65" s="272"/>
      <c r="I65" s="272">
        <f>+'Inputs for Evans Tables'!O49</f>
        <v>-1085</v>
      </c>
      <c r="J65" s="272"/>
      <c r="K65" s="272">
        <f t="shared" si="3"/>
        <v>-8307.435</v>
      </c>
      <c r="L65" s="272"/>
      <c r="M65" s="272">
        <f t="shared" si="0"/>
        <v>284.0060000000012</v>
      </c>
      <c r="N65" s="272"/>
      <c r="O65" s="272">
        <v>0</v>
      </c>
      <c r="P65" s="272"/>
      <c r="Q65" s="272">
        <f t="shared" si="4"/>
        <v>-45937</v>
      </c>
      <c r="R65" s="272"/>
      <c r="S65" s="272">
        <f>-I65-'interest credit calculations'!$E$81</f>
        <v>-1049.444</v>
      </c>
      <c r="T65" s="272"/>
      <c r="U65" s="272">
        <f t="shared" si="1"/>
        <v>-46702.438</v>
      </c>
    </row>
    <row r="66" spans="1:21" ht="12.75">
      <c r="A66" s="404">
        <v>-4300.46</v>
      </c>
      <c r="B66" s="401">
        <v>53</v>
      </c>
      <c r="C66" s="401">
        <f t="shared" si="2"/>
        <v>2061</v>
      </c>
      <c r="D66" s="177"/>
      <c r="E66" s="272">
        <f>+'Inputs for Evans Tables'!I50+-I66</f>
        <v>9676.44</v>
      </c>
      <c r="F66" s="272"/>
      <c r="G66" s="272">
        <f>+'Inputs for Evans Tables'!H50</f>
        <v>0</v>
      </c>
      <c r="H66" s="272"/>
      <c r="I66" s="272">
        <f>+'Inputs for Evans Tables'!O50</f>
        <v>-1085</v>
      </c>
      <c r="J66" s="272"/>
      <c r="K66" s="272">
        <f t="shared" si="3"/>
        <v>-8307.435</v>
      </c>
      <c r="L66" s="272"/>
      <c r="M66" s="272">
        <f t="shared" si="0"/>
        <v>284.005000000001</v>
      </c>
      <c r="N66" s="272"/>
      <c r="O66" s="272">
        <v>0</v>
      </c>
      <c r="P66" s="272"/>
      <c r="Q66" s="272">
        <f t="shared" si="4"/>
        <v>-45937</v>
      </c>
      <c r="R66" s="272"/>
      <c r="S66" s="272">
        <f>-I66-'interest credit calculations'!$E$81</f>
        <v>-1049.444</v>
      </c>
      <c r="T66" s="272"/>
      <c r="U66" s="272">
        <f t="shared" si="1"/>
        <v>-46702.439</v>
      </c>
    </row>
    <row r="67" spans="1:21" ht="12.75">
      <c r="A67" s="404">
        <v>-4300.45</v>
      </c>
      <c r="B67" s="401">
        <v>54</v>
      </c>
      <c r="C67" s="401">
        <f t="shared" si="2"/>
        <v>2062</v>
      </c>
      <c r="D67" s="177"/>
      <c r="E67" s="272">
        <f>+'Inputs for Evans Tables'!I51+-I67</f>
        <v>9676.433</v>
      </c>
      <c r="F67" s="272"/>
      <c r="G67" s="272">
        <f>+'Inputs for Evans Tables'!H51</f>
        <v>0</v>
      </c>
      <c r="H67" s="272"/>
      <c r="I67" s="272">
        <f>+'Inputs for Evans Tables'!O51</f>
        <v>-1085</v>
      </c>
      <c r="J67" s="272"/>
      <c r="K67" s="272">
        <f t="shared" si="3"/>
        <v>-8307.435</v>
      </c>
      <c r="L67" s="272"/>
      <c r="M67" s="272">
        <f t="shared" si="0"/>
        <v>283.9980000000014</v>
      </c>
      <c r="N67" s="272"/>
      <c r="O67" s="272">
        <v>0</v>
      </c>
      <c r="P67" s="272"/>
      <c r="Q67" s="272">
        <f t="shared" si="4"/>
        <v>-45937</v>
      </c>
      <c r="R67" s="272"/>
      <c r="S67" s="272">
        <f>-I67-'interest credit calculations'!$E$81</f>
        <v>-1049.444</v>
      </c>
      <c r="T67" s="272"/>
      <c r="U67" s="272">
        <f t="shared" si="1"/>
        <v>-46702.446</v>
      </c>
    </row>
    <row r="68" spans="1:21" ht="12.75">
      <c r="A68" s="404">
        <v>-4300.41</v>
      </c>
      <c r="B68" s="401">
        <v>55</v>
      </c>
      <c r="C68" s="401">
        <f t="shared" si="2"/>
        <v>2063</v>
      </c>
      <c r="D68" s="177"/>
      <c r="E68" s="272">
        <f>+'Inputs for Evans Tables'!I52+-I68</f>
        <v>9676.434</v>
      </c>
      <c r="F68" s="272"/>
      <c r="G68" s="272">
        <f>+'Inputs for Evans Tables'!H52</f>
        <v>0</v>
      </c>
      <c r="H68" s="272"/>
      <c r="I68" s="272">
        <f>+'Inputs for Evans Tables'!O52</f>
        <v>-1085</v>
      </c>
      <c r="J68" s="272"/>
      <c r="K68" s="272">
        <f t="shared" si="3"/>
        <v>-8307.435</v>
      </c>
      <c r="L68" s="272"/>
      <c r="M68" s="272">
        <f t="shared" si="0"/>
        <v>283.9989999999998</v>
      </c>
      <c r="N68" s="272"/>
      <c r="O68" s="272">
        <v>0</v>
      </c>
      <c r="P68" s="272"/>
      <c r="Q68" s="272">
        <f t="shared" si="4"/>
        <v>-45937</v>
      </c>
      <c r="R68" s="272"/>
      <c r="S68" s="272">
        <f>-I68-'interest credit calculations'!$E$81</f>
        <v>-1049.444</v>
      </c>
      <c r="T68" s="272"/>
      <c r="U68" s="272">
        <f t="shared" si="1"/>
        <v>-46702.44500000001</v>
      </c>
    </row>
    <row r="69" spans="1:21" ht="12.75">
      <c r="A69" s="404">
        <v>-4300.42</v>
      </c>
      <c r="B69" s="401">
        <v>56</v>
      </c>
      <c r="C69" s="401">
        <f t="shared" si="2"/>
        <v>2064</v>
      </c>
      <c r="E69" s="272">
        <f>+'Inputs for Evans Tables'!I53+-I69</f>
        <v>9676.439</v>
      </c>
      <c r="F69" s="405"/>
      <c r="G69" s="272">
        <f>+'Inputs for Evans Tables'!H53</f>
        <v>0</v>
      </c>
      <c r="H69" s="405"/>
      <c r="I69" s="272">
        <f>+'Inputs for Evans Tables'!O53</f>
        <v>-1085</v>
      </c>
      <c r="J69" s="405"/>
      <c r="K69" s="272">
        <f t="shared" si="3"/>
        <v>-8307.435</v>
      </c>
      <c r="L69" s="272"/>
      <c r="M69" s="272">
        <f t="shared" si="0"/>
        <v>284.0040000000008</v>
      </c>
      <c r="N69" s="272"/>
      <c r="O69" s="272">
        <v>0</v>
      </c>
      <c r="P69" s="272"/>
      <c r="Q69" s="272">
        <f t="shared" si="4"/>
        <v>-45937</v>
      </c>
      <c r="R69" s="272"/>
      <c r="S69" s="272">
        <f>-I69-'interest credit calculations'!$E$81</f>
        <v>-1049.444</v>
      </c>
      <c r="T69" s="405"/>
      <c r="U69" s="272">
        <f t="shared" si="1"/>
        <v>-46702.44</v>
      </c>
    </row>
    <row r="70" spans="1:21" ht="12.75">
      <c r="A70" s="404">
        <v>-4300.42</v>
      </c>
      <c r="B70" s="401">
        <v>57</v>
      </c>
      <c r="C70" s="401">
        <f t="shared" si="2"/>
        <v>2065</v>
      </c>
      <c r="D70" s="177"/>
      <c r="E70" s="272">
        <f>+'Inputs for Evans Tables'!I54+-I70</f>
        <v>9676.431</v>
      </c>
      <c r="F70" s="405"/>
      <c r="G70" s="272">
        <f>+'Inputs for Evans Tables'!H54</f>
        <v>0</v>
      </c>
      <c r="H70" s="405"/>
      <c r="I70" s="272">
        <f>+'Inputs for Evans Tables'!O54</f>
        <v>-1085</v>
      </c>
      <c r="J70" s="405"/>
      <c r="K70" s="272">
        <f t="shared" si="3"/>
        <v>-8307.435</v>
      </c>
      <c r="L70" s="272"/>
      <c r="M70" s="272">
        <f t="shared" si="0"/>
        <v>283.996000000001</v>
      </c>
      <c r="N70" s="272"/>
      <c r="O70" s="272">
        <v>0</v>
      </c>
      <c r="P70" s="272"/>
      <c r="Q70" s="272">
        <f t="shared" si="4"/>
        <v>-45937</v>
      </c>
      <c r="R70" s="272"/>
      <c r="S70" s="272">
        <f>-I70-'interest credit calculations'!$E$81</f>
        <v>-1049.444</v>
      </c>
      <c r="T70" s="405"/>
      <c r="U70" s="272">
        <f t="shared" si="1"/>
        <v>-46702.448000000004</v>
      </c>
    </row>
    <row r="71" spans="1:21" ht="12.75">
      <c r="A71" s="404">
        <v>-4300.44</v>
      </c>
      <c r="B71" s="401">
        <v>58</v>
      </c>
      <c r="C71" s="401">
        <f t="shared" si="2"/>
        <v>2066</v>
      </c>
      <c r="D71" s="177"/>
      <c r="E71" s="272">
        <f>+'Inputs for Evans Tables'!I55+-I71</f>
        <v>9676.433</v>
      </c>
      <c r="F71" s="272"/>
      <c r="G71" s="272">
        <f>+'Inputs for Evans Tables'!H55</f>
        <v>0</v>
      </c>
      <c r="H71" s="272"/>
      <c r="I71" s="272">
        <f>+'Inputs for Evans Tables'!O55</f>
        <v>-1085</v>
      </c>
      <c r="J71" s="272"/>
      <c r="K71" s="272">
        <f t="shared" si="3"/>
        <v>-8307.435</v>
      </c>
      <c r="L71" s="272"/>
      <c r="M71" s="272">
        <f t="shared" si="0"/>
        <v>283.9980000000014</v>
      </c>
      <c r="N71" s="272"/>
      <c r="O71" s="272">
        <v>0</v>
      </c>
      <c r="P71" s="272"/>
      <c r="Q71" s="272">
        <f t="shared" si="4"/>
        <v>-45937</v>
      </c>
      <c r="R71" s="272"/>
      <c r="S71" s="272">
        <f>-I71-'interest credit calculations'!$E$81</f>
        <v>-1049.444</v>
      </c>
      <c r="T71" s="272"/>
      <c r="U71" s="272">
        <f t="shared" si="1"/>
        <v>-46702.446</v>
      </c>
    </row>
    <row r="72" spans="1:21" ht="12.75">
      <c r="A72" s="404">
        <v>-4300.44</v>
      </c>
      <c r="B72" s="401">
        <v>59</v>
      </c>
      <c r="C72" s="401">
        <f t="shared" si="2"/>
        <v>2067</v>
      </c>
      <c r="D72" s="177"/>
      <c r="E72" s="272">
        <f>+'Inputs for Evans Tables'!I56+-I72</f>
        <v>9676.438</v>
      </c>
      <c r="F72" s="272"/>
      <c r="G72" s="272">
        <f>+'Inputs for Evans Tables'!H56</f>
        <v>0</v>
      </c>
      <c r="H72" s="272"/>
      <c r="I72" s="272">
        <f>+'Inputs for Evans Tables'!O56</f>
        <v>-1085</v>
      </c>
      <c r="J72" s="272"/>
      <c r="K72" s="272">
        <f t="shared" si="3"/>
        <v>-8307.435</v>
      </c>
      <c r="L72" s="272"/>
      <c r="M72" s="272">
        <f t="shared" si="0"/>
        <v>284.0030000000006</v>
      </c>
      <c r="N72" s="272"/>
      <c r="O72" s="272">
        <v>0</v>
      </c>
      <c r="P72" s="272"/>
      <c r="Q72" s="272">
        <f t="shared" si="4"/>
        <v>-45937</v>
      </c>
      <c r="R72" s="272"/>
      <c r="S72" s="272">
        <f>-I72-'interest credit calculations'!$E$81</f>
        <v>-1049.444</v>
      </c>
      <c r="T72" s="272"/>
      <c r="U72" s="272">
        <f t="shared" si="1"/>
        <v>-46702.441000000006</v>
      </c>
    </row>
    <row r="73" spans="1:21" ht="12.75">
      <c r="A73" s="404">
        <v>-4300.43</v>
      </c>
      <c r="B73" s="401">
        <v>60</v>
      </c>
      <c r="C73" s="401">
        <f t="shared" si="2"/>
        <v>2068</v>
      </c>
      <c r="D73" s="177"/>
      <c r="E73" s="272">
        <f>+'Inputs for Evans Tables'!I57+-I73</f>
        <v>9676.429</v>
      </c>
      <c r="F73" s="272"/>
      <c r="G73" s="272">
        <f>+'Inputs for Evans Tables'!H57</f>
        <v>0</v>
      </c>
      <c r="H73" s="272"/>
      <c r="I73" s="272">
        <f>+'Inputs for Evans Tables'!O57</f>
        <v>-1085</v>
      </c>
      <c r="J73" s="272"/>
      <c r="K73" s="272">
        <f t="shared" si="3"/>
        <v>-8307.435</v>
      </c>
      <c r="L73" s="272"/>
      <c r="M73" s="272">
        <f t="shared" si="0"/>
        <v>283.9940000000006</v>
      </c>
      <c r="N73" s="272"/>
      <c r="O73" s="272">
        <v>0</v>
      </c>
      <c r="P73" s="272"/>
      <c r="Q73" s="272">
        <f t="shared" si="4"/>
        <v>-45937</v>
      </c>
      <c r="R73" s="272"/>
      <c r="S73" s="272">
        <f>-I73-'interest credit calculations'!$E$81</f>
        <v>-1049.444</v>
      </c>
      <c r="T73" s="272"/>
      <c r="U73" s="272">
        <f t="shared" si="1"/>
        <v>-46702.450000000004</v>
      </c>
    </row>
    <row r="74" spans="1:21" ht="13.5" customHeight="1">
      <c r="A74" s="404">
        <v>-4300.45</v>
      </c>
      <c r="B74" s="401">
        <v>61</v>
      </c>
      <c r="C74" s="401">
        <f t="shared" si="2"/>
        <v>2069</v>
      </c>
      <c r="D74" s="177"/>
      <c r="E74" s="272">
        <f>+'Inputs for Evans Tables'!I58+-I74</f>
        <v>9676.431</v>
      </c>
      <c r="F74" s="272"/>
      <c r="G74" s="272">
        <f>+'Inputs for Evans Tables'!H58</f>
        <v>0</v>
      </c>
      <c r="H74" s="272"/>
      <c r="I74" s="272">
        <f>+'Inputs for Evans Tables'!O58</f>
        <v>-1085</v>
      </c>
      <c r="J74" s="272"/>
      <c r="K74" s="272">
        <f t="shared" si="3"/>
        <v>-8307.435</v>
      </c>
      <c r="L74" s="272"/>
      <c r="M74" s="272">
        <f t="shared" si="0"/>
        <v>283.996000000001</v>
      </c>
      <c r="N74" s="272"/>
      <c r="O74" s="272">
        <v>0</v>
      </c>
      <c r="P74" s="272"/>
      <c r="Q74" s="272">
        <f t="shared" si="4"/>
        <v>-45937</v>
      </c>
      <c r="R74" s="272"/>
      <c r="S74" s="272">
        <f>-I74-'interest credit calculations'!$E$81</f>
        <v>-1049.444</v>
      </c>
      <c r="T74" s="272"/>
      <c r="U74" s="272">
        <f t="shared" si="1"/>
        <v>-46702.448000000004</v>
      </c>
    </row>
    <row r="75" spans="1:21" ht="12.75">
      <c r="A75" s="404"/>
      <c r="B75" s="404"/>
      <c r="C75" s="401"/>
      <c r="D75" s="177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</row>
    <row r="76" spans="1:21" ht="12.75">
      <c r="A76" s="404"/>
      <c r="B76" s="404"/>
      <c r="C76" s="401"/>
      <c r="D76" s="177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</row>
  </sheetData>
  <mergeCells count="4">
    <mergeCell ref="C1:U1"/>
    <mergeCell ref="C2:U2"/>
    <mergeCell ref="C3:U3"/>
    <mergeCell ref="C4:U4"/>
  </mergeCells>
  <printOptions horizontalCentered="1"/>
  <pageMargins left="0.75" right="0.72" top="0.39" bottom="0.69" header="0.18" footer="0.25"/>
  <pageSetup fitToHeight="1" fitToWidth="1" horizontalDpi="300" verticalDpi="300" orientation="portrait" scale="10" r:id="rId1"/>
  <headerFooter alignWithMargins="0">
    <oddFooter>&amp;C&amp;"Times New Roman,Bold"&amp;16WP-02-FS-BPA-08
Page D-317&amp;R&amp;8&amp;D&amp;F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7"/>
  <sheetViews>
    <sheetView zoomScale="75" zoomScaleNormal="75" workbookViewId="0" topLeftCell="A1">
      <selection activeCell="R1" sqref="R1:U1048576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3.421875" style="0" customWidth="1"/>
    <col min="4" max="4" width="40.28125" style="0" customWidth="1"/>
    <col min="5" max="7" width="11.00390625" style="0" bestFit="1" customWidth="1"/>
    <col min="8" max="8" width="13.140625" style="0" bestFit="1" customWidth="1"/>
    <col min="9" max="9" width="13.140625" style="9" bestFit="1" customWidth="1"/>
    <col min="10" max="10" width="13.140625" style="0" bestFit="1" customWidth="1"/>
    <col min="11" max="12" width="12.28125" style="0" customWidth="1"/>
    <col min="13" max="13" width="4.421875" style="0" customWidth="1"/>
    <col min="14" max="14" width="13.57421875" style="0" customWidth="1"/>
    <col min="15" max="15" width="4.00390625" style="0" customWidth="1"/>
    <col min="16" max="16" width="13.28125" style="0" customWidth="1"/>
    <col min="18" max="18" width="13.8515625" style="0" bestFit="1" customWidth="1"/>
    <col min="252" max="252" width="3.7109375" style="0" customWidth="1"/>
    <col min="253" max="253" width="3.57421875" style="0" customWidth="1"/>
    <col min="254" max="254" width="3.421875" style="0" customWidth="1"/>
    <col min="255" max="255" width="40.28125" style="0" customWidth="1"/>
    <col min="256" max="256" width="10.28125" style="0" customWidth="1"/>
    <col min="257" max="257" width="9.7109375" style="0" customWidth="1"/>
    <col min="258" max="260" width="10.57421875" style="0" customWidth="1"/>
    <col min="261" max="261" width="10.00390625" style="0" customWidth="1"/>
    <col min="262" max="263" width="9.140625" style="0" hidden="1" customWidth="1"/>
    <col min="508" max="508" width="3.7109375" style="0" customWidth="1"/>
    <col min="509" max="509" width="3.57421875" style="0" customWidth="1"/>
    <col min="510" max="510" width="3.421875" style="0" customWidth="1"/>
    <col min="511" max="511" width="40.28125" style="0" customWidth="1"/>
    <col min="512" max="512" width="10.28125" style="0" customWidth="1"/>
    <col min="513" max="513" width="9.7109375" style="0" customWidth="1"/>
    <col min="514" max="516" width="10.57421875" style="0" customWidth="1"/>
    <col min="517" max="517" width="10.00390625" style="0" customWidth="1"/>
    <col min="518" max="519" width="9.140625" style="0" hidden="1" customWidth="1"/>
    <col min="764" max="764" width="3.7109375" style="0" customWidth="1"/>
    <col min="765" max="765" width="3.57421875" style="0" customWidth="1"/>
    <col min="766" max="766" width="3.421875" style="0" customWidth="1"/>
    <col min="767" max="767" width="40.28125" style="0" customWidth="1"/>
    <col min="768" max="768" width="10.28125" style="0" customWidth="1"/>
    <col min="769" max="769" width="9.7109375" style="0" customWidth="1"/>
    <col min="770" max="772" width="10.57421875" style="0" customWidth="1"/>
    <col min="773" max="773" width="10.00390625" style="0" customWidth="1"/>
    <col min="774" max="775" width="9.140625" style="0" hidden="1" customWidth="1"/>
    <col min="1020" max="1020" width="3.7109375" style="0" customWidth="1"/>
    <col min="1021" max="1021" width="3.57421875" style="0" customWidth="1"/>
    <col min="1022" max="1022" width="3.421875" style="0" customWidth="1"/>
    <col min="1023" max="1023" width="40.28125" style="0" customWidth="1"/>
    <col min="1024" max="1024" width="10.28125" style="0" customWidth="1"/>
    <col min="1025" max="1025" width="9.7109375" style="0" customWidth="1"/>
    <col min="1026" max="1028" width="10.57421875" style="0" customWidth="1"/>
    <col min="1029" max="1029" width="10.00390625" style="0" customWidth="1"/>
    <col min="1030" max="1031" width="9.140625" style="0" hidden="1" customWidth="1"/>
    <col min="1276" max="1276" width="3.7109375" style="0" customWidth="1"/>
    <col min="1277" max="1277" width="3.57421875" style="0" customWidth="1"/>
    <col min="1278" max="1278" width="3.421875" style="0" customWidth="1"/>
    <col min="1279" max="1279" width="40.28125" style="0" customWidth="1"/>
    <col min="1280" max="1280" width="10.28125" style="0" customWidth="1"/>
    <col min="1281" max="1281" width="9.7109375" style="0" customWidth="1"/>
    <col min="1282" max="1284" width="10.57421875" style="0" customWidth="1"/>
    <col min="1285" max="1285" width="10.00390625" style="0" customWidth="1"/>
    <col min="1286" max="1287" width="9.140625" style="0" hidden="1" customWidth="1"/>
    <col min="1532" max="1532" width="3.7109375" style="0" customWidth="1"/>
    <col min="1533" max="1533" width="3.57421875" style="0" customWidth="1"/>
    <col min="1534" max="1534" width="3.421875" style="0" customWidth="1"/>
    <col min="1535" max="1535" width="40.28125" style="0" customWidth="1"/>
    <col min="1536" max="1536" width="10.28125" style="0" customWidth="1"/>
    <col min="1537" max="1537" width="9.7109375" style="0" customWidth="1"/>
    <col min="1538" max="1540" width="10.57421875" style="0" customWidth="1"/>
    <col min="1541" max="1541" width="10.00390625" style="0" customWidth="1"/>
    <col min="1542" max="1543" width="9.140625" style="0" hidden="1" customWidth="1"/>
    <col min="1788" max="1788" width="3.7109375" style="0" customWidth="1"/>
    <col min="1789" max="1789" width="3.57421875" style="0" customWidth="1"/>
    <col min="1790" max="1790" width="3.421875" style="0" customWidth="1"/>
    <col min="1791" max="1791" width="40.28125" style="0" customWidth="1"/>
    <col min="1792" max="1792" width="10.28125" style="0" customWidth="1"/>
    <col min="1793" max="1793" width="9.7109375" style="0" customWidth="1"/>
    <col min="1794" max="1796" width="10.57421875" style="0" customWidth="1"/>
    <col min="1797" max="1797" width="10.00390625" style="0" customWidth="1"/>
    <col min="1798" max="1799" width="9.140625" style="0" hidden="1" customWidth="1"/>
    <col min="2044" max="2044" width="3.7109375" style="0" customWidth="1"/>
    <col min="2045" max="2045" width="3.57421875" style="0" customWidth="1"/>
    <col min="2046" max="2046" width="3.421875" style="0" customWidth="1"/>
    <col min="2047" max="2047" width="40.28125" style="0" customWidth="1"/>
    <col min="2048" max="2048" width="10.28125" style="0" customWidth="1"/>
    <col min="2049" max="2049" width="9.7109375" style="0" customWidth="1"/>
    <col min="2050" max="2052" width="10.57421875" style="0" customWidth="1"/>
    <col min="2053" max="2053" width="10.00390625" style="0" customWidth="1"/>
    <col min="2054" max="2055" width="9.140625" style="0" hidden="1" customWidth="1"/>
    <col min="2300" max="2300" width="3.7109375" style="0" customWidth="1"/>
    <col min="2301" max="2301" width="3.57421875" style="0" customWidth="1"/>
    <col min="2302" max="2302" width="3.421875" style="0" customWidth="1"/>
    <col min="2303" max="2303" width="40.28125" style="0" customWidth="1"/>
    <col min="2304" max="2304" width="10.28125" style="0" customWidth="1"/>
    <col min="2305" max="2305" width="9.7109375" style="0" customWidth="1"/>
    <col min="2306" max="2308" width="10.57421875" style="0" customWidth="1"/>
    <col min="2309" max="2309" width="10.00390625" style="0" customWidth="1"/>
    <col min="2310" max="2311" width="9.140625" style="0" hidden="1" customWidth="1"/>
    <col min="2556" max="2556" width="3.7109375" style="0" customWidth="1"/>
    <col min="2557" max="2557" width="3.57421875" style="0" customWidth="1"/>
    <col min="2558" max="2558" width="3.421875" style="0" customWidth="1"/>
    <col min="2559" max="2559" width="40.28125" style="0" customWidth="1"/>
    <col min="2560" max="2560" width="10.28125" style="0" customWidth="1"/>
    <col min="2561" max="2561" width="9.7109375" style="0" customWidth="1"/>
    <col min="2562" max="2564" width="10.57421875" style="0" customWidth="1"/>
    <col min="2565" max="2565" width="10.00390625" style="0" customWidth="1"/>
    <col min="2566" max="2567" width="9.140625" style="0" hidden="1" customWidth="1"/>
    <col min="2812" max="2812" width="3.7109375" style="0" customWidth="1"/>
    <col min="2813" max="2813" width="3.57421875" style="0" customWidth="1"/>
    <col min="2814" max="2814" width="3.421875" style="0" customWidth="1"/>
    <col min="2815" max="2815" width="40.28125" style="0" customWidth="1"/>
    <col min="2816" max="2816" width="10.28125" style="0" customWidth="1"/>
    <col min="2817" max="2817" width="9.7109375" style="0" customWidth="1"/>
    <col min="2818" max="2820" width="10.57421875" style="0" customWidth="1"/>
    <col min="2821" max="2821" width="10.00390625" style="0" customWidth="1"/>
    <col min="2822" max="2823" width="9.140625" style="0" hidden="1" customWidth="1"/>
    <col min="3068" max="3068" width="3.7109375" style="0" customWidth="1"/>
    <col min="3069" max="3069" width="3.57421875" style="0" customWidth="1"/>
    <col min="3070" max="3070" width="3.421875" style="0" customWidth="1"/>
    <col min="3071" max="3071" width="40.28125" style="0" customWidth="1"/>
    <col min="3072" max="3072" width="10.28125" style="0" customWidth="1"/>
    <col min="3073" max="3073" width="9.7109375" style="0" customWidth="1"/>
    <col min="3074" max="3076" width="10.57421875" style="0" customWidth="1"/>
    <col min="3077" max="3077" width="10.00390625" style="0" customWidth="1"/>
    <col min="3078" max="3079" width="9.140625" style="0" hidden="1" customWidth="1"/>
    <col min="3324" max="3324" width="3.7109375" style="0" customWidth="1"/>
    <col min="3325" max="3325" width="3.57421875" style="0" customWidth="1"/>
    <col min="3326" max="3326" width="3.421875" style="0" customWidth="1"/>
    <col min="3327" max="3327" width="40.28125" style="0" customWidth="1"/>
    <col min="3328" max="3328" width="10.28125" style="0" customWidth="1"/>
    <col min="3329" max="3329" width="9.7109375" style="0" customWidth="1"/>
    <col min="3330" max="3332" width="10.57421875" style="0" customWidth="1"/>
    <col min="3333" max="3333" width="10.00390625" style="0" customWidth="1"/>
    <col min="3334" max="3335" width="9.140625" style="0" hidden="1" customWidth="1"/>
    <col min="3580" max="3580" width="3.7109375" style="0" customWidth="1"/>
    <col min="3581" max="3581" width="3.57421875" style="0" customWidth="1"/>
    <col min="3582" max="3582" width="3.421875" style="0" customWidth="1"/>
    <col min="3583" max="3583" width="40.28125" style="0" customWidth="1"/>
    <col min="3584" max="3584" width="10.28125" style="0" customWidth="1"/>
    <col min="3585" max="3585" width="9.7109375" style="0" customWidth="1"/>
    <col min="3586" max="3588" width="10.57421875" style="0" customWidth="1"/>
    <col min="3589" max="3589" width="10.00390625" style="0" customWidth="1"/>
    <col min="3590" max="3591" width="9.140625" style="0" hidden="1" customWidth="1"/>
    <col min="3836" max="3836" width="3.7109375" style="0" customWidth="1"/>
    <col min="3837" max="3837" width="3.57421875" style="0" customWidth="1"/>
    <col min="3838" max="3838" width="3.421875" style="0" customWidth="1"/>
    <col min="3839" max="3839" width="40.28125" style="0" customWidth="1"/>
    <col min="3840" max="3840" width="10.28125" style="0" customWidth="1"/>
    <col min="3841" max="3841" width="9.7109375" style="0" customWidth="1"/>
    <col min="3842" max="3844" width="10.57421875" style="0" customWidth="1"/>
    <col min="3845" max="3845" width="10.00390625" style="0" customWidth="1"/>
    <col min="3846" max="3847" width="9.140625" style="0" hidden="1" customWidth="1"/>
    <col min="4092" max="4092" width="3.7109375" style="0" customWidth="1"/>
    <col min="4093" max="4093" width="3.57421875" style="0" customWidth="1"/>
    <col min="4094" max="4094" width="3.421875" style="0" customWidth="1"/>
    <col min="4095" max="4095" width="40.28125" style="0" customWidth="1"/>
    <col min="4096" max="4096" width="10.28125" style="0" customWidth="1"/>
    <col min="4097" max="4097" width="9.7109375" style="0" customWidth="1"/>
    <col min="4098" max="4100" width="10.57421875" style="0" customWidth="1"/>
    <col min="4101" max="4101" width="10.00390625" style="0" customWidth="1"/>
    <col min="4102" max="4103" width="9.140625" style="0" hidden="1" customWidth="1"/>
    <col min="4348" max="4348" width="3.7109375" style="0" customWidth="1"/>
    <col min="4349" max="4349" width="3.57421875" style="0" customWidth="1"/>
    <col min="4350" max="4350" width="3.421875" style="0" customWidth="1"/>
    <col min="4351" max="4351" width="40.28125" style="0" customWidth="1"/>
    <col min="4352" max="4352" width="10.28125" style="0" customWidth="1"/>
    <col min="4353" max="4353" width="9.7109375" style="0" customWidth="1"/>
    <col min="4354" max="4356" width="10.57421875" style="0" customWidth="1"/>
    <col min="4357" max="4357" width="10.00390625" style="0" customWidth="1"/>
    <col min="4358" max="4359" width="9.140625" style="0" hidden="1" customWidth="1"/>
    <col min="4604" max="4604" width="3.7109375" style="0" customWidth="1"/>
    <col min="4605" max="4605" width="3.57421875" style="0" customWidth="1"/>
    <col min="4606" max="4606" width="3.421875" style="0" customWidth="1"/>
    <col min="4607" max="4607" width="40.28125" style="0" customWidth="1"/>
    <col min="4608" max="4608" width="10.28125" style="0" customWidth="1"/>
    <col min="4609" max="4609" width="9.7109375" style="0" customWidth="1"/>
    <col min="4610" max="4612" width="10.57421875" style="0" customWidth="1"/>
    <col min="4613" max="4613" width="10.00390625" style="0" customWidth="1"/>
    <col min="4614" max="4615" width="9.140625" style="0" hidden="1" customWidth="1"/>
    <col min="4860" max="4860" width="3.7109375" style="0" customWidth="1"/>
    <col min="4861" max="4861" width="3.57421875" style="0" customWidth="1"/>
    <col min="4862" max="4862" width="3.421875" style="0" customWidth="1"/>
    <col min="4863" max="4863" width="40.28125" style="0" customWidth="1"/>
    <col min="4864" max="4864" width="10.28125" style="0" customWidth="1"/>
    <col min="4865" max="4865" width="9.7109375" style="0" customWidth="1"/>
    <col min="4866" max="4868" width="10.57421875" style="0" customWidth="1"/>
    <col min="4869" max="4869" width="10.00390625" style="0" customWidth="1"/>
    <col min="4870" max="4871" width="9.140625" style="0" hidden="1" customWidth="1"/>
    <col min="5116" max="5116" width="3.7109375" style="0" customWidth="1"/>
    <col min="5117" max="5117" width="3.57421875" style="0" customWidth="1"/>
    <col min="5118" max="5118" width="3.421875" style="0" customWidth="1"/>
    <col min="5119" max="5119" width="40.28125" style="0" customWidth="1"/>
    <col min="5120" max="5120" width="10.28125" style="0" customWidth="1"/>
    <col min="5121" max="5121" width="9.7109375" style="0" customWidth="1"/>
    <col min="5122" max="5124" width="10.57421875" style="0" customWidth="1"/>
    <col min="5125" max="5125" width="10.00390625" style="0" customWidth="1"/>
    <col min="5126" max="5127" width="9.140625" style="0" hidden="1" customWidth="1"/>
    <col min="5372" max="5372" width="3.7109375" style="0" customWidth="1"/>
    <col min="5373" max="5373" width="3.57421875" style="0" customWidth="1"/>
    <col min="5374" max="5374" width="3.421875" style="0" customWidth="1"/>
    <col min="5375" max="5375" width="40.28125" style="0" customWidth="1"/>
    <col min="5376" max="5376" width="10.28125" style="0" customWidth="1"/>
    <col min="5377" max="5377" width="9.7109375" style="0" customWidth="1"/>
    <col min="5378" max="5380" width="10.57421875" style="0" customWidth="1"/>
    <col min="5381" max="5381" width="10.00390625" style="0" customWidth="1"/>
    <col min="5382" max="5383" width="9.140625" style="0" hidden="1" customWidth="1"/>
    <col min="5628" max="5628" width="3.7109375" style="0" customWidth="1"/>
    <col min="5629" max="5629" width="3.57421875" style="0" customWidth="1"/>
    <col min="5630" max="5630" width="3.421875" style="0" customWidth="1"/>
    <col min="5631" max="5631" width="40.28125" style="0" customWidth="1"/>
    <col min="5632" max="5632" width="10.28125" style="0" customWidth="1"/>
    <col min="5633" max="5633" width="9.7109375" style="0" customWidth="1"/>
    <col min="5634" max="5636" width="10.57421875" style="0" customWidth="1"/>
    <col min="5637" max="5637" width="10.00390625" style="0" customWidth="1"/>
    <col min="5638" max="5639" width="9.140625" style="0" hidden="1" customWidth="1"/>
    <col min="5884" max="5884" width="3.7109375" style="0" customWidth="1"/>
    <col min="5885" max="5885" width="3.57421875" style="0" customWidth="1"/>
    <col min="5886" max="5886" width="3.421875" style="0" customWidth="1"/>
    <col min="5887" max="5887" width="40.28125" style="0" customWidth="1"/>
    <col min="5888" max="5888" width="10.28125" style="0" customWidth="1"/>
    <col min="5889" max="5889" width="9.7109375" style="0" customWidth="1"/>
    <col min="5890" max="5892" width="10.57421875" style="0" customWidth="1"/>
    <col min="5893" max="5893" width="10.00390625" style="0" customWidth="1"/>
    <col min="5894" max="5895" width="9.140625" style="0" hidden="1" customWidth="1"/>
    <col min="6140" max="6140" width="3.7109375" style="0" customWidth="1"/>
    <col min="6141" max="6141" width="3.57421875" style="0" customWidth="1"/>
    <col min="6142" max="6142" width="3.421875" style="0" customWidth="1"/>
    <col min="6143" max="6143" width="40.28125" style="0" customWidth="1"/>
    <col min="6144" max="6144" width="10.28125" style="0" customWidth="1"/>
    <col min="6145" max="6145" width="9.7109375" style="0" customWidth="1"/>
    <col min="6146" max="6148" width="10.57421875" style="0" customWidth="1"/>
    <col min="6149" max="6149" width="10.00390625" style="0" customWidth="1"/>
    <col min="6150" max="6151" width="9.140625" style="0" hidden="1" customWidth="1"/>
    <col min="6396" max="6396" width="3.7109375" style="0" customWidth="1"/>
    <col min="6397" max="6397" width="3.57421875" style="0" customWidth="1"/>
    <col min="6398" max="6398" width="3.421875" style="0" customWidth="1"/>
    <col min="6399" max="6399" width="40.28125" style="0" customWidth="1"/>
    <col min="6400" max="6400" width="10.28125" style="0" customWidth="1"/>
    <col min="6401" max="6401" width="9.7109375" style="0" customWidth="1"/>
    <col min="6402" max="6404" width="10.57421875" style="0" customWidth="1"/>
    <col min="6405" max="6405" width="10.00390625" style="0" customWidth="1"/>
    <col min="6406" max="6407" width="9.140625" style="0" hidden="1" customWidth="1"/>
    <col min="6652" max="6652" width="3.7109375" style="0" customWidth="1"/>
    <col min="6653" max="6653" width="3.57421875" style="0" customWidth="1"/>
    <col min="6654" max="6654" width="3.421875" style="0" customWidth="1"/>
    <col min="6655" max="6655" width="40.28125" style="0" customWidth="1"/>
    <col min="6656" max="6656" width="10.28125" style="0" customWidth="1"/>
    <col min="6657" max="6657" width="9.7109375" style="0" customWidth="1"/>
    <col min="6658" max="6660" width="10.57421875" style="0" customWidth="1"/>
    <col min="6661" max="6661" width="10.00390625" style="0" customWidth="1"/>
    <col min="6662" max="6663" width="9.140625" style="0" hidden="1" customWidth="1"/>
    <col min="6908" max="6908" width="3.7109375" style="0" customWidth="1"/>
    <col min="6909" max="6909" width="3.57421875" style="0" customWidth="1"/>
    <col min="6910" max="6910" width="3.421875" style="0" customWidth="1"/>
    <col min="6911" max="6911" width="40.28125" style="0" customWidth="1"/>
    <col min="6912" max="6912" width="10.28125" style="0" customWidth="1"/>
    <col min="6913" max="6913" width="9.7109375" style="0" customWidth="1"/>
    <col min="6914" max="6916" width="10.57421875" style="0" customWidth="1"/>
    <col min="6917" max="6917" width="10.00390625" style="0" customWidth="1"/>
    <col min="6918" max="6919" width="9.140625" style="0" hidden="1" customWidth="1"/>
    <col min="7164" max="7164" width="3.7109375" style="0" customWidth="1"/>
    <col min="7165" max="7165" width="3.57421875" style="0" customWidth="1"/>
    <col min="7166" max="7166" width="3.421875" style="0" customWidth="1"/>
    <col min="7167" max="7167" width="40.28125" style="0" customWidth="1"/>
    <col min="7168" max="7168" width="10.28125" style="0" customWidth="1"/>
    <col min="7169" max="7169" width="9.7109375" style="0" customWidth="1"/>
    <col min="7170" max="7172" width="10.57421875" style="0" customWidth="1"/>
    <col min="7173" max="7173" width="10.00390625" style="0" customWidth="1"/>
    <col min="7174" max="7175" width="9.140625" style="0" hidden="1" customWidth="1"/>
    <col min="7420" max="7420" width="3.7109375" style="0" customWidth="1"/>
    <col min="7421" max="7421" width="3.57421875" style="0" customWidth="1"/>
    <col min="7422" max="7422" width="3.421875" style="0" customWidth="1"/>
    <col min="7423" max="7423" width="40.28125" style="0" customWidth="1"/>
    <col min="7424" max="7424" width="10.28125" style="0" customWidth="1"/>
    <col min="7425" max="7425" width="9.7109375" style="0" customWidth="1"/>
    <col min="7426" max="7428" width="10.57421875" style="0" customWidth="1"/>
    <col min="7429" max="7429" width="10.00390625" style="0" customWidth="1"/>
    <col min="7430" max="7431" width="9.140625" style="0" hidden="1" customWidth="1"/>
    <col min="7676" max="7676" width="3.7109375" style="0" customWidth="1"/>
    <col min="7677" max="7677" width="3.57421875" style="0" customWidth="1"/>
    <col min="7678" max="7678" width="3.421875" style="0" customWidth="1"/>
    <col min="7679" max="7679" width="40.28125" style="0" customWidth="1"/>
    <col min="7680" max="7680" width="10.28125" style="0" customWidth="1"/>
    <col min="7681" max="7681" width="9.7109375" style="0" customWidth="1"/>
    <col min="7682" max="7684" width="10.57421875" style="0" customWidth="1"/>
    <col min="7685" max="7685" width="10.00390625" style="0" customWidth="1"/>
    <col min="7686" max="7687" width="9.140625" style="0" hidden="1" customWidth="1"/>
    <col min="7932" max="7932" width="3.7109375" style="0" customWidth="1"/>
    <col min="7933" max="7933" width="3.57421875" style="0" customWidth="1"/>
    <col min="7934" max="7934" width="3.421875" style="0" customWidth="1"/>
    <col min="7935" max="7935" width="40.28125" style="0" customWidth="1"/>
    <col min="7936" max="7936" width="10.28125" style="0" customWidth="1"/>
    <col min="7937" max="7937" width="9.7109375" style="0" customWidth="1"/>
    <col min="7938" max="7940" width="10.57421875" style="0" customWidth="1"/>
    <col min="7941" max="7941" width="10.00390625" style="0" customWidth="1"/>
    <col min="7942" max="7943" width="9.140625" style="0" hidden="1" customWidth="1"/>
    <col min="8188" max="8188" width="3.7109375" style="0" customWidth="1"/>
    <col min="8189" max="8189" width="3.57421875" style="0" customWidth="1"/>
    <col min="8190" max="8190" width="3.421875" style="0" customWidth="1"/>
    <col min="8191" max="8191" width="40.28125" style="0" customWidth="1"/>
    <col min="8192" max="8192" width="10.28125" style="0" customWidth="1"/>
    <col min="8193" max="8193" width="9.7109375" style="0" customWidth="1"/>
    <col min="8194" max="8196" width="10.57421875" style="0" customWidth="1"/>
    <col min="8197" max="8197" width="10.00390625" style="0" customWidth="1"/>
    <col min="8198" max="8199" width="9.140625" style="0" hidden="1" customWidth="1"/>
    <col min="8444" max="8444" width="3.7109375" style="0" customWidth="1"/>
    <col min="8445" max="8445" width="3.57421875" style="0" customWidth="1"/>
    <col min="8446" max="8446" width="3.421875" style="0" customWidth="1"/>
    <col min="8447" max="8447" width="40.28125" style="0" customWidth="1"/>
    <col min="8448" max="8448" width="10.28125" style="0" customWidth="1"/>
    <col min="8449" max="8449" width="9.7109375" style="0" customWidth="1"/>
    <col min="8450" max="8452" width="10.57421875" style="0" customWidth="1"/>
    <col min="8453" max="8453" width="10.00390625" style="0" customWidth="1"/>
    <col min="8454" max="8455" width="9.140625" style="0" hidden="1" customWidth="1"/>
    <col min="8700" max="8700" width="3.7109375" style="0" customWidth="1"/>
    <col min="8701" max="8701" width="3.57421875" style="0" customWidth="1"/>
    <col min="8702" max="8702" width="3.421875" style="0" customWidth="1"/>
    <col min="8703" max="8703" width="40.28125" style="0" customWidth="1"/>
    <col min="8704" max="8704" width="10.28125" style="0" customWidth="1"/>
    <col min="8705" max="8705" width="9.7109375" style="0" customWidth="1"/>
    <col min="8706" max="8708" width="10.57421875" style="0" customWidth="1"/>
    <col min="8709" max="8709" width="10.00390625" style="0" customWidth="1"/>
    <col min="8710" max="8711" width="9.140625" style="0" hidden="1" customWidth="1"/>
    <col min="8956" max="8956" width="3.7109375" style="0" customWidth="1"/>
    <col min="8957" max="8957" width="3.57421875" style="0" customWidth="1"/>
    <col min="8958" max="8958" width="3.421875" style="0" customWidth="1"/>
    <col min="8959" max="8959" width="40.28125" style="0" customWidth="1"/>
    <col min="8960" max="8960" width="10.28125" style="0" customWidth="1"/>
    <col min="8961" max="8961" width="9.7109375" style="0" customWidth="1"/>
    <col min="8962" max="8964" width="10.57421875" style="0" customWidth="1"/>
    <col min="8965" max="8965" width="10.00390625" style="0" customWidth="1"/>
    <col min="8966" max="8967" width="9.140625" style="0" hidden="1" customWidth="1"/>
    <col min="9212" max="9212" width="3.7109375" style="0" customWidth="1"/>
    <col min="9213" max="9213" width="3.57421875" style="0" customWidth="1"/>
    <col min="9214" max="9214" width="3.421875" style="0" customWidth="1"/>
    <col min="9215" max="9215" width="40.28125" style="0" customWidth="1"/>
    <col min="9216" max="9216" width="10.28125" style="0" customWidth="1"/>
    <col min="9217" max="9217" width="9.7109375" style="0" customWidth="1"/>
    <col min="9218" max="9220" width="10.57421875" style="0" customWidth="1"/>
    <col min="9221" max="9221" width="10.00390625" style="0" customWidth="1"/>
    <col min="9222" max="9223" width="9.140625" style="0" hidden="1" customWidth="1"/>
    <col min="9468" max="9468" width="3.7109375" style="0" customWidth="1"/>
    <col min="9469" max="9469" width="3.57421875" style="0" customWidth="1"/>
    <col min="9470" max="9470" width="3.421875" style="0" customWidth="1"/>
    <col min="9471" max="9471" width="40.28125" style="0" customWidth="1"/>
    <col min="9472" max="9472" width="10.28125" style="0" customWidth="1"/>
    <col min="9473" max="9473" width="9.7109375" style="0" customWidth="1"/>
    <col min="9474" max="9476" width="10.57421875" style="0" customWidth="1"/>
    <col min="9477" max="9477" width="10.00390625" style="0" customWidth="1"/>
    <col min="9478" max="9479" width="9.140625" style="0" hidden="1" customWidth="1"/>
    <col min="9724" max="9724" width="3.7109375" style="0" customWidth="1"/>
    <col min="9725" max="9725" width="3.57421875" style="0" customWidth="1"/>
    <col min="9726" max="9726" width="3.421875" style="0" customWidth="1"/>
    <col min="9727" max="9727" width="40.28125" style="0" customWidth="1"/>
    <col min="9728" max="9728" width="10.28125" style="0" customWidth="1"/>
    <col min="9729" max="9729" width="9.7109375" style="0" customWidth="1"/>
    <col min="9730" max="9732" width="10.57421875" style="0" customWidth="1"/>
    <col min="9733" max="9733" width="10.00390625" style="0" customWidth="1"/>
    <col min="9734" max="9735" width="9.140625" style="0" hidden="1" customWidth="1"/>
    <col min="9980" max="9980" width="3.7109375" style="0" customWidth="1"/>
    <col min="9981" max="9981" width="3.57421875" style="0" customWidth="1"/>
    <col min="9982" max="9982" width="3.421875" style="0" customWidth="1"/>
    <col min="9983" max="9983" width="40.28125" style="0" customWidth="1"/>
    <col min="9984" max="9984" width="10.28125" style="0" customWidth="1"/>
    <col min="9985" max="9985" width="9.7109375" style="0" customWidth="1"/>
    <col min="9986" max="9988" width="10.57421875" style="0" customWidth="1"/>
    <col min="9989" max="9989" width="10.00390625" style="0" customWidth="1"/>
    <col min="9990" max="9991" width="9.140625" style="0" hidden="1" customWidth="1"/>
    <col min="10236" max="10236" width="3.7109375" style="0" customWidth="1"/>
    <col min="10237" max="10237" width="3.57421875" style="0" customWidth="1"/>
    <col min="10238" max="10238" width="3.421875" style="0" customWidth="1"/>
    <col min="10239" max="10239" width="40.28125" style="0" customWidth="1"/>
    <col min="10240" max="10240" width="10.28125" style="0" customWidth="1"/>
    <col min="10241" max="10241" width="9.7109375" style="0" customWidth="1"/>
    <col min="10242" max="10244" width="10.57421875" style="0" customWidth="1"/>
    <col min="10245" max="10245" width="10.00390625" style="0" customWidth="1"/>
    <col min="10246" max="10247" width="9.140625" style="0" hidden="1" customWidth="1"/>
    <col min="10492" max="10492" width="3.7109375" style="0" customWidth="1"/>
    <col min="10493" max="10493" width="3.57421875" style="0" customWidth="1"/>
    <col min="10494" max="10494" width="3.421875" style="0" customWidth="1"/>
    <col min="10495" max="10495" width="40.28125" style="0" customWidth="1"/>
    <col min="10496" max="10496" width="10.28125" style="0" customWidth="1"/>
    <col min="10497" max="10497" width="9.7109375" style="0" customWidth="1"/>
    <col min="10498" max="10500" width="10.57421875" style="0" customWidth="1"/>
    <col min="10501" max="10501" width="10.00390625" style="0" customWidth="1"/>
    <col min="10502" max="10503" width="9.140625" style="0" hidden="1" customWidth="1"/>
    <col min="10748" max="10748" width="3.7109375" style="0" customWidth="1"/>
    <col min="10749" max="10749" width="3.57421875" style="0" customWidth="1"/>
    <col min="10750" max="10750" width="3.421875" style="0" customWidth="1"/>
    <col min="10751" max="10751" width="40.28125" style="0" customWidth="1"/>
    <col min="10752" max="10752" width="10.28125" style="0" customWidth="1"/>
    <col min="10753" max="10753" width="9.7109375" style="0" customWidth="1"/>
    <col min="10754" max="10756" width="10.57421875" style="0" customWidth="1"/>
    <col min="10757" max="10757" width="10.00390625" style="0" customWidth="1"/>
    <col min="10758" max="10759" width="9.140625" style="0" hidden="1" customWidth="1"/>
    <col min="11004" max="11004" width="3.7109375" style="0" customWidth="1"/>
    <col min="11005" max="11005" width="3.57421875" style="0" customWidth="1"/>
    <col min="11006" max="11006" width="3.421875" style="0" customWidth="1"/>
    <col min="11007" max="11007" width="40.28125" style="0" customWidth="1"/>
    <col min="11008" max="11008" width="10.28125" style="0" customWidth="1"/>
    <col min="11009" max="11009" width="9.7109375" style="0" customWidth="1"/>
    <col min="11010" max="11012" width="10.57421875" style="0" customWidth="1"/>
    <col min="11013" max="11013" width="10.00390625" style="0" customWidth="1"/>
    <col min="11014" max="11015" width="9.140625" style="0" hidden="1" customWidth="1"/>
    <col min="11260" max="11260" width="3.7109375" style="0" customWidth="1"/>
    <col min="11261" max="11261" width="3.57421875" style="0" customWidth="1"/>
    <col min="11262" max="11262" width="3.421875" style="0" customWidth="1"/>
    <col min="11263" max="11263" width="40.28125" style="0" customWidth="1"/>
    <col min="11264" max="11264" width="10.28125" style="0" customWidth="1"/>
    <col min="11265" max="11265" width="9.7109375" style="0" customWidth="1"/>
    <col min="11266" max="11268" width="10.57421875" style="0" customWidth="1"/>
    <col min="11269" max="11269" width="10.00390625" style="0" customWidth="1"/>
    <col min="11270" max="11271" width="9.140625" style="0" hidden="1" customWidth="1"/>
    <col min="11516" max="11516" width="3.7109375" style="0" customWidth="1"/>
    <col min="11517" max="11517" width="3.57421875" style="0" customWidth="1"/>
    <col min="11518" max="11518" width="3.421875" style="0" customWidth="1"/>
    <col min="11519" max="11519" width="40.28125" style="0" customWidth="1"/>
    <col min="11520" max="11520" width="10.28125" style="0" customWidth="1"/>
    <col min="11521" max="11521" width="9.7109375" style="0" customWidth="1"/>
    <col min="11522" max="11524" width="10.57421875" style="0" customWidth="1"/>
    <col min="11525" max="11525" width="10.00390625" style="0" customWidth="1"/>
    <col min="11526" max="11527" width="9.140625" style="0" hidden="1" customWidth="1"/>
    <col min="11772" max="11772" width="3.7109375" style="0" customWidth="1"/>
    <col min="11773" max="11773" width="3.57421875" style="0" customWidth="1"/>
    <col min="11774" max="11774" width="3.421875" style="0" customWidth="1"/>
    <col min="11775" max="11775" width="40.28125" style="0" customWidth="1"/>
    <col min="11776" max="11776" width="10.28125" style="0" customWidth="1"/>
    <col min="11777" max="11777" width="9.7109375" style="0" customWidth="1"/>
    <col min="11778" max="11780" width="10.57421875" style="0" customWidth="1"/>
    <col min="11781" max="11781" width="10.00390625" style="0" customWidth="1"/>
    <col min="11782" max="11783" width="9.140625" style="0" hidden="1" customWidth="1"/>
    <col min="12028" max="12028" width="3.7109375" style="0" customWidth="1"/>
    <col min="12029" max="12029" width="3.57421875" style="0" customWidth="1"/>
    <col min="12030" max="12030" width="3.421875" style="0" customWidth="1"/>
    <col min="12031" max="12031" width="40.28125" style="0" customWidth="1"/>
    <col min="12032" max="12032" width="10.28125" style="0" customWidth="1"/>
    <col min="12033" max="12033" width="9.7109375" style="0" customWidth="1"/>
    <col min="12034" max="12036" width="10.57421875" style="0" customWidth="1"/>
    <col min="12037" max="12037" width="10.00390625" style="0" customWidth="1"/>
    <col min="12038" max="12039" width="9.140625" style="0" hidden="1" customWidth="1"/>
    <col min="12284" max="12284" width="3.7109375" style="0" customWidth="1"/>
    <col min="12285" max="12285" width="3.57421875" style="0" customWidth="1"/>
    <col min="12286" max="12286" width="3.421875" style="0" customWidth="1"/>
    <col min="12287" max="12287" width="40.28125" style="0" customWidth="1"/>
    <col min="12288" max="12288" width="10.28125" style="0" customWidth="1"/>
    <col min="12289" max="12289" width="9.7109375" style="0" customWidth="1"/>
    <col min="12290" max="12292" width="10.57421875" style="0" customWidth="1"/>
    <col min="12293" max="12293" width="10.00390625" style="0" customWidth="1"/>
    <col min="12294" max="12295" width="9.140625" style="0" hidden="1" customWidth="1"/>
    <col min="12540" max="12540" width="3.7109375" style="0" customWidth="1"/>
    <col min="12541" max="12541" width="3.57421875" style="0" customWidth="1"/>
    <col min="12542" max="12542" width="3.421875" style="0" customWidth="1"/>
    <col min="12543" max="12543" width="40.28125" style="0" customWidth="1"/>
    <col min="12544" max="12544" width="10.28125" style="0" customWidth="1"/>
    <col min="12545" max="12545" width="9.7109375" style="0" customWidth="1"/>
    <col min="12546" max="12548" width="10.57421875" style="0" customWidth="1"/>
    <col min="12549" max="12549" width="10.00390625" style="0" customWidth="1"/>
    <col min="12550" max="12551" width="9.140625" style="0" hidden="1" customWidth="1"/>
    <col min="12796" max="12796" width="3.7109375" style="0" customWidth="1"/>
    <col min="12797" max="12797" width="3.57421875" style="0" customWidth="1"/>
    <col min="12798" max="12798" width="3.421875" style="0" customWidth="1"/>
    <col min="12799" max="12799" width="40.28125" style="0" customWidth="1"/>
    <col min="12800" max="12800" width="10.28125" style="0" customWidth="1"/>
    <col min="12801" max="12801" width="9.7109375" style="0" customWidth="1"/>
    <col min="12802" max="12804" width="10.57421875" style="0" customWidth="1"/>
    <col min="12805" max="12805" width="10.00390625" style="0" customWidth="1"/>
    <col min="12806" max="12807" width="9.140625" style="0" hidden="1" customWidth="1"/>
    <col min="13052" max="13052" width="3.7109375" style="0" customWidth="1"/>
    <col min="13053" max="13053" width="3.57421875" style="0" customWidth="1"/>
    <col min="13054" max="13054" width="3.421875" style="0" customWidth="1"/>
    <col min="13055" max="13055" width="40.28125" style="0" customWidth="1"/>
    <col min="13056" max="13056" width="10.28125" style="0" customWidth="1"/>
    <col min="13057" max="13057" width="9.7109375" style="0" customWidth="1"/>
    <col min="13058" max="13060" width="10.57421875" style="0" customWidth="1"/>
    <col min="13061" max="13061" width="10.00390625" style="0" customWidth="1"/>
    <col min="13062" max="13063" width="9.140625" style="0" hidden="1" customWidth="1"/>
    <col min="13308" max="13308" width="3.7109375" style="0" customWidth="1"/>
    <col min="13309" max="13309" width="3.57421875" style="0" customWidth="1"/>
    <col min="13310" max="13310" width="3.421875" style="0" customWidth="1"/>
    <col min="13311" max="13311" width="40.28125" style="0" customWidth="1"/>
    <col min="13312" max="13312" width="10.28125" style="0" customWidth="1"/>
    <col min="13313" max="13313" width="9.7109375" style="0" customWidth="1"/>
    <col min="13314" max="13316" width="10.57421875" style="0" customWidth="1"/>
    <col min="13317" max="13317" width="10.00390625" style="0" customWidth="1"/>
    <col min="13318" max="13319" width="9.140625" style="0" hidden="1" customWidth="1"/>
    <col min="13564" max="13564" width="3.7109375" style="0" customWidth="1"/>
    <col min="13565" max="13565" width="3.57421875" style="0" customWidth="1"/>
    <col min="13566" max="13566" width="3.421875" style="0" customWidth="1"/>
    <col min="13567" max="13567" width="40.28125" style="0" customWidth="1"/>
    <col min="13568" max="13568" width="10.28125" style="0" customWidth="1"/>
    <col min="13569" max="13569" width="9.7109375" style="0" customWidth="1"/>
    <col min="13570" max="13572" width="10.57421875" style="0" customWidth="1"/>
    <col min="13573" max="13573" width="10.00390625" style="0" customWidth="1"/>
    <col min="13574" max="13575" width="9.140625" style="0" hidden="1" customWidth="1"/>
    <col min="13820" max="13820" width="3.7109375" style="0" customWidth="1"/>
    <col min="13821" max="13821" width="3.57421875" style="0" customWidth="1"/>
    <col min="13822" max="13822" width="3.421875" style="0" customWidth="1"/>
    <col min="13823" max="13823" width="40.28125" style="0" customWidth="1"/>
    <col min="13824" max="13824" width="10.28125" style="0" customWidth="1"/>
    <col min="13825" max="13825" width="9.7109375" style="0" customWidth="1"/>
    <col min="13826" max="13828" width="10.57421875" style="0" customWidth="1"/>
    <col min="13829" max="13829" width="10.00390625" style="0" customWidth="1"/>
    <col min="13830" max="13831" width="9.140625" style="0" hidden="1" customWidth="1"/>
    <col min="14076" max="14076" width="3.7109375" style="0" customWidth="1"/>
    <col min="14077" max="14077" width="3.57421875" style="0" customWidth="1"/>
    <col min="14078" max="14078" width="3.421875" style="0" customWidth="1"/>
    <col min="14079" max="14079" width="40.28125" style="0" customWidth="1"/>
    <col min="14080" max="14080" width="10.28125" style="0" customWidth="1"/>
    <col min="14081" max="14081" width="9.7109375" style="0" customWidth="1"/>
    <col min="14082" max="14084" width="10.57421875" style="0" customWidth="1"/>
    <col min="14085" max="14085" width="10.00390625" style="0" customWidth="1"/>
    <col min="14086" max="14087" width="9.140625" style="0" hidden="1" customWidth="1"/>
    <col min="14332" max="14332" width="3.7109375" style="0" customWidth="1"/>
    <col min="14333" max="14333" width="3.57421875" style="0" customWidth="1"/>
    <col min="14334" max="14334" width="3.421875" style="0" customWidth="1"/>
    <col min="14335" max="14335" width="40.28125" style="0" customWidth="1"/>
    <col min="14336" max="14336" width="10.28125" style="0" customWidth="1"/>
    <col min="14337" max="14337" width="9.7109375" style="0" customWidth="1"/>
    <col min="14338" max="14340" width="10.57421875" style="0" customWidth="1"/>
    <col min="14341" max="14341" width="10.00390625" style="0" customWidth="1"/>
    <col min="14342" max="14343" width="9.140625" style="0" hidden="1" customWidth="1"/>
    <col min="14588" max="14588" width="3.7109375" style="0" customWidth="1"/>
    <col min="14589" max="14589" width="3.57421875" style="0" customWidth="1"/>
    <col min="14590" max="14590" width="3.421875" style="0" customWidth="1"/>
    <col min="14591" max="14591" width="40.28125" style="0" customWidth="1"/>
    <col min="14592" max="14592" width="10.28125" style="0" customWidth="1"/>
    <col min="14593" max="14593" width="9.7109375" style="0" customWidth="1"/>
    <col min="14594" max="14596" width="10.57421875" style="0" customWidth="1"/>
    <col min="14597" max="14597" width="10.00390625" style="0" customWidth="1"/>
    <col min="14598" max="14599" width="9.140625" style="0" hidden="1" customWidth="1"/>
    <col min="14844" max="14844" width="3.7109375" style="0" customWidth="1"/>
    <col min="14845" max="14845" width="3.57421875" style="0" customWidth="1"/>
    <col min="14846" max="14846" width="3.421875" style="0" customWidth="1"/>
    <col min="14847" max="14847" width="40.28125" style="0" customWidth="1"/>
    <col min="14848" max="14848" width="10.28125" style="0" customWidth="1"/>
    <col min="14849" max="14849" width="9.7109375" style="0" customWidth="1"/>
    <col min="14850" max="14852" width="10.57421875" style="0" customWidth="1"/>
    <col min="14853" max="14853" width="10.00390625" style="0" customWidth="1"/>
    <col min="14854" max="14855" width="9.140625" style="0" hidden="1" customWidth="1"/>
    <col min="15100" max="15100" width="3.7109375" style="0" customWidth="1"/>
    <col min="15101" max="15101" width="3.57421875" style="0" customWidth="1"/>
    <col min="15102" max="15102" width="3.421875" style="0" customWidth="1"/>
    <col min="15103" max="15103" width="40.28125" style="0" customWidth="1"/>
    <col min="15104" max="15104" width="10.28125" style="0" customWidth="1"/>
    <col min="15105" max="15105" width="9.7109375" style="0" customWidth="1"/>
    <col min="15106" max="15108" width="10.57421875" style="0" customWidth="1"/>
    <col min="15109" max="15109" width="10.00390625" style="0" customWidth="1"/>
    <col min="15110" max="15111" width="9.140625" style="0" hidden="1" customWidth="1"/>
    <col min="15356" max="15356" width="3.7109375" style="0" customWidth="1"/>
    <col min="15357" max="15357" width="3.57421875" style="0" customWidth="1"/>
    <col min="15358" max="15358" width="3.421875" style="0" customWidth="1"/>
    <col min="15359" max="15359" width="40.28125" style="0" customWidth="1"/>
    <col min="15360" max="15360" width="10.28125" style="0" customWidth="1"/>
    <col min="15361" max="15361" width="9.7109375" style="0" customWidth="1"/>
    <col min="15362" max="15364" width="10.57421875" style="0" customWidth="1"/>
    <col min="15365" max="15365" width="10.00390625" style="0" customWidth="1"/>
    <col min="15366" max="15367" width="9.140625" style="0" hidden="1" customWidth="1"/>
    <col min="15612" max="15612" width="3.7109375" style="0" customWidth="1"/>
    <col min="15613" max="15613" width="3.57421875" style="0" customWidth="1"/>
    <col min="15614" max="15614" width="3.421875" style="0" customWidth="1"/>
    <col min="15615" max="15615" width="40.28125" style="0" customWidth="1"/>
    <col min="15616" max="15616" width="10.28125" style="0" customWidth="1"/>
    <col min="15617" max="15617" width="9.7109375" style="0" customWidth="1"/>
    <col min="15618" max="15620" width="10.57421875" style="0" customWidth="1"/>
    <col min="15621" max="15621" width="10.00390625" style="0" customWidth="1"/>
    <col min="15622" max="15623" width="9.140625" style="0" hidden="1" customWidth="1"/>
    <col min="15868" max="15868" width="3.7109375" style="0" customWidth="1"/>
    <col min="15869" max="15869" width="3.57421875" style="0" customWidth="1"/>
    <col min="15870" max="15870" width="3.421875" style="0" customWidth="1"/>
    <col min="15871" max="15871" width="40.28125" style="0" customWidth="1"/>
    <col min="15872" max="15872" width="10.28125" style="0" customWidth="1"/>
    <col min="15873" max="15873" width="9.7109375" style="0" customWidth="1"/>
    <col min="15874" max="15876" width="10.57421875" style="0" customWidth="1"/>
    <col min="15877" max="15877" width="10.00390625" style="0" customWidth="1"/>
    <col min="15878" max="15879" width="9.140625" style="0" hidden="1" customWidth="1"/>
    <col min="16124" max="16124" width="3.7109375" style="0" customWidth="1"/>
    <col min="16125" max="16125" width="3.57421875" style="0" customWidth="1"/>
    <col min="16126" max="16126" width="3.421875" style="0" customWidth="1"/>
    <col min="16127" max="16127" width="40.28125" style="0" customWidth="1"/>
    <col min="16128" max="16128" width="10.28125" style="0" customWidth="1"/>
    <col min="16129" max="16129" width="9.7109375" style="0" customWidth="1"/>
    <col min="16130" max="16132" width="10.57421875" style="0" customWidth="1"/>
    <col min="16133" max="16133" width="10.00390625" style="0" customWidth="1"/>
    <col min="16134" max="16135" width="9.140625" style="0" hidden="1" customWidth="1"/>
  </cols>
  <sheetData>
    <row r="1" spans="1:16" ht="12.75">
      <c r="A1" s="410" t="s">
        <v>537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2.75">
      <c r="A2" s="410" t="s">
        <v>538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2.75">
      <c r="A3" s="411" t="s">
        <v>477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12.7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5:16" ht="12.75">
      <c r="E5" s="409" t="s">
        <v>571</v>
      </c>
      <c r="F5" s="409"/>
      <c r="G5" s="409"/>
      <c r="H5" s="409"/>
      <c r="I5" s="409"/>
      <c r="J5" s="394" t="s">
        <v>572</v>
      </c>
      <c r="K5" s="409" t="s">
        <v>568</v>
      </c>
      <c r="L5" s="409"/>
      <c r="M5" s="394"/>
      <c r="N5" s="391"/>
      <c r="O5" s="74"/>
      <c r="P5" s="74"/>
    </row>
    <row r="6" spans="5:16" ht="12.75">
      <c r="E6" s="391" t="s">
        <v>172</v>
      </c>
      <c r="F6" s="391" t="s">
        <v>173</v>
      </c>
      <c r="G6" s="391" t="s">
        <v>174</v>
      </c>
      <c r="H6" s="391" t="s">
        <v>175</v>
      </c>
      <c r="I6" s="366" t="s">
        <v>176</v>
      </c>
      <c r="J6" s="391" t="s">
        <v>177</v>
      </c>
      <c r="K6" s="391" t="s">
        <v>286</v>
      </c>
      <c r="L6" s="391" t="s">
        <v>287</v>
      </c>
      <c r="M6" s="391"/>
      <c r="N6" s="393" t="s">
        <v>288</v>
      </c>
      <c r="O6" s="393"/>
      <c r="P6" s="395" t="s">
        <v>289</v>
      </c>
    </row>
    <row r="7" spans="1:16" ht="12.75">
      <c r="A7" s="53"/>
      <c r="B7" s="53"/>
      <c r="C7" s="53"/>
      <c r="D7" s="53"/>
      <c r="E7" s="393">
        <v>2012</v>
      </c>
      <c r="F7" s="393">
        <v>2013</v>
      </c>
      <c r="G7" s="393">
        <v>2014</v>
      </c>
      <c r="H7" s="393">
        <v>2015</v>
      </c>
      <c r="I7" s="396">
        <v>2016</v>
      </c>
      <c r="J7" s="393">
        <v>2017</v>
      </c>
      <c r="K7" s="393">
        <v>2018</v>
      </c>
      <c r="L7" s="393">
        <v>2019</v>
      </c>
      <c r="M7" s="393"/>
      <c r="N7" s="393" t="s">
        <v>536</v>
      </c>
      <c r="O7" s="393"/>
      <c r="P7" s="393" t="s">
        <v>570</v>
      </c>
    </row>
    <row r="8" spans="1:16" ht="12.75">
      <c r="A8" s="53">
        <v>1</v>
      </c>
      <c r="B8" s="53" t="s">
        <v>539</v>
      </c>
      <c r="C8" s="53"/>
      <c r="D8" s="53"/>
      <c r="E8" s="274">
        <v>203712</v>
      </c>
      <c r="F8" s="265">
        <v>201933.01797999998</v>
      </c>
      <c r="G8" s="265">
        <v>201344.82979999998</v>
      </c>
      <c r="H8" s="265">
        <v>200265.31733000002</v>
      </c>
      <c r="I8" s="268">
        <v>218716.583</v>
      </c>
      <c r="J8" s="265">
        <v>219002.628</v>
      </c>
      <c r="K8" s="268">
        <f>+'Modeling results'!B8</f>
        <v>317902</v>
      </c>
      <c r="L8" s="268">
        <f>+'Modeling results'!C8</f>
        <v>317916</v>
      </c>
      <c r="M8" s="53"/>
      <c r="N8" s="53"/>
      <c r="O8" s="53"/>
      <c r="P8" s="8"/>
    </row>
    <row r="9" spans="1:16" ht="12.75">
      <c r="A9" s="53">
        <v>2</v>
      </c>
      <c r="B9" s="53" t="s">
        <v>540</v>
      </c>
      <c r="C9" s="53"/>
      <c r="D9" s="53"/>
      <c r="E9" s="266"/>
      <c r="F9" s="265"/>
      <c r="G9" s="265"/>
      <c r="H9" s="274"/>
      <c r="I9" s="268"/>
      <c r="J9" s="274"/>
      <c r="K9" s="371"/>
      <c r="L9" s="371"/>
      <c r="M9" s="223"/>
      <c r="N9" s="53"/>
      <c r="O9" s="53"/>
      <c r="P9" s="8"/>
    </row>
    <row r="10" spans="1:16" ht="12.75">
      <c r="A10" s="53">
        <v>3</v>
      </c>
      <c r="B10" s="53"/>
      <c r="C10" s="53" t="s">
        <v>541</v>
      </c>
      <c r="D10" s="53"/>
      <c r="E10" s="265">
        <v>1611</v>
      </c>
      <c r="F10" s="265">
        <v>-26484.51888</v>
      </c>
      <c r="G10" s="265">
        <v>971.95</v>
      </c>
      <c r="H10" s="265">
        <v>716.35005</v>
      </c>
      <c r="I10" s="268">
        <v>733.69998</v>
      </c>
      <c r="J10" s="265">
        <v>300</v>
      </c>
      <c r="K10" s="268">
        <f>+'cost table'!D14</f>
        <v>1000</v>
      </c>
      <c r="L10" s="268">
        <f>+'cost table'!E14</f>
        <v>1000</v>
      </c>
      <c r="M10" s="53"/>
      <c r="N10" s="53"/>
      <c r="O10" s="53"/>
      <c r="P10" s="8"/>
    </row>
    <row r="11" spans="1:16" ht="12.75">
      <c r="A11" s="53">
        <v>4</v>
      </c>
      <c r="B11" s="53"/>
      <c r="C11" s="53" t="s">
        <v>227</v>
      </c>
      <c r="D11" s="53"/>
      <c r="E11" s="265">
        <v>285465</v>
      </c>
      <c r="F11" s="265">
        <v>235453.72478</v>
      </c>
      <c r="G11" s="265">
        <v>-20167.831439999998</v>
      </c>
      <c r="H11" s="274">
        <v>40552.9718</v>
      </c>
      <c r="I11" s="268">
        <v>43733.05539</v>
      </c>
      <c r="J11" s="274">
        <v>35089</v>
      </c>
      <c r="K11" s="371">
        <f>+'cost table'!D15+'cost table'!D74</f>
        <v>60931.195999999996</v>
      </c>
      <c r="L11" s="371">
        <f>+'cost table'!E15+'cost table'!E74</f>
        <v>41272.13</v>
      </c>
      <c r="M11" s="223"/>
      <c r="N11" s="53"/>
      <c r="O11" s="53"/>
      <c r="P11" s="8"/>
    </row>
    <row r="12" spans="1:16" ht="12.75">
      <c r="A12" s="53">
        <v>5</v>
      </c>
      <c r="B12" s="53"/>
      <c r="C12" s="53" t="s">
        <v>542</v>
      </c>
      <c r="D12" s="53"/>
      <c r="E12" s="265">
        <v>394155</v>
      </c>
      <c r="F12" s="265">
        <v>427000.78177000006</v>
      </c>
      <c r="G12" s="265">
        <v>387812.71608</v>
      </c>
      <c r="H12" s="274">
        <v>396842.37854</v>
      </c>
      <c r="I12" s="268">
        <v>354613.51085</v>
      </c>
      <c r="J12" s="265">
        <v>437970.718</v>
      </c>
      <c r="K12" s="371">
        <f>+'cost table'!D73+'cost table'!D5</f>
        <v>454882.5864999999</v>
      </c>
      <c r="L12" s="371">
        <f>+'cost table'!E5+'cost table'!E73</f>
        <v>665945.6315</v>
      </c>
      <c r="M12" s="53"/>
      <c r="N12" s="270">
        <f>AVERAGE(K12:L12)</f>
        <v>560414.1089999999</v>
      </c>
      <c r="O12" s="71" t="s">
        <v>365</v>
      </c>
      <c r="P12" s="267">
        <f>+N12-L12</f>
        <v>-105531.52250000008</v>
      </c>
    </row>
    <row r="13" spans="1:16" ht="12.75">
      <c r="A13" s="53">
        <v>6</v>
      </c>
      <c r="B13" s="53"/>
      <c r="C13" s="53" t="s">
        <v>231</v>
      </c>
      <c r="D13" s="53"/>
      <c r="E13" s="265">
        <v>158713</v>
      </c>
      <c r="F13" s="265">
        <v>170736.60737</v>
      </c>
      <c r="G13" s="265">
        <v>58394.67768</v>
      </c>
      <c r="H13" s="265">
        <v>59863.00639</v>
      </c>
      <c r="I13" s="268">
        <v>69102.49541</v>
      </c>
      <c r="J13" s="265">
        <v>59048</v>
      </c>
      <c r="K13" s="268">
        <f>+'cost table'!D75</f>
        <v>236157.935626</v>
      </c>
      <c r="L13" s="268">
        <f>+'cost table'!E75</f>
        <v>32139.091999999997</v>
      </c>
      <c r="M13" s="53"/>
      <c r="N13" s="273"/>
      <c r="O13" s="53"/>
      <c r="P13" s="267"/>
    </row>
    <row r="14" spans="1:16" ht="12.75">
      <c r="A14" s="53">
        <v>7</v>
      </c>
      <c r="B14" s="53"/>
      <c r="C14" s="53" t="s">
        <v>106</v>
      </c>
      <c r="D14" s="53"/>
      <c r="E14" s="265">
        <v>0</v>
      </c>
      <c r="F14" s="265">
        <v>0</v>
      </c>
      <c r="G14" s="265">
        <v>0</v>
      </c>
      <c r="H14" s="265">
        <v>0</v>
      </c>
      <c r="I14" s="268">
        <v>0</v>
      </c>
      <c r="J14" s="265">
        <v>0</v>
      </c>
      <c r="K14" s="268">
        <v>0</v>
      </c>
      <c r="L14" s="268">
        <v>0</v>
      </c>
      <c r="M14" s="71" t="s">
        <v>265</v>
      </c>
      <c r="N14" s="273"/>
      <c r="O14" s="53"/>
      <c r="P14" s="267"/>
    </row>
    <row r="15" spans="1:18" ht="12.75">
      <c r="A15" s="53">
        <v>8</v>
      </c>
      <c r="B15" s="53"/>
      <c r="C15" s="53" t="s">
        <v>543</v>
      </c>
      <c r="D15" s="53"/>
      <c r="E15" s="265">
        <v>0</v>
      </c>
      <c r="F15" s="265">
        <v>0</v>
      </c>
      <c r="G15" s="265">
        <v>0</v>
      </c>
      <c r="H15" s="265">
        <v>0</v>
      </c>
      <c r="I15" s="268">
        <v>0</v>
      </c>
      <c r="J15" s="265">
        <v>0</v>
      </c>
      <c r="K15" s="268">
        <v>0</v>
      </c>
      <c r="L15" s="268">
        <v>0</v>
      </c>
      <c r="M15" s="71" t="s">
        <v>265</v>
      </c>
      <c r="N15" s="273"/>
      <c r="O15" s="53"/>
      <c r="P15" s="267"/>
      <c r="R15" s="8"/>
    </row>
    <row r="16" spans="1:18" ht="12.75">
      <c r="A16" s="53">
        <v>9</v>
      </c>
      <c r="B16" s="53"/>
      <c r="C16" s="53" t="s">
        <v>544</v>
      </c>
      <c r="D16" s="53"/>
      <c r="E16" s="265">
        <v>194065</v>
      </c>
      <c r="F16" s="265">
        <v>194200.87425</v>
      </c>
      <c r="G16" s="265">
        <v>229824.78925</v>
      </c>
      <c r="H16" s="265">
        <v>93230.18662000001</v>
      </c>
      <c r="I16" s="268">
        <v>109539.58863</v>
      </c>
      <c r="J16" s="265">
        <v>79376.61</v>
      </c>
      <c r="K16" s="268">
        <f>+'Modeling results'!B12+'Modeling results'!B13</f>
        <v>60484</v>
      </c>
      <c r="L16" s="268">
        <f>+'Modeling results'!C12+'Modeling results'!C13</f>
        <v>54409</v>
      </c>
      <c r="M16" s="53"/>
      <c r="N16" s="273"/>
      <c r="O16" s="53"/>
      <c r="P16" s="267"/>
      <c r="R16" s="8"/>
    </row>
    <row r="17" spans="1:18" ht="12.75">
      <c r="A17" s="53">
        <v>10</v>
      </c>
      <c r="B17" s="53"/>
      <c r="C17" s="53" t="s">
        <v>83</v>
      </c>
      <c r="D17" s="53"/>
      <c r="E17" s="265">
        <v>2935</v>
      </c>
      <c r="F17" s="265">
        <v>3403.74734</v>
      </c>
      <c r="G17" s="265">
        <v>2749.89941</v>
      </c>
      <c r="H17" s="265">
        <v>3088.845</v>
      </c>
      <c r="I17" s="268">
        <v>2296.555</v>
      </c>
      <c r="J17" s="265">
        <v>2480</v>
      </c>
      <c r="K17" s="268">
        <f>+'cost table'!D16</f>
        <v>3100</v>
      </c>
      <c r="L17" s="268">
        <f>+'cost table'!E16</f>
        <v>3100</v>
      </c>
      <c r="M17" s="53"/>
      <c r="N17" s="273"/>
      <c r="O17" s="53"/>
      <c r="P17" s="267"/>
      <c r="R17" s="8"/>
    </row>
    <row r="18" spans="1:18" ht="12.75">
      <c r="A18" s="53">
        <v>11</v>
      </c>
      <c r="B18" s="53"/>
      <c r="C18" s="221" t="s">
        <v>545</v>
      </c>
      <c r="D18" s="53"/>
      <c r="E18" s="265">
        <v>8456</v>
      </c>
      <c r="F18" s="265">
        <v>23382.409</v>
      </c>
      <c r="G18" s="265">
        <v>4925.139</v>
      </c>
      <c r="H18" s="265">
        <v>24648.486</v>
      </c>
      <c r="I18" s="268">
        <v>22056.7594</v>
      </c>
      <c r="J18" s="265">
        <v>26582</v>
      </c>
      <c r="K18" s="268">
        <f>+'Modeling results'!B14</f>
        <v>37050.31286402777</v>
      </c>
      <c r="L18" s="268">
        <f>+'Modeling results'!C14</f>
        <v>42111.52050860555</v>
      </c>
      <c r="M18" s="53"/>
      <c r="N18" s="273"/>
      <c r="O18" s="53"/>
      <c r="P18" s="267"/>
      <c r="R18" s="8"/>
    </row>
    <row r="19" spans="1:18" ht="12.75">
      <c r="A19" s="53">
        <v>12</v>
      </c>
      <c r="C19" s="53" t="s">
        <v>546</v>
      </c>
      <c r="D19" s="53"/>
      <c r="E19" s="265">
        <v>-107</v>
      </c>
      <c r="F19" s="265">
        <v>0</v>
      </c>
      <c r="G19" s="265">
        <v>0</v>
      </c>
      <c r="H19" s="265">
        <v>0</v>
      </c>
      <c r="I19" s="268">
        <v>0</v>
      </c>
      <c r="J19" s="265">
        <v>0</v>
      </c>
      <c r="K19" s="268">
        <f>+'Modeling results'!B11</f>
        <v>0</v>
      </c>
      <c r="L19" s="268">
        <f>+'Modeling results'!C11</f>
        <v>12222</v>
      </c>
      <c r="M19" s="53"/>
      <c r="N19" s="270">
        <f>AVERAGE(K19:L19)</f>
        <v>6111</v>
      </c>
      <c r="O19" s="71" t="s">
        <v>365</v>
      </c>
      <c r="P19" s="267">
        <f>+N19-L19</f>
        <v>-6111</v>
      </c>
      <c r="R19" s="8"/>
    </row>
    <row r="20" spans="1:18" ht="12.75">
      <c r="A20" s="53">
        <v>13</v>
      </c>
      <c r="C20" s="53" t="s">
        <v>547</v>
      </c>
      <c r="D20" s="53"/>
      <c r="E20" s="265">
        <v>39335</v>
      </c>
      <c r="F20" s="265">
        <v>38535.77657</v>
      </c>
      <c r="G20" s="265">
        <v>32708.844390000002</v>
      </c>
      <c r="H20" s="265">
        <v>35614.496810000004</v>
      </c>
      <c r="I20" s="268">
        <v>29685.49164</v>
      </c>
      <c r="J20" s="268">
        <v>20807.353</v>
      </c>
      <c r="K20" s="268">
        <f>SUM('cost table'!D8:D12)+SUM('cost table'!D76:D77)</f>
        <v>21831.118000000002</v>
      </c>
      <c r="L20" s="268">
        <f>SUM('cost table'!E8:E12)+SUM('cost table'!E76:E77)</f>
        <v>22922.642</v>
      </c>
      <c r="M20" s="53"/>
      <c r="N20" s="273"/>
      <c r="O20" s="53"/>
      <c r="P20" s="267"/>
      <c r="R20" s="8"/>
    </row>
    <row r="21" spans="1:18" ht="12.75">
      <c r="A21" s="53">
        <v>14</v>
      </c>
      <c r="C21" s="53" t="s">
        <v>90</v>
      </c>
      <c r="D21" s="53"/>
      <c r="E21" s="265">
        <v>34036</v>
      </c>
      <c r="F21" s="265">
        <v>30462.67687</v>
      </c>
      <c r="G21" s="265">
        <v>35843.179200000006</v>
      </c>
      <c r="H21" s="265">
        <v>31464.18692</v>
      </c>
      <c r="I21" s="268">
        <v>36283.75352</v>
      </c>
      <c r="J21" s="265">
        <v>40341.322</v>
      </c>
      <c r="K21" s="268">
        <f>'IPR Data'!C24/1000</f>
        <v>38331.832</v>
      </c>
      <c r="L21" s="268">
        <f>'IPR Data'!D24/1000</f>
        <v>39059.891</v>
      </c>
      <c r="M21" s="71"/>
      <c r="N21" s="273"/>
      <c r="O21" s="53"/>
      <c r="P21" s="267"/>
      <c r="R21" s="8"/>
    </row>
    <row r="22" spans="1:18" ht="12.75">
      <c r="A22" s="53">
        <v>15</v>
      </c>
      <c r="C22" s="53" t="s">
        <v>548</v>
      </c>
      <c r="D22" s="53"/>
      <c r="E22" s="265">
        <v>0</v>
      </c>
      <c r="F22" s="265">
        <v>0</v>
      </c>
      <c r="G22" s="265">
        <v>0</v>
      </c>
      <c r="H22" s="265">
        <v>0</v>
      </c>
      <c r="I22" s="268">
        <v>0</v>
      </c>
      <c r="J22" s="265">
        <v>0</v>
      </c>
      <c r="K22" s="268">
        <v>0</v>
      </c>
      <c r="L22" s="268">
        <v>0</v>
      </c>
      <c r="M22" s="53"/>
      <c r="N22" s="273"/>
      <c r="O22" s="53"/>
      <c r="P22" s="267"/>
      <c r="R22" s="8"/>
    </row>
    <row r="23" spans="1:18" ht="12.75">
      <c r="A23" s="53">
        <v>16</v>
      </c>
      <c r="C23" s="221" t="s">
        <v>549</v>
      </c>
      <c r="D23" s="53"/>
      <c r="E23" s="373">
        <v>-61972</v>
      </c>
      <c r="F23" s="373">
        <v>-66587.3726</v>
      </c>
      <c r="G23" s="373">
        <v>-38280.91085</v>
      </c>
      <c r="H23" s="373">
        <v>-44503.79903</v>
      </c>
      <c r="I23" s="374">
        <v>-22063.685269999998</v>
      </c>
      <c r="J23" s="373">
        <v>-9212.442</v>
      </c>
      <c r="K23" s="374">
        <v>0</v>
      </c>
      <c r="L23" s="374">
        <v>0</v>
      </c>
      <c r="M23" s="71" t="s">
        <v>265</v>
      </c>
      <c r="N23" s="273"/>
      <c r="O23" s="53"/>
      <c r="P23" s="267"/>
      <c r="R23" s="8"/>
    </row>
    <row r="24" spans="1:18" ht="12.75">
      <c r="A24" s="53">
        <v>17</v>
      </c>
      <c r="B24" s="53" t="s">
        <v>550</v>
      </c>
      <c r="C24" s="53"/>
      <c r="D24" s="53"/>
      <c r="E24" s="373">
        <v>1056692</v>
      </c>
      <c r="F24" s="373">
        <v>1030104.7064700002</v>
      </c>
      <c r="G24" s="373">
        <v>694782.45272</v>
      </c>
      <c r="H24" s="373">
        <v>641517.1091000001</v>
      </c>
      <c r="I24" s="374">
        <f>SUM(I10:I23)</f>
        <v>645981.22455</v>
      </c>
      <c r="J24" s="374">
        <f>SUM(J10:J23)</f>
        <v>692782.561</v>
      </c>
      <c r="K24" s="374">
        <f>SUM(K10:K23)</f>
        <v>913768.9809900278</v>
      </c>
      <c r="L24" s="374">
        <f aca="true" t="shared" si="0" ref="L24">SUM(L10:L23)</f>
        <v>914181.9070086055</v>
      </c>
      <c r="M24" s="53"/>
      <c r="N24" s="265"/>
      <c r="O24" s="53"/>
      <c r="P24" s="267"/>
      <c r="R24" s="8"/>
    </row>
    <row r="25" spans="1:18" ht="12.75">
      <c r="A25" s="53">
        <v>18</v>
      </c>
      <c r="B25" s="53" t="s">
        <v>551</v>
      </c>
      <c r="C25" s="53"/>
      <c r="D25" s="53"/>
      <c r="E25" s="265">
        <v>1260404</v>
      </c>
      <c r="F25" s="265">
        <v>1232037.72445</v>
      </c>
      <c r="G25" s="265">
        <v>896127.2825199999</v>
      </c>
      <c r="H25" s="265">
        <v>841782.4264300001</v>
      </c>
      <c r="I25" s="268">
        <f aca="true" t="shared" si="1" ref="I25:L25">I24+I8</f>
        <v>864697.80755</v>
      </c>
      <c r="J25" s="268">
        <f>J24+J8</f>
        <v>911785.189</v>
      </c>
      <c r="K25" s="268">
        <f t="shared" si="1"/>
        <v>1231670.9809900278</v>
      </c>
      <c r="L25" s="268">
        <f t="shared" si="1"/>
        <v>1232097.9070086055</v>
      </c>
      <c r="M25" s="53"/>
      <c r="N25" s="270">
        <f>+N19+N12</f>
        <v>566525.1089999999</v>
      </c>
      <c r="O25" s="71" t="s">
        <v>365</v>
      </c>
      <c r="P25" s="269">
        <f>+P19+P12</f>
        <v>-111642.52250000008</v>
      </c>
      <c r="R25" s="8"/>
    </row>
    <row r="26" spans="2:18" ht="12.75">
      <c r="B26" s="53"/>
      <c r="D26" s="53"/>
      <c r="E26" s="265"/>
      <c r="F26" s="265"/>
      <c r="G26" s="265"/>
      <c r="H26" s="265"/>
      <c r="I26" s="268"/>
      <c r="J26" s="265"/>
      <c r="K26" s="268"/>
      <c r="L26" s="268"/>
      <c r="M26" s="53"/>
      <c r="N26" s="53"/>
      <c r="O26" s="53"/>
      <c r="P26" s="273"/>
      <c r="R26" s="8"/>
    </row>
    <row r="27" spans="1:18" ht="12.75">
      <c r="A27" s="53">
        <v>19</v>
      </c>
      <c r="B27" s="53" t="s">
        <v>552</v>
      </c>
      <c r="C27" s="53"/>
      <c r="D27" s="53"/>
      <c r="E27" s="265"/>
      <c r="F27" s="265"/>
      <c r="G27" s="265"/>
      <c r="H27" s="265"/>
      <c r="I27" s="268"/>
      <c r="J27" s="265"/>
      <c r="K27" s="268"/>
      <c r="L27" s="268"/>
      <c r="M27" s="53"/>
      <c r="N27" s="53"/>
      <c r="O27" s="53"/>
      <c r="P27" s="53"/>
      <c r="R27" s="8"/>
    </row>
    <row r="28" spans="1:18" ht="12.75">
      <c r="A28" s="53">
        <v>20</v>
      </c>
      <c r="B28" s="53"/>
      <c r="C28" s="53" t="s">
        <v>553</v>
      </c>
      <c r="D28" s="53"/>
      <c r="E28" s="265">
        <v>-35</v>
      </c>
      <c r="F28" s="265">
        <v>0</v>
      </c>
      <c r="G28" s="265">
        <v>0</v>
      </c>
      <c r="H28" s="265">
        <v>0</v>
      </c>
      <c r="I28" s="268">
        <v>0</v>
      </c>
      <c r="J28" s="265">
        <v>0</v>
      </c>
      <c r="K28" s="268">
        <v>0</v>
      </c>
      <c r="L28" s="268">
        <v>0</v>
      </c>
      <c r="M28" s="53"/>
      <c r="N28" s="53"/>
      <c r="O28" s="53"/>
      <c r="P28" s="53"/>
      <c r="R28" s="8"/>
    </row>
    <row r="29" spans="1:18" ht="12.75">
      <c r="A29" s="53">
        <v>21</v>
      </c>
      <c r="B29" s="53"/>
      <c r="C29" s="53" t="s">
        <v>554</v>
      </c>
      <c r="D29" s="53"/>
      <c r="E29" s="265">
        <v>17243</v>
      </c>
      <c r="F29" s="265">
        <v>17820.267640000002</v>
      </c>
      <c r="G29" s="265">
        <v>18501.029329999998</v>
      </c>
      <c r="H29" s="265">
        <v>18819</v>
      </c>
      <c r="I29" s="268">
        <v>17743.314</v>
      </c>
      <c r="J29" s="265">
        <v>14858.184</v>
      </c>
      <c r="K29" s="268">
        <f>+'IPR Data'!C58/1000</f>
        <v>14962.013</v>
      </c>
      <c r="L29" s="268">
        <f>+'IPR Data'!D58/1000</f>
        <v>15620.326</v>
      </c>
      <c r="M29" s="53"/>
      <c r="N29" s="53"/>
      <c r="O29" s="53"/>
      <c r="P29" s="53"/>
      <c r="R29" s="8"/>
    </row>
    <row r="30" spans="1:18" ht="12.75">
      <c r="A30" s="53">
        <v>22</v>
      </c>
      <c r="B30" s="53"/>
      <c r="C30" s="222" t="s">
        <v>555</v>
      </c>
      <c r="D30" s="53"/>
      <c r="E30" s="265">
        <v>50417</v>
      </c>
      <c r="F30" s="265">
        <v>50273.07198</v>
      </c>
      <c r="G30" s="265">
        <v>49247.10736</v>
      </c>
      <c r="H30" s="265">
        <v>49966.1219</v>
      </c>
      <c r="I30" s="268">
        <v>50697.727040000005</v>
      </c>
      <c r="J30" s="265">
        <v>50398.149</v>
      </c>
      <c r="K30" s="268">
        <f>('IPR Data'!C40+'IPR Data'!C50+'IPR Data'!C51+'IPR Data'!C52+'IPR Data'!C45+'IPR Data'!C46+'IPR Data'!C47+'IPR Data'!C49)/1000</f>
        <v>57655.392</v>
      </c>
      <c r="L30" s="268">
        <f>('IPR Data'!D40+'IPR Data'!D50+'IPR Data'!D51+'IPR Data'!D52+'IPR Data'!D45+'IPR Data'!D46+'IPR Data'!D47+'IPR Data'!D49)/1000</f>
        <v>60734.949</v>
      </c>
      <c r="M30" s="53"/>
      <c r="N30" s="53"/>
      <c r="O30" s="53"/>
      <c r="P30" s="53"/>
      <c r="R30" s="8"/>
    </row>
    <row r="31" spans="1:18" ht="12.75">
      <c r="A31" s="53">
        <v>23</v>
      </c>
      <c r="B31" s="53"/>
      <c r="C31" s="222" t="s">
        <v>556</v>
      </c>
      <c r="D31" s="53"/>
      <c r="E31" s="265">
        <v>13711</v>
      </c>
      <c r="F31" s="265">
        <v>14158.278839999999</v>
      </c>
      <c r="G31" s="265">
        <v>11545.30338</v>
      </c>
      <c r="H31" s="265">
        <v>12043.522509999999</v>
      </c>
      <c r="I31" s="268">
        <v>12608.210070000001</v>
      </c>
      <c r="J31" s="265">
        <v>13498.875</v>
      </c>
      <c r="K31" s="268">
        <f>+('IPR Data'!C44+'IPR Data'!C41+'IPR Data'!C48)/1000</f>
        <v>14174.242</v>
      </c>
      <c r="L31" s="268">
        <f>+('IPR Data'!D44+'IPR Data'!D41+'IPR Data'!D48)/1000</f>
        <v>14764.13</v>
      </c>
      <c r="M31" s="53"/>
      <c r="N31" s="53"/>
      <c r="O31" s="53"/>
      <c r="P31" s="53"/>
      <c r="R31" s="8"/>
    </row>
    <row r="32" spans="1:16" ht="12.75">
      <c r="A32" s="53">
        <v>24</v>
      </c>
      <c r="B32" s="53"/>
      <c r="C32" s="221" t="s">
        <v>557</v>
      </c>
      <c r="D32" s="53"/>
      <c r="E32" s="265">
        <v>15791</v>
      </c>
      <c r="F32" s="265">
        <v>14870.78415</v>
      </c>
      <c r="G32" s="265">
        <v>14861.301800000001</v>
      </c>
      <c r="H32" s="265">
        <v>15144.814199999999</v>
      </c>
      <c r="I32" s="268">
        <v>15357.525830000002</v>
      </c>
      <c r="J32" s="265">
        <v>16510.977</v>
      </c>
      <c r="K32" s="268">
        <f>+'IPR Data'!C42/1000+'IPR Data'!C43/1000</f>
        <v>18581.826999999997</v>
      </c>
      <c r="L32" s="268">
        <f>+'IPR Data'!D42/1000+'IPR Data'!D43/1000</f>
        <v>18819.989999999998</v>
      </c>
      <c r="M32" s="53"/>
      <c r="N32" s="53"/>
      <c r="O32" s="53"/>
      <c r="P32" s="53"/>
    </row>
    <row r="33" spans="1:16" ht="12.75">
      <c r="A33" s="53">
        <v>25</v>
      </c>
      <c r="B33" s="53"/>
      <c r="C33" s="221" t="s">
        <v>558</v>
      </c>
      <c r="D33" s="53"/>
      <c r="E33" s="265">
        <v>40209</v>
      </c>
      <c r="F33" s="265">
        <v>36078.47946</v>
      </c>
      <c r="G33" s="265">
        <v>37531.45584999999</v>
      </c>
      <c r="H33" s="265">
        <v>43432.47587</v>
      </c>
      <c r="I33" s="268">
        <v>123484.23318</v>
      </c>
      <c r="J33" s="265">
        <v>126891.023</v>
      </c>
      <c r="K33" s="268">
        <f>SUM('IPR Data'!C34/1000)</f>
        <v>126267.003</v>
      </c>
      <c r="L33" s="268">
        <f>SUM('IPR Data'!D34/1000)</f>
        <v>126187.079</v>
      </c>
      <c r="M33" s="53"/>
      <c r="N33" s="53"/>
      <c r="O33" s="53"/>
      <c r="P33" s="53"/>
    </row>
    <row r="34" spans="1:16" ht="12.75">
      <c r="A34" s="53">
        <v>26</v>
      </c>
      <c r="B34" s="53"/>
      <c r="C34" s="221" t="s">
        <v>38</v>
      </c>
      <c r="D34" s="53"/>
      <c r="E34" s="265">
        <v>9240</v>
      </c>
      <c r="F34" s="265">
        <v>10118.3311</v>
      </c>
      <c r="G34" s="265">
        <v>9726.6689</v>
      </c>
      <c r="H34" s="265">
        <v>9870.195</v>
      </c>
      <c r="I34" s="268">
        <v>10720</v>
      </c>
      <c r="J34" s="265">
        <v>11570</v>
      </c>
      <c r="K34" s="268">
        <f>+'cost table'!D61</f>
        <v>11624</v>
      </c>
      <c r="L34" s="268">
        <f>+'cost table'!E61</f>
        <v>11914</v>
      </c>
      <c r="M34" s="53"/>
      <c r="N34" s="53"/>
      <c r="O34" s="53"/>
      <c r="P34" s="53"/>
    </row>
    <row r="35" spans="1:16" ht="12.75">
      <c r="A35" s="53">
        <v>27</v>
      </c>
      <c r="B35" s="53"/>
      <c r="C35" s="221" t="s">
        <v>559</v>
      </c>
      <c r="D35" s="53"/>
      <c r="E35" s="265">
        <v>248957</v>
      </c>
      <c r="F35" s="265">
        <v>238983.52649000008</v>
      </c>
      <c r="G35" s="265">
        <v>231780.7613400001</v>
      </c>
      <c r="H35" s="265">
        <v>258177.21183</v>
      </c>
      <c r="I35" s="268">
        <v>258142.18993000005</v>
      </c>
      <c r="J35" s="265">
        <v>263869.329</v>
      </c>
      <c r="K35" s="268">
        <f>+'cost table'!D59</f>
        <v>276713.282</v>
      </c>
      <c r="L35" s="268">
        <f>+'cost table'!E59</f>
        <v>276703.668</v>
      </c>
      <c r="M35" s="53"/>
      <c r="N35" s="53"/>
      <c r="O35" s="53"/>
      <c r="P35" s="53"/>
    </row>
    <row r="36" spans="1:16" ht="12.75">
      <c r="A36" s="53">
        <v>28</v>
      </c>
      <c r="B36" s="53"/>
      <c r="C36" s="221" t="s">
        <v>39</v>
      </c>
      <c r="D36" s="53"/>
      <c r="E36" s="265">
        <v>0</v>
      </c>
      <c r="F36" s="265">
        <v>0</v>
      </c>
      <c r="G36" s="265">
        <v>0</v>
      </c>
      <c r="H36" s="265">
        <v>0</v>
      </c>
      <c r="I36" s="268">
        <v>0</v>
      </c>
      <c r="J36" s="265">
        <v>0</v>
      </c>
      <c r="K36" s="268">
        <v>0</v>
      </c>
      <c r="L36" s="268">
        <v>0</v>
      </c>
      <c r="M36" s="53"/>
      <c r="N36" s="53"/>
      <c r="O36" s="53"/>
      <c r="P36" s="53"/>
    </row>
    <row r="37" spans="1:16" ht="12.75">
      <c r="A37" s="53">
        <v>29</v>
      </c>
      <c r="B37" s="53"/>
      <c r="C37" s="221" t="s">
        <v>560</v>
      </c>
      <c r="D37" s="53"/>
      <c r="E37" s="265">
        <v>175873</v>
      </c>
      <c r="F37" s="265">
        <v>162351.353</v>
      </c>
      <c r="G37" s="265">
        <v>175477.26619</v>
      </c>
      <c r="H37" s="265">
        <v>160065.3945</v>
      </c>
      <c r="I37" s="268">
        <v>174913.14923999997</v>
      </c>
      <c r="J37" s="265">
        <v>220062.724</v>
      </c>
      <c r="K37" s="268">
        <f>'Revised Revenue Test'!E20</f>
        <v>215044.4701217253</v>
      </c>
      <c r="L37" s="268">
        <f>'Revised Revenue Test'!F20</f>
        <v>211640.23393102537</v>
      </c>
      <c r="M37" s="53"/>
      <c r="N37" s="53"/>
      <c r="O37" s="53"/>
      <c r="P37" s="53"/>
    </row>
    <row r="38" spans="1:16" ht="12.75">
      <c r="A38">
        <v>30</v>
      </c>
      <c r="B38" s="53"/>
      <c r="C38" s="221" t="s">
        <v>561</v>
      </c>
      <c r="D38" s="53"/>
      <c r="E38" s="265">
        <v>52789</v>
      </c>
      <c r="F38" s="265">
        <v>52107.9129</v>
      </c>
      <c r="G38" s="265">
        <v>58266.71016</v>
      </c>
      <c r="H38" s="265">
        <v>55693.26227000001</v>
      </c>
      <c r="I38" s="268">
        <v>60230.25401</v>
      </c>
      <c r="J38" s="265">
        <v>58261.282</v>
      </c>
      <c r="K38" s="268">
        <f>+'IPR Data'!C61/1000</f>
        <v>64391.225</v>
      </c>
      <c r="L38" s="268">
        <f>+'IPR Data'!D61/1000</f>
        <v>65796.266</v>
      </c>
      <c r="M38" s="53"/>
      <c r="N38" s="53"/>
      <c r="O38" s="53"/>
      <c r="P38" s="53"/>
    </row>
    <row r="39" spans="1:16" ht="12.75">
      <c r="A39" s="53">
        <v>31</v>
      </c>
      <c r="B39" s="53"/>
      <c r="C39" s="221" t="s">
        <v>4</v>
      </c>
      <c r="D39" s="53"/>
      <c r="E39" s="265">
        <v>206967</v>
      </c>
      <c r="F39" s="265">
        <v>208095.567</v>
      </c>
      <c r="G39" s="265">
        <v>223451.219</v>
      </c>
      <c r="H39" s="265">
        <v>230741.66176</v>
      </c>
      <c r="I39" s="268">
        <v>237966.18000000008</v>
      </c>
      <c r="J39" s="265">
        <v>243981</v>
      </c>
      <c r="K39" s="268">
        <f>+'cost table'!D7</f>
        <v>256057</v>
      </c>
      <c r="L39" s="268">
        <f>+'cost table'!E7</f>
        <v>256057</v>
      </c>
      <c r="M39" s="53"/>
      <c r="N39" s="53"/>
      <c r="O39" s="53"/>
      <c r="P39" s="53"/>
    </row>
    <row r="40" spans="1:16" ht="12.75">
      <c r="A40" s="53">
        <v>32</v>
      </c>
      <c r="B40" s="53"/>
      <c r="C40" s="221" t="s">
        <v>562</v>
      </c>
      <c r="D40" s="53"/>
      <c r="E40" s="265">
        <v>22000</v>
      </c>
      <c r="F40" s="265">
        <v>28700.061</v>
      </c>
      <c r="G40" s="265">
        <v>30960.022</v>
      </c>
      <c r="H40" s="265">
        <v>30930.388</v>
      </c>
      <c r="I40" s="268">
        <v>28645.34832</v>
      </c>
      <c r="J40" s="265">
        <v>31949.468</v>
      </c>
      <c r="K40" s="268">
        <f>+'IPR Data'!C54/1000</f>
        <v>33483.249</v>
      </c>
      <c r="L40" s="268">
        <f>+'IPR Data'!D54/1000</f>
        <v>33483.249</v>
      </c>
      <c r="M40" s="53"/>
      <c r="N40" s="53"/>
      <c r="O40" s="53"/>
      <c r="P40" s="53"/>
    </row>
    <row r="41" spans="1:16" ht="12.75">
      <c r="A41" s="53">
        <v>33</v>
      </c>
      <c r="B41" s="53"/>
      <c r="C41" s="221" t="s">
        <v>3</v>
      </c>
      <c r="D41" s="53"/>
      <c r="E41" s="265">
        <v>89005</v>
      </c>
      <c r="F41" s="265">
        <v>127115.961</v>
      </c>
      <c r="G41" s="265">
        <v>137694.856</v>
      </c>
      <c r="H41" s="265">
        <v>134283.964</v>
      </c>
      <c r="I41" s="268">
        <v>132756.286</v>
      </c>
      <c r="J41" s="265">
        <v>157621</v>
      </c>
      <c r="K41" s="268">
        <f>+'cost table'!D6</f>
        <v>164609</v>
      </c>
      <c r="L41" s="268">
        <f>+'cost table'!E6</f>
        <v>162623</v>
      </c>
      <c r="M41" s="53"/>
      <c r="N41" s="53"/>
      <c r="O41" s="53"/>
      <c r="P41" s="53"/>
    </row>
    <row r="42" spans="1:16" ht="12.75">
      <c r="A42" s="53">
        <v>34</v>
      </c>
      <c r="B42" s="53"/>
      <c r="C42" s="221" t="s">
        <v>563</v>
      </c>
      <c r="D42" s="53"/>
      <c r="E42" s="265">
        <v>20437</v>
      </c>
      <c r="F42" s="265">
        <v>22121.618</v>
      </c>
      <c r="G42" s="265">
        <v>19224.612</v>
      </c>
      <c r="H42" s="265">
        <v>18555.10604</v>
      </c>
      <c r="I42" s="268">
        <v>17495.51796</v>
      </c>
      <c r="J42" s="265">
        <v>16666.778</v>
      </c>
      <c r="K42" s="268">
        <f>+'cost table'!D13</f>
        <v>22612.478</v>
      </c>
      <c r="L42" s="268">
        <f>+'cost table'!E13</f>
        <v>22996.89</v>
      </c>
      <c r="M42" s="53"/>
      <c r="N42" s="53"/>
      <c r="O42" s="53"/>
      <c r="P42" s="53"/>
    </row>
    <row r="43" spans="1:16" ht="12.75">
      <c r="A43" s="53">
        <v>35</v>
      </c>
      <c r="B43" s="53"/>
      <c r="C43" s="221" t="s">
        <v>564</v>
      </c>
      <c r="D43" s="53"/>
      <c r="E43" s="265">
        <v>1757</v>
      </c>
      <c r="F43" s="265">
        <v>11.75533</v>
      </c>
      <c r="G43" s="265">
        <v>-1.6161</v>
      </c>
      <c r="H43" s="265">
        <v>5.68831</v>
      </c>
      <c r="I43" s="268">
        <v>4.00234</v>
      </c>
      <c r="J43" s="265">
        <v>-2.79</v>
      </c>
      <c r="K43" s="268">
        <v>0</v>
      </c>
      <c r="L43" s="268">
        <v>0</v>
      </c>
      <c r="M43" s="53"/>
      <c r="N43" s="53"/>
      <c r="O43" s="53"/>
      <c r="P43" s="53"/>
    </row>
    <row r="44" spans="1:16" ht="12.75">
      <c r="A44" s="53">
        <v>36</v>
      </c>
      <c r="B44" s="53"/>
      <c r="C44" s="221" t="s">
        <v>565</v>
      </c>
      <c r="D44" s="53"/>
      <c r="E44" s="373">
        <v>-1650</v>
      </c>
      <c r="F44" s="373">
        <v>-138.52768</v>
      </c>
      <c r="G44" s="373">
        <v>-997.67474</v>
      </c>
      <c r="H44" s="373">
        <v>-27804.35689</v>
      </c>
      <c r="I44" s="374">
        <v>-390.33713</v>
      </c>
      <c r="J44" s="373">
        <v>993.438</v>
      </c>
      <c r="K44" s="374">
        <f>+'cost table'!D69+'cost table'!D70+'cost table'!D71+'cost table'!D72</f>
        <v>-128728.35724599985</v>
      </c>
      <c r="L44" s="374">
        <f>+'cost table'!E69+'cost table'!E70+'cost table'!E71+'cost table'!E72</f>
        <v>-74167.95900000015</v>
      </c>
      <c r="M44" s="71"/>
      <c r="N44" s="53"/>
      <c r="O44" s="53"/>
      <c r="P44" s="53"/>
    </row>
    <row r="45" spans="1:16" ht="12.75">
      <c r="A45" s="53">
        <v>37</v>
      </c>
      <c r="B45" s="53" t="s">
        <v>566</v>
      </c>
      <c r="C45" s="53"/>
      <c r="D45" s="53"/>
      <c r="E45" s="265">
        <v>962711</v>
      </c>
      <c r="F45" s="265">
        <v>982668.44021</v>
      </c>
      <c r="G45" s="265">
        <v>1017269.0224700001</v>
      </c>
      <c r="H45" s="265">
        <v>1009924.4493000001</v>
      </c>
      <c r="I45" s="268">
        <v>1140373.60079</v>
      </c>
      <c r="J45" s="265">
        <v>1119663.630402225</v>
      </c>
      <c r="K45" s="268">
        <f aca="true" t="shared" si="2" ref="K45:L45">SUM(K28:K44)</f>
        <v>1147446.8238757253</v>
      </c>
      <c r="L45" s="268">
        <f t="shared" si="2"/>
        <v>1203172.821931025</v>
      </c>
      <c r="M45" s="53"/>
      <c r="N45" s="29"/>
      <c r="O45" s="53"/>
      <c r="P45" s="53"/>
    </row>
    <row r="46" spans="2:16" ht="12.75">
      <c r="B46" s="53"/>
      <c r="C46" s="53"/>
      <c r="D46" s="53"/>
      <c r="E46" s="265"/>
      <c r="F46" s="265"/>
      <c r="G46" s="265"/>
      <c r="H46" s="265"/>
      <c r="I46" s="268"/>
      <c r="J46" s="265"/>
      <c r="K46" s="265"/>
      <c r="L46" s="265"/>
      <c r="M46" s="53"/>
      <c r="N46" s="29"/>
      <c r="O46" s="53"/>
      <c r="P46" s="53"/>
    </row>
    <row r="47" spans="1:16" ht="12.75">
      <c r="A47" s="53">
        <v>38</v>
      </c>
      <c r="B47" s="53" t="s">
        <v>567</v>
      </c>
      <c r="C47" s="53"/>
      <c r="D47" s="53"/>
      <c r="E47" s="265">
        <v>2223115</v>
      </c>
      <c r="F47" s="265">
        <v>2214706.1646600002</v>
      </c>
      <c r="G47" s="265">
        <v>1913396.30499</v>
      </c>
      <c r="H47" s="265">
        <v>1851706.8757300002</v>
      </c>
      <c r="I47" s="265">
        <f>I25+I45</f>
        <v>2005071.40834</v>
      </c>
      <c r="J47" s="265">
        <v>2495843.4576603044</v>
      </c>
      <c r="K47" s="265">
        <f>K25+K45</f>
        <v>2379117.8048657533</v>
      </c>
      <c r="L47" s="265">
        <f>L25+L45</f>
        <v>2435270.7289396306</v>
      </c>
      <c r="M47" s="53"/>
      <c r="N47" s="29"/>
      <c r="O47" s="53"/>
      <c r="P47" s="53"/>
    </row>
    <row r="48" spans="1:9" ht="12.75" hidden="1">
      <c r="A48" s="53"/>
      <c r="F48" s="29"/>
      <c r="G48" s="29"/>
      <c r="H48" s="29"/>
      <c r="I48" s="32"/>
    </row>
    <row r="49" spans="1:9" ht="12.75" hidden="1">
      <c r="A49" s="53"/>
      <c r="F49" s="29"/>
      <c r="G49" s="29"/>
      <c r="H49" s="29"/>
      <c r="I49" s="32"/>
    </row>
    <row r="50" spans="1:9" ht="12.75">
      <c r="A50" s="53"/>
      <c r="E50" s="29"/>
      <c r="F50" s="29"/>
      <c r="G50" s="29"/>
      <c r="H50" s="29"/>
      <c r="I50" s="32"/>
    </row>
    <row r="51" spans="1:9" ht="12.75">
      <c r="A51" s="14" t="s">
        <v>265</v>
      </c>
      <c r="B51" t="s">
        <v>569</v>
      </c>
      <c r="E51" s="29"/>
      <c r="H51" s="29"/>
      <c r="I51" s="32"/>
    </row>
    <row r="52" spans="1:9" ht="12.75">
      <c r="A52" s="14" t="s">
        <v>365</v>
      </c>
      <c r="B52" t="s">
        <v>654</v>
      </c>
      <c r="E52" s="29"/>
      <c r="H52" s="29"/>
      <c r="I52" s="32"/>
    </row>
    <row r="53" spans="1:9" ht="12.75">
      <c r="A53" s="14"/>
      <c r="B53" t="s">
        <v>655</v>
      </c>
      <c r="H53" s="29"/>
      <c r="I53" s="32"/>
    </row>
    <row r="54" spans="1:9" ht="12.75">
      <c r="A54" s="14"/>
      <c r="B54" t="s">
        <v>656</v>
      </c>
      <c r="H54" s="29"/>
      <c r="I54" s="32"/>
    </row>
    <row r="55" ht="12.75">
      <c r="A55" s="14"/>
    </row>
    <row r="56" ht="12.75">
      <c r="A56" s="14"/>
    </row>
    <row r="57" ht="12.75">
      <c r="A57" s="14"/>
    </row>
  </sheetData>
  <mergeCells count="5">
    <mergeCell ref="K5:L5"/>
    <mergeCell ref="E5:I5"/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F87D683DDE499BA8FCA1E46A8DBD" ma:contentTypeVersion="0" ma:contentTypeDescription="Create a new document." ma:contentTypeScope="" ma:versionID="2ffc98c1ec6caa8422d730fe54b18d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F9F83-146C-4DA4-8F61-BD87AA8EC095}"/>
</file>

<file path=customXml/itemProps2.xml><?xml version="1.0" encoding="utf-8"?>
<ds:datastoreItem xmlns:ds="http://schemas.openxmlformats.org/officeDocument/2006/customXml" ds:itemID="{D45B1595-1136-40F5-8C27-E07D90D9F140}"/>
</file>

<file path=customXml/itemProps3.xml><?xml version="1.0" encoding="utf-8"?>
<ds:datastoreItem xmlns:ds="http://schemas.openxmlformats.org/officeDocument/2006/customXml" ds:itemID="{4AA18083-CEFB-4C7C-9C05-1BDAAD417006}"/>
</file>

<file path=customXml/itemProps4.xml><?xml version="1.0" encoding="utf-8"?>
<ds:datastoreItem xmlns:ds="http://schemas.openxmlformats.org/officeDocument/2006/customXml" ds:itemID="{FAD6C8F2-32B5-4F20-9935-C114A06D1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Alex Lennox</cp:lastModifiedBy>
  <cp:lastPrinted>2017-05-11T21:09:26Z</cp:lastPrinted>
  <dcterms:created xsi:type="dcterms:W3CDTF">2010-11-26T22:14:36Z</dcterms:created>
  <dcterms:modified xsi:type="dcterms:W3CDTF">2017-07-21T20:27:30Z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Excel WorkBook</vt:lpwstr>
  </property>
  <property fmtid="{D5CDD505-2E9C-101B-9397-08002B2CF9AE}" pid="3" name="ContentTypeId">
    <vt:lpwstr>0x01010047E4F87D683DDE499BA8FCA1E46A8DBD</vt:lpwstr>
  </property>
</Properties>
</file>