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375" windowWidth="19080" windowHeight="11535" activeTab="0"/>
  </bookViews>
  <sheets>
    <sheet name="Retained Provisional CHWM Calcs" sheetId="17" r:id="rId1"/>
    <sheet name="CDQ Adj for Retained Prov" sheetId="23" r:id="rId2"/>
    <sheet name="TOCA Updates" sheetId="21" r:id="rId3"/>
    <sheet name="SSL Updates" sheetId="22" r:id="rId4"/>
    <sheet name="CHWM_published" sheetId="18" r:id="rId5"/>
    <sheet name="Changes" sheetId="24" r:id="rId6"/>
  </sheets>
  <externalReferences>
    <externalReference r:id="rId9"/>
    <externalReference r:id="rId10"/>
  </externalReferences>
  <definedNames>
    <definedName name="CHWM">'[1]Init'!$B$6</definedName>
    <definedName name="clist">#REF!</definedName>
    <definedName name="cust">#REF!</definedName>
    <definedName name="cust_list">#REF!</definedName>
    <definedName name="custlist">#REF!</definedName>
    <definedName name="customerlist" localSheetId="0">'Retained Provisional CHWM Calcs'!$C$10:$C$50</definedName>
    <definedName name="customerlist">#REF!</definedName>
    <definedName name="LaRIS">#REF!</definedName>
    <definedName name="list">'Retained Provisional CHWM Calcs'!$C$10:$C$50</definedName>
    <definedName name="loadstart">'[1]Init'!$B$17</definedName>
    <definedName name="_xlnm.Print_Area" localSheetId="4">'CHWM_published'!$A$1:$AR$156</definedName>
    <definedName name="startmonth">'[2]Init'!$C$12</definedName>
    <definedName name="StudyName">#REF!</definedName>
    <definedName name="_xlnm.Print_Titles" localSheetId="2">'TOCA Updates'!$4:$5</definedName>
    <definedName name="_xlnm.Print_Titles" localSheetId="4">'CHWM_published'!$B:$D,'CHWM_published'!$1:$11</definedName>
  </definedNames>
  <calcPr calcId="162913"/>
</workbook>
</file>

<file path=xl/sharedStrings.xml><?xml version="1.0" encoding="utf-8"?>
<sst xmlns="http://schemas.openxmlformats.org/spreadsheetml/2006/main" count="935" uniqueCount="501">
  <si>
    <t>BES No</t>
  </si>
  <si>
    <t>Cus No</t>
  </si>
  <si>
    <t>aMW</t>
  </si>
  <si>
    <t>ASHLAND</t>
  </si>
  <si>
    <t>ASOTIN</t>
  </si>
  <si>
    <t>BENTON PUD</t>
  </si>
  <si>
    <t>BLACHLY-LANE</t>
  </si>
  <si>
    <t>CASCADE LOCKS</t>
  </si>
  <si>
    <t>CHEWELAH</t>
  </si>
  <si>
    <t>CLARK PUD</t>
  </si>
  <si>
    <t>CLATSKANIE PUD</t>
  </si>
  <si>
    <t>CLEARWATER</t>
  </si>
  <si>
    <t>COLUMBIA RIVER PUD</t>
  </si>
  <si>
    <t>COOS-CURRY</t>
  </si>
  <si>
    <t>COULEE DAM</t>
  </si>
  <si>
    <t>COWLITZ</t>
  </si>
  <si>
    <t>DECLO</t>
  </si>
  <si>
    <t>DOUGLAS ELEC COOP</t>
  </si>
  <si>
    <t>DRAIN</t>
  </si>
  <si>
    <t>ELLENSBURG</t>
  </si>
  <si>
    <t>EMERALD</t>
  </si>
  <si>
    <t>ENW</t>
  </si>
  <si>
    <t>EWEB</t>
  </si>
  <si>
    <t>FAIRCHILD</t>
  </si>
  <si>
    <t>FLATHEAD</t>
  </si>
  <si>
    <t>FOREST GROVE</t>
  </si>
  <si>
    <t>FRANKLIN PUD</t>
  </si>
  <si>
    <t>GRAYS HARBOR PUD</t>
  </si>
  <si>
    <t>IDAHO FALLS</t>
  </si>
  <si>
    <t>KLICKITAT PUD</t>
  </si>
  <si>
    <t>LAKEVIEW</t>
  </si>
  <si>
    <t>LEWIS PUD</t>
  </si>
  <si>
    <t>LINCOLN MT</t>
  </si>
  <si>
    <t>MASON PUD1</t>
  </si>
  <si>
    <t>MASON PUD3</t>
  </si>
  <si>
    <t>MCCLEARY</t>
  </si>
  <si>
    <t>MCMINNVILLE</t>
  </si>
  <si>
    <t>MILTON-FREEWATER</t>
  </si>
  <si>
    <t>MISSION VALLEY</t>
  </si>
  <si>
    <t>OKANOGAN PUD</t>
  </si>
  <si>
    <t>ORCAS</t>
  </si>
  <si>
    <t>OREGON TRAIL</t>
  </si>
  <si>
    <t>PACIFIC PUD</t>
  </si>
  <si>
    <t>PARKLAND</t>
  </si>
  <si>
    <t>PEND OREILLE PUD</t>
  </si>
  <si>
    <t>PLUMMER</t>
  </si>
  <si>
    <t>RAFT RIVER</t>
  </si>
  <si>
    <t>SALEM ELEC</t>
  </si>
  <si>
    <t>SEATTLE</t>
  </si>
  <si>
    <t>SNOHOMISH PUD</t>
  </si>
  <si>
    <t>SODA SPRINGS</t>
  </si>
  <si>
    <t>TACOMA</t>
  </si>
  <si>
    <t>WESTOREGON</t>
  </si>
  <si>
    <t>Total</t>
  </si>
  <si>
    <t>Notes:</t>
  </si>
  <si>
    <t>Customer Name</t>
  </si>
  <si>
    <t>CHWM</t>
  </si>
  <si>
    <t>YAKAMA</t>
  </si>
  <si>
    <t>Provisional CHWM Amount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</si>
  <si>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</si>
  <si>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</si>
  <si>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</si>
  <si>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</si>
  <si>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</si>
  <si>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</si>
  <si>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</si>
  <si>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</si>
  <si>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</si>
  <si>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</si>
  <si>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</si>
  <si>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</si>
  <si>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</si>
  <si>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</si>
  <si>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</si>
  <si>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</si>
  <si>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</si>
  <si>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</si>
  <si>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</si>
  <si>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</si>
  <si>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</si>
  <si>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</si>
  <si>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</si>
  <si>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</si>
  <si>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</si>
  <si>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</si>
  <si>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</si>
  <si>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</si>
  <si>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</si>
  <si>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</si>
  <si>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</si>
  <si>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</si>
  <si>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</si>
  <si>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</si>
  <si>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</si>
  <si>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</si>
  <si>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</si>
  <si>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</si>
  <si>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</si>
  <si>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</si>
  <si>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</si>
  <si>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</si>
  <si>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</si>
  <si>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</si>
  <si>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</si>
  <si>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</si>
  <si>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 xml:space="preserve">Notes:  </t>
  </si>
  <si>
    <t>Path 2</t>
  </si>
  <si>
    <t>Path 1</t>
  </si>
  <si>
    <t>TOCA 2014</t>
  </si>
  <si>
    <t>TOCA 2015</t>
  </si>
  <si>
    <t>Adjusted FY2013 Load</t>
  </si>
  <si>
    <t>Final CHWM</t>
  </si>
  <si>
    <t>Retained Provisional Load</t>
  </si>
  <si>
    <t>Current CHWM 1/</t>
  </si>
  <si>
    <t>Provisional Path 1 or Path 2</t>
  </si>
  <si>
    <t>1/ CHWMs and Provisional CHWMs from the 2011 CHWM Process with updates for 1) annexations and 2) Additional CHWM amounts for the tribes and DOE-Richland.</t>
  </si>
  <si>
    <t>Path 2 count:</t>
  </si>
  <si>
    <t>Path 1 count:</t>
  </si>
  <si>
    <t>Conservation (FY2011-FY2013)</t>
  </si>
  <si>
    <t>Path 2 Retained Provisional Load Calculation</t>
  </si>
  <si>
    <t>Adjusted FY2013 Load less Adjusted FY2010 Load</t>
  </si>
  <si>
    <t>Path 2 Retained Provisional Load</t>
  </si>
  <si>
    <t>Provisional Load Amount 2/</t>
  </si>
  <si>
    <t>Conservation (FY2007-FY2010) 3/</t>
  </si>
  <si>
    <t>Adjusted FY2010 Load 3/</t>
  </si>
  <si>
    <t>Path 1 Retained Provisional Load Calculation</t>
  </si>
  <si>
    <t>FY 2010 Measured Load</t>
  </si>
  <si>
    <t>FY2011-2013 12-month High less FY2010 Measured Load</t>
  </si>
  <si>
    <t>FY2011-2013 highest 12-month consecutive period</t>
  </si>
  <si>
    <t>Final CHWM Calculation</t>
  </si>
  <si>
    <t>Path 1 Retained Provisional Load</t>
  </si>
  <si>
    <t>Eligible Load 3/</t>
  </si>
  <si>
    <t>FY2013 Total Retail Load</t>
  </si>
  <si>
    <t>FY2013 Weather Normal</t>
  </si>
  <si>
    <t>FY2013 Remove Irrigation</t>
  </si>
  <si>
    <t>FY2013 Irrigation Adjusted</t>
  </si>
  <si>
    <t>FY2013 Measured Load</t>
  </si>
  <si>
    <t>Retained Provisional CHWM Amount 2/</t>
  </si>
  <si>
    <t>FY2013 Faulty Meter, NLSL, and/or Unauthorized or Anomalous Increases Adjustment</t>
  </si>
  <si>
    <t>2/ In the CHWM calculations, customers' Eligible Load was scaled for the Conservation Adjustment and the T1SFCO headroom.  The "Provisional Load Amount" is similarly scaled for the retained Provisional CHWM Amount (the ratio of the CHWM to Eligible Load).</t>
  </si>
  <si>
    <t>Since Yakama's Provisional CHWM amount is only from the USBIA Wapato, only USBIA Wapato's 2007-2010 conservation amount (0.000 aMW) is used in this calculation.</t>
  </si>
  <si>
    <t>Proposed Final Contract High Water Marks (CHWMs)</t>
  </si>
  <si>
    <t>Summary Table</t>
  </si>
  <si>
    <t># of customers</t>
  </si>
  <si>
    <t>Sum of Average FY2007-FY2008 Adjusted Load</t>
  </si>
  <si>
    <t>Sum of Eligible Load</t>
  </si>
  <si>
    <t>Sum of Additional CHWM</t>
  </si>
  <si>
    <t>Sum of FY2010 Adjusted Load</t>
  </si>
  <si>
    <t>Sum of Scaled Eligible Load</t>
  </si>
  <si>
    <t>Sum of New Publics</t>
  </si>
  <si>
    <t>Sum of Provisional Load Path #2</t>
  </si>
  <si>
    <t>Sum of Scaled Eligible Load adj Conservation</t>
  </si>
  <si>
    <t>Sum of Tribal Utility Load Growth</t>
  </si>
  <si>
    <t>Sum of Provisional Load Path #1</t>
  </si>
  <si>
    <t>Tier 1 System Firm Critical Output -- LaRIS Study 75</t>
  </si>
  <si>
    <t>n/a</t>
  </si>
  <si>
    <t>DOE Richland Load Growth</t>
  </si>
  <si>
    <t>Sum of Provisional CHWM</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</si>
  <si>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</si>
  <si>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</si>
  <si>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</si>
  <si>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</si>
  <si>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</si>
  <si>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</si>
  <si>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</si>
  <si>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</si>
  <si>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</si>
  <si>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</si>
  <si>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</si>
  <si>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</si>
  <si>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</si>
  <si>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</si>
  <si>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</si>
  <si>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</si>
  <si>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</si>
  <si>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</si>
  <si>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</si>
  <si>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</si>
  <si>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</si>
  <si>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</si>
  <si>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</si>
  <si>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</si>
  <si>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</si>
  <si>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</si>
  <si>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</si>
  <si>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</si>
  <si>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</si>
  <si>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</si>
  <si>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</si>
  <si>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</si>
  <si>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</si>
  <si>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</si>
  <si>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</si>
  <si>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</si>
  <si>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</si>
  <si>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</si>
  <si>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</si>
  <si>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</si>
  <si>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</si>
  <si>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</si>
  <si>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</si>
  <si>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FY2007</t>
  </si>
  <si>
    <t>FY2008</t>
  </si>
  <si>
    <t>Average</t>
  </si>
  <si>
    <t>FY2010</t>
  </si>
  <si>
    <t>Provisional Load Under
 Path 2</t>
  </si>
  <si>
    <t>Provisional Load Under 
Path 1</t>
  </si>
  <si>
    <t xml:space="preserve">CHWM </t>
  </si>
  <si>
    <t xml:space="preserve">Additional CHWM </t>
  </si>
  <si>
    <t>Existing Customer Name</t>
  </si>
  <si>
    <t>Total Retail Load 1/</t>
  </si>
  <si>
    <t>Faulty Meter, NLSL, and/or Unauhorized or Anomolous Increases Adjustment</t>
  </si>
  <si>
    <t>Weather Normal</t>
  </si>
  <si>
    <t>Remove Irrigation</t>
  </si>
  <si>
    <t>Irrigation Adjusted</t>
  </si>
  <si>
    <t>Measured Load</t>
  </si>
  <si>
    <t>Conservation
(FY2007)</t>
  </si>
  <si>
    <t>Adjusted FY2007 Load</t>
  </si>
  <si>
    <t>Conservation (FY2007-FY2008)</t>
  </si>
  <si>
    <t>Adjusted FY2008 Load</t>
  </si>
  <si>
    <t>Adjusted FY2007-FY2008 Load</t>
  </si>
  <si>
    <t>Conservation (FY2007-FY2010)</t>
  </si>
  <si>
    <t>Adjusted FY2010 Load</t>
  </si>
  <si>
    <t>Average Adjusted FY2007-FY2008 Load exceeds Adjusted FY2010 Load</t>
  </si>
  <si>
    <t>Path 1(a) or 1(b) Amounts</t>
  </si>
  <si>
    <t>FY2010 Measured Load</t>
  </si>
  <si>
    <t>Provisional Load</t>
  </si>
  <si>
    <t>CHWM Resources</t>
  </si>
  <si>
    <t>Eligible Load</t>
  </si>
  <si>
    <t>Scaled Eligible Load</t>
  </si>
  <si>
    <t>Credited Conservation FY2007-2010</t>
  </si>
  <si>
    <t>Scaled Eligible Load adj Credited Conservation</t>
  </si>
  <si>
    <t>CHWM (includes Provisional CHWM)</t>
  </si>
  <si>
    <t>Provisional CHWM 2/</t>
  </si>
  <si>
    <t>Additional CHWM 3/</t>
  </si>
  <si>
    <t>CHWM 
(includes Provisional CHWM and Additional CHWM)</t>
  </si>
  <si>
    <t>ALBION</t>
  </si>
  <si>
    <t>ALDER</t>
  </si>
  <si>
    <t>BANDON</t>
  </si>
  <si>
    <t>BENTON REA</t>
  </si>
  <si>
    <t>BIG BEND</t>
  </si>
  <si>
    <t>BLAINE</t>
  </si>
  <si>
    <t>BONNERS FERRY</t>
  </si>
  <si>
    <t>BURLEY</t>
  </si>
  <si>
    <t>CANBY</t>
  </si>
  <si>
    <t>CENTRAL ELEC COOP</t>
  </si>
  <si>
    <t xml:space="preserve"> </t>
  </si>
  <si>
    <t>CENTRAL LINCOLN PUD</t>
  </si>
  <si>
    <t>CENTRALIA</t>
  </si>
  <si>
    <t>CHENEY</t>
  </si>
  <si>
    <t>CLALLAM PUD</t>
  </si>
  <si>
    <t>COLUMBIA BASIN</t>
  </si>
  <si>
    <t>COLUMBIA POWER</t>
  </si>
  <si>
    <t>COLUMBIA REA</t>
  </si>
  <si>
    <t>CONSOLIDATED</t>
  </si>
  <si>
    <t>CONSUMERS</t>
  </si>
  <si>
    <t>EAST END</t>
  </si>
  <si>
    <t>EATONVILLE</t>
  </si>
  <si>
    <t>ELMHURST</t>
  </si>
  <si>
    <t>(47)</t>
  </si>
  <si>
    <t>FALL RIVER</t>
  </si>
  <si>
    <t>(48)</t>
  </si>
  <si>
    <t>FARMERS</t>
  </si>
  <si>
    <t>(49)</t>
  </si>
  <si>
    <t>FERRY PUD</t>
  </si>
  <si>
    <t>(50)</t>
  </si>
  <si>
    <t>(51)</t>
  </si>
  <si>
    <t>(52)</t>
  </si>
  <si>
    <t>(53)</t>
  </si>
  <si>
    <t xml:space="preserve">GLACIER </t>
  </si>
  <si>
    <t>(54)</t>
  </si>
  <si>
    <t>(55)</t>
  </si>
  <si>
    <t xml:space="preserve">HARNEY </t>
  </si>
  <si>
    <t>(56)</t>
  </si>
  <si>
    <t>HERMISTON</t>
  </si>
  <si>
    <t>(57)</t>
  </si>
  <si>
    <t>HEYBURN</t>
  </si>
  <si>
    <t>(58)</t>
  </si>
  <si>
    <t>HOOD RIVER</t>
  </si>
  <si>
    <t>(59)</t>
  </si>
  <si>
    <t>(60)</t>
  </si>
  <si>
    <t>IDAHO COUNTY LIGHT</t>
  </si>
  <si>
    <t>(61)</t>
  </si>
  <si>
    <t>INLAND</t>
  </si>
  <si>
    <t>(62)</t>
  </si>
  <si>
    <t>KITTITAS PUD</t>
  </si>
  <si>
    <t>(63)</t>
  </si>
  <si>
    <t>(64)</t>
  </si>
  <si>
    <t>KOOTENAI</t>
  </si>
  <si>
    <t>(65)</t>
  </si>
  <si>
    <t>(66)</t>
  </si>
  <si>
    <t xml:space="preserve">LANE </t>
  </si>
  <si>
    <t>(67)</t>
  </si>
  <si>
    <t>(68)</t>
  </si>
  <si>
    <t>(69)</t>
  </si>
  <si>
    <t>LOST RIVER</t>
  </si>
  <si>
    <t>(70)</t>
  </si>
  <si>
    <t>LOWER VALLEY</t>
  </si>
  <si>
    <t>(71)</t>
  </si>
  <si>
    <t>(72)</t>
  </si>
  <si>
    <t>(73)</t>
  </si>
  <si>
    <t>(74)</t>
  </si>
  <si>
    <t>(75)</t>
  </si>
  <si>
    <t>MIDSTATE</t>
  </si>
  <si>
    <t>(76)</t>
  </si>
  <si>
    <t>MILTON</t>
  </si>
  <si>
    <t>(77)</t>
  </si>
  <si>
    <t>(78)</t>
  </si>
  <si>
    <t>MINIDOKA</t>
  </si>
  <si>
    <t>(79)</t>
  </si>
  <si>
    <t>(80)</t>
  </si>
  <si>
    <t>MISSOULA</t>
  </si>
  <si>
    <t>(81)</t>
  </si>
  <si>
    <t>MODERN</t>
  </si>
  <si>
    <t>(82)</t>
  </si>
  <si>
    <t>MONMOUTH</t>
  </si>
  <si>
    <t>(83)</t>
  </si>
  <si>
    <t>NESPELEM</t>
  </si>
  <si>
    <t>(84)</t>
  </si>
  <si>
    <t>NO WASCO PUD</t>
  </si>
  <si>
    <t>(85)</t>
  </si>
  <si>
    <t>NORTHERN LIGHTS</t>
  </si>
  <si>
    <t>(86)</t>
  </si>
  <si>
    <t>OHOP</t>
  </si>
  <si>
    <t>(87)</t>
  </si>
  <si>
    <t>(88)</t>
  </si>
  <si>
    <t>OKANOGN ELEC COOP</t>
  </si>
  <si>
    <t>(89)</t>
  </si>
  <si>
    <t>(90)</t>
  </si>
  <si>
    <t>(91)</t>
  </si>
  <si>
    <t>(92)</t>
  </si>
  <si>
    <t>(93)</t>
  </si>
  <si>
    <t>(94)</t>
  </si>
  <si>
    <t>PENINSULA</t>
  </si>
  <si>
    <t>(95)</t>
  </si>
  <si>
    <t>(96)</t>
  </si>
  <si>
    <t>PORT ANGELES</t>
  </si>
  <si>
    <t>(97)</t>
  </si>
  <si>
    <t>PORT OF SEATTLE</t>
  </si>
  <si>
    <t>(98)</t>
  </si>
  <si>
    <t>(99)</t>
  </si>
  <si>
    <t>RAVALLI</t>
  </si>
  <si>
    <t>(100)</t>
  </si>
  <si>
    <t>RICHLAND</t>
  </si>
  <si>
    <t>(101)</t>
  </si>
  <si>
    <t>RIVERSIDE</t>
  </si>
  <si>
    <t>(102)</t>
  </si>
  <si>
    <t>RUPERT</t>
  </si>
  <si>
    <t>(103)</t>
  </si>
  <si>
    <t>(104)</t>
  </si>
  <si>
    <t>SALMON RIVER</t>
  </si>
  <si>
    <t>(105)</t>
  </si>
  <si>
    <t>(106)</t>
  </si>
  <si>
    <t>SKAMANIA PUD</t>
  </si>
  <si>
    <t>(107)</t>
  </si>
  <si>
    <t>(108)</t>
  </si>
  <si>
    <t>(109)</t>
  </si>
  <si>
    <t>SOUTH SIDE</t>
  </si>
  <si>
    <t>(110)</t>
  </si>
  <si>
    <t>SPRINGFIELD UTILITY BOARD</t>
  </si>
  <si>
    <t>(111)</t>
  </si>
  <si>
    <t>STEILACOOM</t>
  </si>
  <si>
    <t>(112)</t>
  </si>
  <si>
    <t>SUMAS</t>
  </si>
  <si>
    <t>(113)</t>
  </si>
  <si>
    <t>SURPRISE VALLEY</t>
  </si>
  <si>
    <t>(114)</t>
  </si>
  <si>
    <t>(115)</t>
  </si>
  <si>
    <t xml:space="preserve">TANNER </t>
  </si>
  <si>
    <t>(116)</t>
  </si>
  <si>
    <t>TILLAMOOK PUD</t>
  </si>
  <si>
    <t>(117)</t>
  </si>
  <si>
    <t>TROY</t>
  </si>
  <si>
    <t>(118)</t>
  </si>
  <si>
    <t>UMATILLA</t>
  </si>
  <si>
    <t>(119)</t>
  </si>
  <si>
    <t>UMPQUA</t>
  </si>
  <si>
    <t>(120)</t>
  </si>
  <si>
    <t>UNITED</t>
  </si>
  <si>
    <t>(121)</t>
  </si>
  <si>
    <t>USBIAWAPATO</t>
  </si>
  <si>
    <t>(122)</t>
  </si>
  <si>
    <t>USDOE ARC</t>
  </si>
  <si>
    <t>(123)</t>
  </si>
  <si>
    <t>USDOE RICH</t>
  </si>
  <si>
    <t>(124)</t>
  </si>
  <si>
    <t>USN BANGOR</t>
  </si>
  <si>
    <t>(125)</t>
  </si>
  <si>
    <t>USN JIMCRK</t>
  </si>
  <si>
    <t>(126)</t>
  </si>
  <si>
    <t>USN PUGET</t>
  </si>
  <si>
    <t>(127)</t>
  </si>
  <si>
    <t>VERA WATER AND POWER</t>
  </si>
  <si>
    <t>(128)</t>
  </si>
  <si>
    <t>VIGILANTE</t>
  </si>
  <si>
    <t>(129)</t>
  </si>
  <si>
    <t>WAHKIAKUM</t>
  </si>
  <si>
    <t>(130)</t>
  </si>
  <si>
    <t>WASCO</t>
  </si>
  <si>
    <t>(131)</t>
  </si>
  <si>
    <t>WEISER</t>
  </si>
  <si>
    <t>(132)</t>
  </si>
  <si>
    <t>WELLS</t>
  </si>
  <si>
    <t>(133)</t>
  </si>
  <si>
    <t>(134)</t>
  </si>
  <si>
    <t>WHATCOM PUD</t>
  </si>
  <si>
    <t>(135)</t>
  </si>
  <si>
    <t>(136)</t>
  </si>
  <si>
    <t>GRANT - GRAND COULEE</t>
  </si>
  <si>
    <t>(137)</t>
  </si>
  <si>
    <t>(138)</t>
  </si>
  <si>
    <t>New Public Name</t>
  </si>
  <si>
    <t>(139)</t>
  </si>
  <si>
    <t>JEFFERSON PUD 4/</t>
  </si>
  <si>
    <t>(140)</t>
  </si>
  <si>
    <t>(141)</t>
  </si>
  <si>
    <t>(142)</t>
  </si>
  <si>
    <t xml:space="preserve">Count if &gt; 0 </t>
  </si>
  <si>
    <t>(143)</t>
  </si>
  <si>
    <t>(144)</t>
  </si>
  <si>
    <t>(145)</t>
  </si>
  <si>
    <t xml:space="preserve">1/ FY2007, FY2008, and FY2010 Total Retail Load amounts are metered loads increased for the output of Behind-the-Meter Resources and reduced by the amount of wholesale power transactions.  </t>
  </si>
  <si>
    <t>(146)</t>
  </si>
  <si>
    <t>2/ Provisional CHWM amounts (column AN) are included in the CHWM amounts (column AM).</t>
  </si>
  <si>
    <t>(147)</t>
  </si>
  <si>
    <t xml:space="preserve">3/ Additional CHWM (column AP) means the sum of all CHWMs established for DOE-Richland, New Publics formed in whole or in part out of loads previously served by an entity other than an Existing Public, and load growth for New Tribal Utilities.  
</t>
  </si>
  <si>
    <t>(148)</t>
  </si>
  <si>
    <t>4/ Jefferson PUD's FY 2013 TRL Forecast used in the CHWM calculation includes Port Townsend Paper Company's (PTPC) Old Corrugated Cardboard (OCC) load (3.236 aMW).  BPA will conduct a separate review process to evaluate PTPC’s request to include the PTPC Unbleached Kraft Pulp and Paper load (approximately 17 aMW).  Jefferson PUD's CHWM will not be final until the conclusion of this review process</t>
  </si>
  <si>
    <t>4/ Yakama annexed the USBIA Wapato load in FY2011, and has also annexed additional load from Benton REA. Therefore, Yakama's CHWM and provisional CHWM amounts have been adjusted for these annexations from the originally calculated amounts.</t>
  </si>
  <si>
    <t>Yakama's provisional CHWM amount is due to the USBIA Wapato annexation.  USBIA Wapato's CHWM, as calculated in the 2011 CHWM process, was 1.846 aMW and its provisional CHWM amount was 0.032 aMW.</t>
  </si>
  <si>
    <t>Similarly, Yakama's Eligible Load includes the Eligible Load from Yakama (4.070 aMW), the USBIA Wapato (1.793 aMW), and the amount attributable to the annexed load from Benton REA (0.217 aMW = 0.228*(64.791/67.956)).</t>
  </si>
  <si>
    <t>From FY 2014-15 RHWM Process:</t>
  </si>
  <si>
    <t>Sum CHWM</t>
  </si>
  <si>
    <t>RT1SC</t>
  </si>
  <si>
    <t>Non-Slice TOCA 2014</t>
  </si>
  <si>
    <t>Non-Slice TOCA 2015</t>
  </si>
  <si>
    <t>Slice Percentage 2014</t>
  </si>
  <si>
    <t>Slice Percentage 2015</t>
  </si>
  <si>
    <t>Net Requirement 2014</t>
  </si>
  <si>
    <t>Updated RHWM</t>
  </si>
  <si>
    <t>HLH</t>
  </si>
  <si>
    <t>LLH</t>
  </si>
  <si>
    <t>FY 2014 Updated System Shaped Load (SSL)</t>
  </si>
  <si>
    <t>5/ A reduction to a customer's CHWM results in a change to its RHWM for FY 2014-15, and may result in a change to its TOCA and SSL.  See TRM section 4.1.9.  Such changes are effective retroactively to October 1, 2013.</t>
  </si>
  <si>
    <t xml:space="preserve">3/ Determined in the 2011 CHWM Process; these outputs are available at http://www.bpa.gov/power/pl/regionaldialogue/implementation/documents/#HW  </t>
  </si>
  <si>
    <t>In order to use a more accurate comparison to calculate retained Provisional Load, Yakama's Adjusted FY 2010 Load includes the 2010 load from Yakama (4.124 aMW), the USBIA Wapato load (1.969 aMW), and the annexed amount from Benton REA (0.228 aMW).</t>
  </si>
  <si>
    <t>Change to 2014 TOCA?</t>
  </si>
  <si>
    <t>Sum of RHWMs from FY 2014-15 RHWM Process</t>
  </si>
  <si>
    <t>RHWM Calculation</t>
  </si>
  <si>
    <t>Updated 
FY 2014-15 RHWM 5/</t>
  </si>
  <si>
    <t>Change in 
FY 2014-15 RHWM?</t>
  </si>
  <si>
    <t>Current TOCAs (last updated January 29, 2014) 1/</t>
  </si>
  <si>
    <t>1/ Current TOCAs are available at http://www.bpa.gov/Finance/RateCases/BP-14RateAdjustmentProceeding/Pages/Models-and-Datasets.aspx</t>
  </si>
  <si>
    <t>Updated FY 2014 TOCAs 2/</t>
  </si>
  <si>
    <t>2/ Updates to 2015 TOCAs will be calculated and published prior to the start of the fiscal year based on the updated RHWMs</t>
  </si>
  <si>
    <t>for customers with 2014 TOCA updates</t>
  </si>
  <si>
    <t>RT1SC for FY 2014-15*</t>
  </si>
  <si>
    <t>*Determined in the BP-14 rate case. Available in the TRM Billing Determinants Model at http://www.bpa.gov/Finance/RateCases/BP-14RateAdjustmentProceeding/Pages/Models-and-Datasets.aspx</t>
  </si>
  <si>
    <t>Customers with Provisional CHWM Amounts</t>
  </si>
  <si>
    <t>Current CHWM</t>
  </si>
  <si>
    <t xml:space="preserve">Provisional CHWM </t>
  </si>
  <si>
    <t>Amount</t>
  </si>
  <si>
    <t>Path</t>
  </si>
  <si>
    <t>Product</t>
  </si>
  <si>
    <t>Current CDQ (kW)</t>
  </si>
  <si>
    <t>CDQ Adjusted for Retained Provisional CHWM (kW)</t>
  </si>
  <si>
    <t>October</t>
  </si>
  <si>
    <t>November</t>
  </si>
  <si>
    <t>December</t>
  </si>
  <si>
    <t>January</t>
  </si>
  <si>
    <t>February</t>
  </si>
  <si>
    <t>March</t>
  </si>
  <si>
    <t>April</t>
  </si>
  <si>
    <t>May</t>
  </si>
  <si>
    <t>June</t>
  </si>
  <si>
    <t>July</t>
  </si>
  <si>
    <t>August</t>
  </si>
  <si>
    <t>September</t>
  </si>
  <si>
    <t>Slice</t>
  </si>
  <si>
    <t xml:space="preserve">CLARK PUD </t>
  </si>
  <si>
    <t xml:space="preserve">EWEB </t>
  </si>
  <si>
    <t xml:space="preserve">MISSION VALLEY </t>
  </si>
  <si>
    <t xml:space="preserve">OKANOGAN PUD </t>
  </si>
  <si>
    <t xml:space="preserve">OREGON TRAIL </t>
  </si>
  <si>
    <t>Slice&gt;Block</t>
  </si>
  <si>
    <t xml:space="preserve">RAFT RIVER </t>
  </si>
  <si>
    <t>YAKAMA Unadjusted</t>
  </si>
  <si>
    <t>USBIA Wapato (included in YAKAMA)</t>
  </si>
  <si>
    <t>USBIA Wapato Additions</t>
  </si>
  <si>
    <t>YAKAMA Adjusted</t>
  </si>
  <si>
    <t>PNGC Aggregate</t>
  </si>
  <si>
    <t>PNGC Member Provisional</t>
  </si>
  <si>
    <t xml:space="preserve">Comments can be viewed at: </t>
  </si>
  <si>
    <t>http://www.bpa.gov/applications/publiccomments/CommentList.aspx?ID=230</t>
  </si>
  <si>
    <t>List of Changes to Retained Provisional CHWM and CDQ Calculations since March 7, 2014 Draft Calculations:</t>
  </si>
  <si>
    <t>1) The Town of Coulee Dam's 2013 Total Retail Load has been adjusted to account for metering errors related to certain US Bureau of Reclamation loads.</t>
  </si>
  <si>
    <t>TOCA Calculations</t>
  </si>
  <si>
    <t>SSL Calculations</t>
  </si>
  <si>
    <t>FINAL Retained Provisional Load Calculations</t>
  </si>
  <si>
    <t>FINAL CDQ Adjustments for Retained Provisional CHWM</t>
  </si>
  <si>
    <t>Updated 4/7/14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</si>
</sst>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0_);_(* \(#,##0\);_(* &quot;-&quot;_);_(@_)"/>
    <numFmt numFmtId="44" formatCode="_(&quot;$&quot;* #,##0.00_);_(&quot;$&quot;* \(#,##0.00\);_(&quot;$&quot;* &quot;-&quot;??_);_(@_)"/>
    <numFmt numFmtId="43" formatCode="_(* #,##0.00_);_(* \(#,##0.00\);_(* &quot;-&quot;??_);_(@_)"/>
    <numFmt numFmtId="164" formatCode="0.000"/>
    <numFmt numFmtId="165" formatCode="#,##0.000"/>
    <numFmt numFmtId="166" formatCode="[$-409]mmmm\ d\,\ yyyy;@"/>
    <numFmt numFmtId="167" formatCode="_(* #,##0.0000000_);_(* \(#,##0.0000000\);_(* &quot;-&quot;??_);_(@_)"/>
    <numFmt numFmtId="168" formatCode="_(* #,##0.00_);\(* #,##0.00\);_(* &quot;-&quot;??_);_(@_)"/>
    <numFmt numFmtId="169" formatCode="#,##0.0_)\x;\(#,##0.0\)\x;0.0_)\x;@_)_x"/>
    <numFmt numFmtId="170" formatCode="#,##0.0_);\(#,##0.0\);#,##0.0_);@_)"/>
    <numFmt numFmtId="171" formatCode="&quot;$&quot;_(#,##0.00_);&quot;$&quot;\(#,##0.00\);&quot;$&quot;_(0.00_);@_)"/>
    <numFmt numFmtId="172" formatCode="#,##0.00_);\(#,##0.00\);0.00_);@_)"/>
    <numFmt numFmtId="173" formatCode="\€_(#,##0.00_);\€\(#,##0.00\);\€_(0.00_);@_)"/>
    <numFmt numFmtId="174" formatCode="0.0_)\%;\(0.0\)\%;0.0_)\%;@_)_%"/>
    <numFmt numFmtId="175" formatCode="#,##0.0_)_%;\(#,##0.0\)_%;0.0_)_%;@_)_%"/>
    <numFmt numFmtId="176" formatCode="#,##0.0_)_x;\(#,##0.0\)_x;0.0_)_x;@_)_x"/>
    <numFmt numFmtId="177" formatCode="0.000%;;"/>
    <numFmt numFmtId="178" formatCode="0.0000000"/>
    <numFmt numFmtId="179" formatCode="0_);\(0\)"/>
    <numFmt numFmtId="180" formatCode="_(* #,##0.0000000_);_(* \(#,##0.0000000\);_(* &quot;-&quot;????_);_(@_)"/>
    <numFmt numFmtId="181" formatCode="#,##0.0000000_);\(#,##0.0000000\)"/>
    <numFmt numFmtId="182" formatCode="_(* #,##0_);_(* \(#,##0\);_(* &quot;-&quot;??_);_(@_)"/>
  </numFmts>
  <fonts count="91">
    <font>
      <sz val="10"/>
      <name val="Arial"/>
      <family val="2"/>
    </font>
    <font>
      <sz val="10"/>
      <name val="Times New Roman"/>
      <family val="1"/>
    </font>
    <font>
      <u val="single"/>
      <sz val="10"/>
      <color indexed="12"/>
      <name val="Times New Roman"/>
      <family val="1"/>
    </font>
    <font>
      <sz val="8"/>
      <name val="Arial"/>
      <family val="2"/>
    </font>
    <font>
      <b/>
      <sz val="10"/>
      <name val="Arial"/>
      <family val="2"/>
    </font>
    <font>
      <sz val="10"/>
      <color indexed="10"/>
      <name val="Arial"/>
      <family val="2"/>
    </font>
    <font>
      <b/>
      <i/>
      <sz val="10"/>
      <name val="Arial"/>
      <family val="2"/>
    </font>
    <font>
      <sz val="11"/>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1"/>
      <color indexed="8"/>
      <name val="Calibri"/>
      <family val="2"/>
    </font>
    <font>
      <sz val="11"/>
      <color indexed="9"/>
      <name val="Arial"/>
      <family val="2"/>
    </font>
    <font>
      <sz val="10"/>
      <color indexed="9"/>
      <name val="Arial"/>
      <family val="2"/>
    </font>
    <font>
      <sz val="11"/>
      <color indexed="9"/>
      <name val="Calibri"/>
      <family val="2"/>
    </font>
    <font>
      <sz val="10"/>
      <color indexed="12"/>
      <name val="Arial"/>
      <family val="2"/>
    </font>
    <font>
      <sz val="11"/>
      <color indexed="20"/>
      <name val="Arial"/>
      <family val="2"/>
    </font>
    <font>
      <sz val="10"/>
      <color indexed="20"/>
      <name val="Arial"/>
      <family val="2"/>
    </font>
    <font>
      <sz val="11"/>
      <color indexed="20"/>
      <name val="Calibri"/>
      <family val="2"/>
    </font>
    <font>
      <b/>
      <sz val="11"/>
      <color indexed="52"/>
      <name val="Arial"/>
      <family val="2"/>
    </font>
    <font>
      <b/>
      <sz val="10"/>
      <color indexed="52"/>
      <name val="Arial"/>
      <family val="2"/>
    </font>
    <font>
      <b/>
      <sz val="11"/>
      <color indexed="52"/>
      <name val="Calibri"/>
      <family val="2"/>
    </font>
    <font>
      <b/>
      <sz val="11"/>
      <color indexed="9"/>
      <name val="Arial"/>
      <family val="2"/>
    </font>
    <font>
      <b/>
      <sz val="10"/>
      <color indexed="9"/>
      <name val="Arial"/>
      <family val="2"/>
    </font>
    <font>
      <b/>
      <sz val="11"/>
      <color indexed="9"/>
      <name val="Calibri"/>
      <family val="2"/>
    </font>
    <font>
      <sz val="8"/>
      <name val="Palatino"/>
      <family val="1"/>
    </font>
    <font>
      <sz val="12"/>
      <name val="Times New Roman"/>
      <family val="1"/>
    </font>
    <font>
      <i/>
      <sz val="11"/>
      <color indexed="23"/>
      <name val="Arial"/>
      <family val="2"/>
    </font>
    <font>
      <i/>
      <sz val="10"/>
      <color indexed="23"/>
      <name val="Arial"/>
      <family val="2"/>
    </font>
    <font>
      <i/>
      <sz val="11"/>
      <color indexed="23"/>
      <name val="Calibri"/>
      <family val="2"/>
    </font>
    <font>
      <sz val="8"/>
      <name val="Times New Roman"/>
      <family val="1"/>
    </font>
    <font>
      <sz val="11"/>
      <color indexed="17"/>
      <name val="Arial"/>
      <family val="2"/>
    </font>
    <font>
      <sz val="10"/>
      <color indexed="17"/>
      <name val="Arial"/>
      <family val="2"/>
    </font>
    <font>
      <sz val="11"/>
      <color indexed="17"/>
      <name val="Calibri"/>
      <family val="2"/>
    </font>
    <font>
      <sz val="6"/>
      <color indexed="16"/>
      <name val="Palatino"/>
      <family val="1"/>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10"/>
      <color indexed="12"/>
      <name val="Arial"/>
      <family val="2"/>
    </font>
    <font>
      <u val="single"/>
      <sz val="7.5"/>
      <color indexed="12"/>
      <name val="Arial"/>
      <family val="2"/>
    </font>
    <font>
      <sz val="11"/>
      <color indexed="62"/>
      <name val="Arial"/>
      <family val="2"/>
    </font>
    <font>
      <sz val="10"/>
      <color indexed="62"/>
      <name val="Arial"/>
      <family val="2"/>
    </font>
    <font>
      <sz val="11"/>
      <color indexed="62"/>
      <name val="Calibri"/>
      <family val="2"/>
    </font>
    <font>
      <sz val="11"/>
      <color indexed="52"/>
      <name val="Arial"/>
      <family val="2"/>
    </font>
    <font>
      <sz val="10"/>
      <color indexed="52"/>
      <name val="Arial"/>
      <family val="2"/>
    </font>
    <font>
      <sz val="11"/>
      <color indexed="52"/>
      <name val="Calibri"/>
      <family val="2"/>
    </font>
    <font>
      <sz val="11"/>
      <color indexed="60"/>
      <name val="Arial"/>
      <family val="2"/>
    </font>
    <font>
      <sz val="10"/>
      <color indexed="60"/>
      <name val="Arial"/>
      <family val="2"/>
    </font>
    <font>
      <sz val="11"/>
      <color indexed="60"/>
      <name val="Calibri"/>
      <family val="2"/>
    </font>
    <font>
      <b/>
      <sz val="11"/>
      <color indexed="63"/>
      <name val="Arial"/>
      <family val="2"/>
    </font>
    <font>
      <b/>
      <sz val="10"/>
      <color indexed="63"/>
      <name val="Arial"/>
      <family val="2"/>
    </font>
    <font>
      <b/>
      <sz val="11"/>
      <color indexed="63"/>
      <name val="Calibri"/>
      <family val="2"/>
    </font>
    <font>
      <sz val="10"/>
      <color indexed="16"/>
      <name val="Helvetica-Black"/>
      <family val="2"/>
    </font>
    <font>
      <sz val="10"/>
      <name val="MS Sans Serif"/>
      <family val="2"/>
    </font>
    <font>
      <b/>
      <sz val="10"/>
      <name val="MS Sans Serif"/>
      <family val="2"/>
    </font>
    <font>
      <sz val="8"/>
      <color indexed="8"/>
      <name val="Times New Roman"/>
      <family val="1"/>
    </font>
    <font>
      <b/>
      <i/>
      <sz val="10"/>
      <name val="Times New Roman"/>
      <family val="1"/>
    </font>
    <font>
      <b/>
      <sz val="9"/>
      <name val="Palatino"/>
      <family val="1"/>
    </font>
    <font>
      <sz val="9"/>
      <color indexed="21"/>
      <name val="Helvetica-Black"/>
      <family val="2"/>
    </font>
    <font>
      <b/>
      <sz val="8"/>
      <name val="Arial"/>
      <family val="2"/>
    </font>
    <font>
      <b/>
      <sz val="9"/>
      <name val="Arial"/>
      <family val="2"/>
    </font>
    <font>
      <b/>
      <sz val="18"/>
      <color indexed="56"/>
      <name val="Cambria"/>
      <family val="2"/>
    </font>
    <font>
      <b/>
      <sz val="11"/>
      <color indexed="8"/>
      <name val="Arial"/>
      <family val="2"/>
    </font>
    <font>
      <b/>
      <sz val="10"/>
      <color indexed="8"/>
      <name val="Arial"/>
      <family val="2"/>
    </font>
    <font>
      <b/>
      <sz val="11"/>
      <color indexed="8"/>
      <name val="Calibri"/>
      <family val="2"/>
    </font>
    <font>
      <sz val="11"/>
      <color indexed="10"/>
      <name val="Arial"/>
      <family val="2"/>
    </font>
    <font>
      <sz val="11"/>
      <color indexed="10"/>
      <name val="Calibri"/>
      <family val="2"/>
    </font>
    <font>
      <b/>
      <sz val="12"/>
      <name val="Arial"/>
      <family val="2"/>
    </font>
    <font>
      <sz val="10"/>
      <color indexed="55"/>
      <name val="Arial"/>
      <family val="2"/>
    </font>
    <font>
      <b/>
      <sz val="16"/>
      <name val="Arial"/>
      <family val="2"/>
    </font>
    <font>
      <sz val="12"/>
      <name val="Arial"/>
      <family val="2"/>
    </font>
    <font>
      <i/>
      <sz val="12"/>
      <name val="Arial"/>
      <family val="2"/>
    </font>
    <font>
      <b/>
      <sz val="14"/>
      <name val="Times New Roman"/>
      <family val="1"/>
    </font>
    <font>
      <b/>
      <sz val="10"/>
      <name val="Times New Roman"/>
      <family val="1"/>
    </font>
    <font>
      <i/>
      <sz val="10"/>
      <name val="Times New Roman"/>
      <family val="1"/>
    </font>
    <font>
      <sz val="10"/>
      <color indexed="55"/>
      <name val="Times New Roman"/>
      <family val="1"/>
    </font>
    <font>
      <sz val="11"/>
      <color theme="1"/>
      <name val="Calibri"/>
      <family val="2"/>
      <scheme val="minor"/>
    </font>
    <font>
      <sz val="10"/>
      <color theme="0" tint="-0.3499799966812134"/>
      <name val="Arial"/>
      <family val="2"/>
    </font>
    <font>
      <sz val="12"/>
      <color theme="0" tint="-0.3499799966812134"/>
      <name val="Arial"/>
      <family val="2"/>
    </font>
    <font>
      <b/>
      <sz val="16"/>
      <color theme="1"/>
      <name val="Calibri"/>
      <family val="2"/>
      <scheme val="minor"/>
    </font>
    <font>
      <b/>
      <sz val="14"/>
      <color theme="1"/>
      <name val="Calibri"/>
      <family val="2"/>
      <scheme val="minor"/>
    </font>
    <font>
      <b/>
      <sz val="11"/>
      <color theme="1"/>
      <name val="Calibri"/>
      <family val="2"/>
      <scheme val="minor"/>
    </font>
    <font>
      <sz val="11"/>
      <name val="Calibri"/>
      <family val="2"/>
      <scheme val="minor"/>
    </font>
    <font>
      <b/>
      <sz val="11"/>
      <name val="Calibri"/>
      <family val="2"/>
      <scheme val="minor"/>
    </font>
    <font>
      <u val="single"/>
      <sz val="11"/>
      <color indexed="12"/>
      <name val="Calibri"/>
      <family val="2"/>
      <scheme val="minor"/>
    </font>
  </fonts>
  <fills count="32">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
      <patternFill patternType="lightGray"/>
    </fill>
  </fills>
  <borders count="59">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bottom style="thin"/>
    </border>
    <border>
      <left/>
      <right/>
      <top style="thin">
        <color indexed="62"/>
      </top>
      <bottom style="double">
        <color indexed="62"/>
      </bottom>
    </border>
    <border>
      <left style="thin"/>
      <right style="medium"/>
      <top style="thin"/>
      <bottom style="medium"/>
    </border>
    <border>
      <left style="medium"/>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top style="thin"/>
      <bottom style="medium"/>
    </border>
    <border>
      <left style="thin"/>
      <right/>
      <top style="thin"/>
      <bottom style="thin"/>
    </border>
    <border>
      <left style="medium"/>
      <right style="thin"/>
      <top/>
      <bottom style="thin"/>
    </border>
    <border>
      <left style="thin"/>
      <right style="thin"/>
      <top/>
      <bottom style="thin"/>
    </border>
    <border>
      <left style="thin"/>
      <right style="medium"/>
      <top/>
      <bottom style="thin"/>
    </border>
    <border>
      <left style="thin"/>
      <right style="thin"/>
      <top style="thin"/>
      <bottom style="double"/>
    </border>
    <border>
      <left style="thin"/>
      <right/>
      <top style="thin"/>
      <bottom style="double"/>
    </border>
    <border>
      <left style="medium"/>
      <right style="thin"/>
      <top style="thin"/>
      <bottom style="double"/>
    </border>
    <border>
      <left style="thin"/>
      <right style="medium"/>
      <top style="thin"/>
      <bottom style="double"/>
    </border>
    <border>
      <left style="medium"/>
      <right/>
      <top/>
      <bottom/>
    </border>
    <border>
      <left/>
      <right/>
      <top style="double"/>
      <bottom style="thin"/>
    </border>
    <border>
      <left/>
      <right style="medium"/>
      <top style="double"/>
      <bottom style="thin"/>
    </border>
    <border>
      <left/>
      <right style="medium"/>
      <top/>
      <bottom/>
    </border>
    <border>
      <left style="medium"/>
      <right/>
      <top/>
      <bottom style="medium"/>
    </border>
    <border>
      <left/>
      <right style="medium"/>
      <top/>
      <bottom style="medium"/>
    </border>
    <border>
      <left style="medium"/>
      <right style="medium"/>
      <top style="medium"/>
      <bottom style="medium"/>
    </border>
    <border>
      <left/>
      <right/>
      <top style="thin"/>
      <bottom style="thin"/>
    </border>
    <border>
      <left style="medium"/>
      <right style="medium"/>
      <top/>
      <bottom style="thin"/>
    </border>
    <border>
      <left/>
      <right style="thin"/>
      <top/>
      <bottom/>
    </border>
    <border>
      <left style="medium"/>
      <right style="medium"/>
      <top style="thin"/>
      <bottom style="medium"/>
    </border>
    <border>
      <left style="medium"/>
      <right style="medium"/>
      <top style="thin"/>
      <bottom style="thin"/>
    </border>
    <border>
      <left style="medium"/>
      <right style="medium"/>
      <top style="thin"/>
      <bottom style="double"/>
    </border>
    <border>
      <left style="thin"/>
      <right/>
      <top/>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top style="medium"/>
      <bottom style="thin"/>
    </border>
    <border>
      <left style="medium"/>
      <right/>
      <top style="medium"/>
      <bottom style="thin"/>
    </border>
    <border>
      <left/>
      <right/>
      <top style="medium"/>
      <bottom style="thin"/>
    </border>
    <border>
      <left/>
      <right style="medium"/>
      <top style="medium"/>
      <bottom style="thin"/>
    </border>
    <border>
      <left/>
      <right style="thin"/>
      <top style="thin"/>
      <bottom style="thin"/>
    </border>
    <border>
      <left style="medium"/>
      <right/>
      <top style="medium"/>
      <bottom style="double"/>
    </border>
    <border>
      <left/>
      <right/>
      <top style="medium"/>
      <bottom style="double"/>
    </border>
    <border>
      <left/>
      <right style="medium"/>
      <top style="medium"/>
      <bottom style="double"/>
    </border>
    <border>
      <left style="medium"/>
      <right style="thin"/>
      <top style="medium"/>
      <bottom style="medium"/>
    </border>
    <border>
      <left style="thin"/>
      <right style="thin"/>
      <top style="medium"/>
      <bottom style="medium"/>
    </border>
    <border>
      <left style="thin"/>
      <right style="medium"/>
      <top style="medium"/>
      <bottom style="medium"/>
    </border>
  </borders>
  <cellStyleXfs count="3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3" fillId="2" borderId="0" applyNumberFormat="0" applyFont="0" applyAlignment="0" applyProtection="0"/>
    <xf numFmtId="0" fontId="3" fillId="2" borderId="0" applyNumberFormat="0" applyFont="0" applyAlignment="0" applyProtection="0"/>
    <xf numFmtId="0" fontId="3" fillId="2" borderId="0" applyNumberFormat="0" applyFont="0" applyAlignment="0" applyProtection="0"/>
    <xf numFmtId="0" fontId="3" fillId="2" borderId="0" applyNumberFormat="0" applyFont="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6" fontId="3" fillId="0" borderId="0" applyFont="0" applyFill="0" applyBorder="0" applyProtection="0">
      <alignment horizontal="right"/>
    </xf>
    <xf numFmtId="176" fontId="3" fillId="0" borderId="0" applyFont="0" applyFill="0" applyBorder="0" applyProtection="0">
      <alignment horizontal="right"/>
    </xf>
    <xf numFmtId="176" fontId="3" fillId="0" borderId="0" applyFont="0" applyFill="0" applyBorder="0" applyProtection="0">
      <alignment horizontal="right"/>
    </xf>
    <xf numFmtId="176" fontId="3" fillId="0" borderId="0" applyFont="0" applyFill="0" applyBorder="0" applyProtection="0">
      <alignment horizontal="right"/>
    </xf>
    <xf numFmtId="0" fontId="9" fillId="0" borderId="0" applyNumberFormat="0" applyFill="0" applyBorder="0" applyProtection="0">
      <alignment vertical="top"/>
    </xf>
    <xf numFmtId="0" fontId="10" fillId="0" borderId="1" applyNumberFormat="0" applyFill="0" applyAlignment="0" applyProtection="0"/>
    <xf numFmtId="0" fontId="11" fillId="0" borderId="2"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7" fillId="3" borderId="0" applyNumberFormat="0" applyBorder="0" applyAlignment="0" applyProtection="0"/>
    <xf numFmtId="0" fontId="13"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7" fillId="4"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7" fillId="5"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7"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7" fillId="7" borderId="0" applyNumberFormat="0" applyBorder="0" applyAlignment="0" applyProtection="0"/>
    <xf numFmtId="0" fontId="13"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7" fillId="8" borderId="0" applyNumberFormat="0" applyBorder="0" applyAlignment="0" applyProtection="0"/>
    <xf numFmtId="0" fontId="13"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7" fillId="9" borderId="0" applyNumberFormat="0" applyBorder="0" applyAlignment="0" applyProtection="0"/>
    <xf numFmtId="0" fontId="13"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 fillId="10"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7" fillId="11" borderId="0" applyNumberFormat="0" applyBorder="0" applyAlignment="0" applyProtection="0"/>
    <xf numFmtId="0" fontId="13"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7"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7" fillId="9" borderId="0" applyNumberFormat="0" applyBorder="0" applyAlignment="0" applyProtection="0"/>
    <xf numFmtId="0" fontId="13"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 fillId="12"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 fillId="16"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5" fillId="17"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5" fillId="18" borderId="0" applyNumberFormat="0" applyBorder="0" applyAlignment="0" applyProtection="0"/>
    <xf numFmtId="0" fontId="16"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 fillId="19" borderId="0" applyNumberFormat="0" applyBorder="0" applyAlignment="0" applyProtection="0"/>
    <xf numFmtId="0" fontId="16"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 fillId="20" borderId="0" applyNumberFormat="0" applyBorder="0" applyAlignment="0" applyProtection="0"/>
    <xf numFmtId="0" fontId="16"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8" fillId="0" borderId="0" applyNumberFormat="0" applyFill="0" applyBorder="0" applyAlignment="0">
      <protection locked="0"/>
    </xf>
    <xf numFmtId="0" fontId="19" fillId="4" borderId="0" applyNumberFormat="0" applyBorder="0" applyAlignment="0" applyProtection="0"/>
    <xf numFmtId="0" fontId="20"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1" borderId="3" applyNumberFormat="0" applyAlignment="0" applyProtection="0"/>
    <xf numFmtId="0" fontId="23" fillId="21" borderId="3" applyNumberFormat="0" applyAlignment="0" applyProtection="0"/>
    <xf numFmtId="0" fontId="24" fillId="21" borderId="3" applyNumberFormat="0" applyAlignment="0" applyProtection="0"/>
    <xf numFmtId="0" fontId="24" fillId="21" borderId="3" applyNumberFormat="0" applyAlignment="0" applyProtection="0"/>
    <xf numFmtId="0" fontId="25" fillId="22" borderId="4" applyNumberFormat="0" applyAlignment="0" applyProtection="0"/>
    <xf numFmtId="0" fontId="26" fillId="22" borderId="4" applyNumberFormat="0" applyAlignment="0" applyProtection="0"/>
    <xf numFmtId="0" fontId="27" fillId="22" borderId="4" applyNumberFormat="0" applyAlignment="0" applyProtection="0"/>
    <xf numFmtId="0" fontId="27" fillId="22" borderId="4" applyNumberFormat="0" applyAlignment="0" applyProtection="0"/>
    <xf numFmtId="0" fontId="28" fillId="0" borderId="0" applyFont="0" applyFill="0" applyBorder="0" applyProtection="0">
      <alignment/>
    </xf>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0" fontId="28"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4" fillId="0" borderId="0" applyFont="0" applyFill="0" applyBorder="0" applyAlignment="0" applyProtection="0"/>
    <xf numFmtId="43" fontId="0" fillId="0" borderId="0" applyFont="0" applyFill="0" applyBorder="0" applyAlignment="0" applyProtection="0"/>
    <xf numFmtId="168"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0" fillId="0" borderId="0" applyFont="0" applyFill="0" applyBorder="0" applyAlignment="0" applyProtection="0"/>
    <xf numFmtId="0" fontId="28" fillId="0" borderId="0" applyFont="0" applyFill="0" applyBorder="0" applyProtection="0">
      <alignment/>
    </xf>
    <xf numFmtId="0" fontId="28" fillId="0" borderId="0" applyFont="0" applyFill="0" applyBorder="0" applyProtection="0">
      <alignment/>
    </xf>
    <xf numFmtId="44" fontId="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0" fontId="28" fillId="0" borderId="0" applyFont="0" applyFill="0" applyBorder="0" applyAlignment="0" applyProtection="0"/>
    <xf numFmtId="0" fontId="28" fillId="0" borderId="5" applyNumberFormat="0" applyFon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Fill="0" applyBorder="0" applyProtection="0">
      <alignment horizontal="left"/>
    </xf>
    <xf numFmtId="0" fontId="34" fillId="5"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28" fillId="0" borderId="0" applyFont="0" applyFill="0" applyBorder="0" applyProtection="0">
      <alignment/>
    </xf>
    <xf numFmtId="0" fontId="37" fillId="0" borderId="0" applyProtection="0">
      <alignment horizontal="right"/>
    </xf>
    <xf numFmtId="0" fontId="38" fillId="0" borderId="6" applyNumberFormat="0" applyFill="0" applyAlignment="0" applyProtection="0"/>
    <xf numFmtId="0" fontId="38"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 fillId="0" borderId="0" applyNumberFormat="0" applyFill="0" applyBorder="0">
      <alignment/>
      <protection locked="0"/>
    </xf>
    <xf numFmtId="0" fontId="44" fillId="0" borderId="0" applyNumberFormat="0" applyFill="0" applyBorder="0">
      <alignment/>
      <protection locked="0"/>
    </xf>
    <xf numFmtId="0" fontId="45" fillId="0" borderId="0" applyNumberFormat="0" applyFill="0" applyBorder="0">
      <alignment/>
      <protection locked="0"/>
    </xf>
    <xf numFmtId="0" fontId="44" fillId="0" borderId="0" applyNumberFormat="0" applyFill="0" applyBorder="0">
      <alignment/>
      <protection locked="0"/>
    </xf>
    <xf numFmtId="0" fontId="45" fillId="0" borderId="0" applyNumberFormat="0" applyFill="0" applyBorder="0">
      <alignment/>
      <protection locked="0"/>
    </xf>
    <xf numFmtId="0" fontId="46" fillId="8" borderId="3" applyNumberFormat="0" applyAlignment="0" applyProtection="0"/>
    <xf numFmtId="0" fontId="47" fillId="8" borderId="3" applyNumberFormat="0" applyAlignment="0" applyProtection="0"/>
    <xf numFmtId="0" fontId="48" fillId="8" borderId="3" applyNumberFormat="0" applyAlignment="0" applyProtection="0"/>
    <xf numFmtId="0" fontId="48" fillId="8" borderId="3" applyNumberFormat="0" applyAlignment="0" applyProtection="0"/>
    <xf numFmtId="0" fontId="49" fillId="0" borderId="9" applyNumberFormat="0" applyFill="0" applyAlignment="0" applyProtection="0"/>
    <xf numFmtId="0" fontId="50"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28" fillId="0" borderId="0" applyFont="0" applyFill="0" applyBorder="0" applyProtection="0">
      <alignment/>
    </xf>
    <xf numFmtId="0" fontId="52" fillId="2" borderId="0" applyNumberFormat="0" applyBorder="0" applyAlignment="0" applyProtection="0"/>
    <xf numFmtId="0" fontId="53"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82" fillId="0" borderId="0">
      <alignment/>
      <protection/>
    </xf>
    <xf numFmtId="0" fontId="0" fillId="0" borderId="0">
      <alignment/>
      <protection/>
    </xf>
    <xf numFmtId="0" fontId="1" fillId="0" borderId="0">
      <alignment/>
      <protection/>
    </xf>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55" fillId="21" borderId="11" applyNumberFormat="0" applyAlignment="0" applyProtection="0"/>
    <xf numFmtId="0" fontId="56" fillId="21" borderId="11" applyNumberFormat="0" applyAlignment="0" applyProtection="0"/>
    <xf numFmtId="0" fontId="57" fillId="21" borderId="11" applyNumberFormat="0" applyAlignment="0" applyProtection="0"/>
    <xf numFmtId="0" fontId="57" fillId="21" borderId="11" applyNumberFormat="0" applyAlignment="0" applyProtection="0"/>
    <xf numFmtId="1" fontId="58" fillId="0" borderId="0" applyProtection="0">
      <alignment horizontal="right" vertical="center"/>
    </xf>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0" fontId="59" fillId="0" borderId="0" applyNumberFormat="0" applyFont="0" applyFill="0" applyBorder="0" applyProtection="0">
      <alignment/>
    </xf>
    <xf numFmtId="0" fontId="59" fillId="0" borderId="0" applyNumberFormat="0" applyFont="0" applyFill="0" applyBorder="0" applyProtection="0">
      <alignment/>
    </xf>
    <xf numFmtId="0" fontId="59" fillId="0" borderId="0" applyNumberFormat="0" applyFont="0" applyFill="0" applyBorder="0" applyProtection="0">
      <alignment/>
    </xf>
    <xf numFmtId="0" fontId="59" fillId="0" borderId="0" applyNumberFormat="0" applyFont="0" applyFill="0" applyBorder="0" applyProtection="0">
      <alignment/>
    </xf>
    <xf numFmtId="0" fontId="59" fillId="0" borderId="0" applyNumberFormat="0" applyFont="0" applyFill="0" applyBorder="0" applyProtection="0">
      <alignment/>
    </xf>
    <xf numFmtId="0" fontId="59" fillId="0" borderId="0" applyNumberFormat="0" applyFont="0" applyFill="0" applyBorder="0" applyProtection="0">
      <alignment/>
    </xf>
    <xf numFmtId="0" fontId="59" fillId="0" borderId="0" applyNumberFormat="0" applyFont="0" applyFill="0" applyBorder="0" applyProtection="0">
      <alignment/>
    </xf>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15"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0" fontId="60" fillId="0" borderId="12">
      <alignment horizontal="center"/>
      <protection/>
    </xf>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0" fontId="59" fillId="24" borderId="0" applyNumberFormat="0" applyFont="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177" fontId="33" fillId="0" borderId="13" applyFont="0" applyFill="0" applyBorder="0" applyAlignment="0" applyProtection="0"/>
    <xf numFmtId="0" fontId="61" fillId="0" borderId="0" applyNumberFormat="0" applyFill="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2" fillId="21" borderId="0" applyNumberFormat="0" applyFont="0" applyBorder="0" applyAlignment="0" applyProtection="0"/>
    <xf numFmtId="0" fontId="63" fillId="0" borderId="0" applyBorder="0" applyProtection="0">
      <alignment vertical="center"/>
    </xf>
    <xf numFmtId="0" fontId="63" fillId="0" borderId="14" applyBorder="0" applyProtection="0">
      <alignment horizontal="right" vertical="center"/>
    </xf>
    <xf numFmtId="0" fontId="64" fillId="25" borderId="0" applyBorder="0" applyProtection="0">
      <alignment horizontal="centerContinuous" vertical="center"/>
    </xf>
    <xf numFmtId="0" fontId="64" fillId="26" borderId="14" applyBorder="0" applyProtection="0">
      <alignment horizontal="centerContinuous" vertical="center"/>
    </xf>
    <xf numFmtId="0" fontId="65" fillId="0" borderId="0" applyBorder="0" applyProtection="0">
      <alignment horizontal="left"/>
    </xf>
    <xf numFmtId="0" fontId="65" fillId="0" borderId="0" applyBorder="0" applyProtection="0">
      <alignment horizontal="left"/>
    </xf>
    <xf numFmtId="0" fontId="66" fillId="0" borderId="0" applyFill="0" applyBorder="0" applyProtection="0">
      <alignment horizontal="left"/>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67" fillId="0" borderId="0" applyNumberFormat="0" applyFill="0" applyBorder="0" applyAlignment="0" applyProtection="0"/>
    <xf numFmtId="0" fontId="67" fillId="0" borderId="0" applyNumberFormat="0" applyFill="0" applyBorder="0" applyAlignment="0" applyProtection="0"/>
    <xf numFmtId="0" fontId="68" fillId="0" borderId="15" applyNumberFormat="0" applyFill="0" applyAlignment="0" applyProtection="0"/>
    <xf numFmtId="0" fontId="69"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cellStyleXfs>
  <cellXfs count="346">
    <xf numFmtId="0" fontId="0" fillId="0" borderId="0" xfId="0"/>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0" xfId="0" applyFont="1"/>
    <xf numFmtId="0" fontId="0" fillId="0" borderId="0" xfId="0" applyFont="1" applyFill="1" applyBorder="1"/>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0" fontId="0" fillId="0" borderId="0" xfId="0" applyFont="1" applyFill="1" applyAlignment="1">
      <alignment horizontal="right" vertical="center"/>
    </xf>
    <xf numFmtId="164" fontId="0" fillId="0" borderId="18"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xf>
    <xf numFmtId="0" fontId="0" fillId="0" borderId="19" xfId="0" applyFont="1" applyFill="1" applyBorder="1" applyAlignment="1">
      <alignment horizontal="center"/>
    </xf>
    <xf numFmtId="166" fontId="6" fillId="0" borderId="0" xfId="0" applyNumberFormat="1" applyFont="1" applyFill="1" applyBorder="1" applyAlignment="1">
      <alignment horizontal="left" vertical="center"/>
    </xf>
    <xf numFmtId="0" fontId="0" fillId="0" borderId="0" xfId="0" applyFont="1" applyFill="1" applyBorder="1" applyAlignment="1">
      <alignment vertical="center"/>
    </xf>
    <xf numFmtId="164" fontId="0" fillId="0" borderId="0" xfId="0" applyNumberFormat="1" applyFont="1" applyFill="1" applyBorder="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19" xfId="0" applyFont="1" applyFill="1" applyBorder="1" applyAlignment="1">
      <alignment horizontal="center" vertical="center"/>
    </xf>
    <xf numFmtId="164" fontId="0" fillId="0" borderId="19"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18" xfId="0" applyFont="1" applyFill="1" applyBorder="1" applyAlignment="1">
      <alignment horizontal="center" vertical="center"/>
    </xf>
    <xf numFmtId="164" fontId="0" fillId="0" borderId="20" xfId="0" applyNumberFormat="1" applyFont="1" applyFill="1" applyBorder="1" applyAlignment="1">
      <alignment horizont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64" fontId="0" fillId="0" borderId="18" xfId="0" applyNumberFormat="1" applyFont="1" applyFill="1" applyBorder="1" applyAlignment="1">
      <alignment horizontal="center"/>
    </xf>
    <xf numFmtId="0" fontId="75" fillId="0" borderId="0" xfId="0" applyFont="1" applyFill="1" applyBorder="1" applyAlignment="1">
      <alignment horizontal="left" vertical="center"/>
    </xf>
    <xf numFmtId="0" fontId="76" fillId="0" borderId="0" xfId="0" applyFont="1" applyFill="1" applyAlignment="1">
      <alignment vertical="center"/>
    </xf>
    <xf numFmtId="0" fontId="76" fillId="0" borderId="0" xfId="0" applyFont="1" applyFill="1" applyBorder="1" applyAlignment="1">
      <alignment vertical="center"/>
    </xf>
    <xf numFmtId="0" fontId="76" fillId="0" borderId="0" xfId="0" applyFont="1" applyFill="1" applyAlignment="1">
      <alignment horizontal="center" vertical="center"/>
    </xf>
    <xf numFmtId="0" fontId="0" fillId="0" borderId="0" xfId="0" applyFont="1" applyFill="1" applyBorder="1" applyAlignment="1">
      <alignment horizontal="left" vertical="center"/>
    </xf>
    <xf numFmtId="49" fontId="0" fillId="0" borderId="0"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vertical="center"/>
    </xf>
    <xf numFmtId="0" fontId="0" fillId="27" borderId="19" xfId="0" applyFont="1" applyFill="1" applyBorder="1" applyAlignment="1">
      <alignment horizontal="center"/>
    </xf>
    <xf numFmtId="0" fontId="0" fillId="27" borderId="19" xfId="0" applyFont="1" applyFill="1" applyBorder="1"/>
    <xf numFmtId="0" fontId="0" fillId="27" borderId="23" xfId="0" applyFont="1" applyFill="1" applyBorder="1" applyAlignment="1">
      <alignment horizontal="center"/>
    </xf>
    <xf numFmtId="164" fontId="0" fillId="27" borderId="24" xfId="0" applyNumberFormat="1" applyFont="1" applyFill="1" applyBorder="1" applyAlignment="1">
      <alignment horizontal="center" vertical="center"/>
    </xf>
    <xf numFmtId="164" fontId="0" fillId="27" borderId="25" xfId="0" applyNumberFormat="1" applyFont="1" applyFill="1" applyBorder="1" applyAlignment="1">
      <alignment horizontal="center" vertical="center"/>
    </xf>
    <xf numFmtId="164" fontId="0" fillId="27" borderId="24" xfId="0" applyNumberFormat="1" applyFont="1" applyFill="1" applyBorder="1" applyAlignment="1">
      <alignment horizontal="center"/>
    </xf>
    <xf numFmtId="164" fontId="0" fillId="27" borderId="25" xfId="0" applyNumberFormat="1" applyFont="1" applyFill="1" applyBorder="1" applyAlignment="1">
      <alignment horizontal="center"/>
    </xf>
    <xf numFmtId="164" fontId="0" fillId="27" borderId="26" xfId="0" applyNumberFormat="1" applyFont="1" applyFill="1" applyBorder="1" applyAlignment="1">
      <alignment horizontal="center"/>
    </xf>
    <xf numFmtId="0" fontId="0" fillId="0" borderId="19" xfId="0" applyFont="1" applyFill="1" applyBorder="1"/>
    <xf numFmtId="0" fontId="0" fillId="0" borderId="23" xfId="0" applyFont="1" applyFill="1" applyBorder="1" applyAlignment="1">
      <alignment horizontal="center"/>
    </xf>
    <xf numFmtId="164" fontId="0" fillId="27" borderId="18" xfId="0" applyNumberFormat="1" applyFont="1" applyFill="1" applyBorder="1" applyAlignment="1">
      <alignment horizontal="center" vertical="center"/>
    </xf>
    <xf numFmtId="164" fontId="0" fillId="27" borderId="19" xfId="0" applyNumberFormat="1" applyFont="1" applyFill="1" applyBorder="1" applyAlignment="1">
      <alignment horizontal="center" vertical="center"/>
    </xf>
    <xf numFmtId="164" fontId="0" fillId="27" borderId="18" xfId="0" applyNumberFormat="1" applyFont="1" applyFill="1" applyBorder="1" applyAlignment="1">
      <alignment horizontal="center"/>
    </xf>
    <xf numFmtId="164" fontId="0" fillId="27" borderId="19" xfId="0" applyNumberFormat="1" applyFont="1" applyFill="1" applyBorder="1" applyAlignment="1">
      <alignment horizontal="center"/>
    </xf>
    <xf numFmtId="164" fontId="0" fillId="27" borderId="20" xfId="0" applyNumberFormat="1" applyFont="1" applyFill="1" applyBorder="1" applyAlignment="1">
      <alignment horizontal="center"/>
    </xf>
    <xf numFmtId="0" fontId="0" fillId="28" borderId="19" xfId="0" applyFont="1" applyFill="1" applyBorder="1" applyAlignment="1">
      <alignment horizontal="center"/>
    </xf>
    <xf numFmtId="0" fontId="0" fillId="28" borderId="19" xfId="0" applyFont="1" applyFill="1" applyBorder="1"/>
    <xf numFmtId="0" fontId="0" fillId="0" borderId="20" xfId="0" applyFont="1" applyFill="1" applyBorder="1" applyAlignment="1">
      <alignment horizontal="center"/>
    </xf>
    <xf numFmtId="0" fontId="0" fillId="27" borderId="27" xfId="0" applyFont="1" applyFill="1" applyBorder="1" applyAlignment="1">
      <alignment horizontal="center"/>
    </xf>
    <xf numFmtId="0" fontId="0" fillId="27" borderId="27" xfId="0" applyFont="1" applyFill="1" applyBorder="1"/>
    <xf numFmtId="0" fontId="0" fillId="27" borderId="28" xfId="0" applyFont="1" applyFill="1" applyBorder="1" applyAlignment="1">
      <alignment horizontal="center"/>
    </xf>
    <xf numFmtId="164" fontId="0" fillId="27" borderId="29" xfId="0" applyNumberFormat="1" applyFont="1" applyFill="1" applyBorder="1" applyAlignment="1">
      <alignment horizontal="center" vertical="center"/>
    </xf>
    <xf numFmtId="164" fontId="0" fillId="27" borderId="27" xfId="0" applyNumberFormat="1" applyFont="1" applyFill="1" applyBorder="1" applyAlignment="1">
      <alignment horizontal="center" vertical="center"/>
    </xf>
    <xf numFmtId="164" fontId="0" fillId="27" borderId="29" xfId="0" applyNumberFormat="1" applyFont="1" applyFill="1" applyBorder="1" applyAlignment="1">
      <alignment horizontal="center"/>
    </xf>
    <xf numFmtId="164" fontId="0" fillId="27" borderId="27" xfId="0" applyNumberFormat="1" applyFont="1" applyFill="1" applyBorder="1" applyAlignment="1">
      <alignment horizontal="center"/>
    </xf>
    <xf numFmtId="0" fontId="0" fillId="27" borderId="30" xfId="0" applyFont="1" applyFill="1" applyBorder="1" applyAlignment="1">
      <alignment horizontal="center"/>
    </xf>
    <xf numFmtId="0" fontId="0" fillId="27" borderId="29" xfId="0" applyFont="1" applyFill="1" applyBorder="1" applyAlignment="1">
      <alignment horizontal="center"/>
    </xf>
    <xf numFmtId="0" fontId="0" fillId="0" borderId="0" xfId="0" applyFont="1" applyFill="1" applyAlignment="1">
      <alignment horizontal="center"/>
    </xf>
    <xf numFmtId="0" fontId="0" fillId="0" borderId="0" xfId="0" applyFont="1" applyFill="1"/>
    <xf numFmtId="164" fontId="0" fillId="0" borderId="0" xfId="0" applyNumberFormat="1" applyFont="1" applyFill="1" applyAlignment="1">
      <alignment horizontal="center"/>
    </xf>
    <xf numFmtId="164" fontId="0" fillId="0" borderId="0" xfId="0" applyNumberFormat="1" applyFont="1" applyFill="1" applyAlignment="1">
      <alignment horizontal="center" vertical="center"/>
    </xf>
    <xf numFmtId="0" fontId="74" fillId="0" borderId="0" xfId="0" applyFont="1" applyFill="1" applyAlignment="1">
      <alignment vertical="center"/>
    </xf>
    <xf numFmtId="0" fontId="74" fillId="0" borderId="0" xfId="0" applyFont="1" applyFill="1" applyAlignment="1">
      <alignment horizontal="center" vertical="center"/>
    </xf>
    <xf numFmtId="0" fontId="83" fillId="0" borderId="0" xfId="0" applyFont="1" applyFill="1" applyBorder="1" applyAlignment="1">
      <alignment horizontal="center" vertical="center"/>
    </xf>
    <xf numFmtId="49" fontId="83" fillId="0" borderId="0" xfId="0" applyNumberFormat="1" applyFont="1" applyFill="1" applyBorder="1" applyAlignment="1">
      <alignment horizontal="center" vertical="center"/>
    </xf>
    <xf numFmtId="49" fontId="83" fillId="0" borderId="19" xfId="0" applyNumberFormat="1" applyFont="1" applyFill="1" applyBorder="1" applyAlignment="1">
      <alignment horizontal="center" vertical="center"/>
    </xf>
    <xf numFmtId="49" fontId="83" fillId="27" borderId="19" xfId="0" applyNumberFormat="1" applyFont="1" applyFill="1" applyBorder="1" applyAlignment="1">
      <alignment horizontal="center" vertical="center"/>
    </xf>
    <xf numFmtId="49" fontId="83" fillId="27" borderId="27" xfId="0" applyNumberFormat="1" applyFont="1" applyFill="1" applyBorder="1" applyAlignment="1">
      <alignment horizontal="center" vertical="center"/>
    </xf>
    <xf numFmtId="9" fontId="0" fillId="0" borderId="0" xfId="0" applyNumberFormat="1" applyFont="1" applyFill="1" applyAlignment="1">
      <alignment horizontal="center" vertical="center"/>
    </xf>
    <xf numFmtId="0" fontId="2" fillId="0" borderId="0" xfId="227" applyFill="1" applyAlignment="1" applyProtection="1">
      <alignment vertical="center"/>
      <protection/>
    </xf>
    <xf numFmtId="0" fontId="83" fillId="0" borderId="0" xfId="0" applyFont="1" applyFill="1" applyBorder="1" applyAlignment="1">
      <alignment horizontal="center" vertical="center" wrapText="1"/>
    </xf>
    <xf numFmtId="0" fontId="78" fillId="0" borderId="0" xfId="252" applyFont="1" applyFill="1" applyBorder="1" applyAlignment="1">
      <alignment horizontal="left" vertical="center"/>
      <protection/>
    </xf>
    <xf numFmtId="0" fontId="1" fillId="0" borderId="0" xfId="252" applyAlignment="1">
      <alignment vertical="center"/>
      <protection/>
    </xf>
    <xf numFmtId="0" fontId="1" fillId="0" borderId="0" xfId="252" applyBorder="1" applyAlignment="1">
      <alignment vertical="center"/>
      <protection/>
    </xf>
    <xf numFmtId="166" fontId="79" fillId="0" borderId="0" xfId="252" applyNumberFormat="1" applyFont="1" applyFill="1" applyBorder="1" applyAlignment="1">
      <alignment horizontal="left" vertical="center"/>
      <protection/>
    </xf>
    <xf numFmtId="0" fontId="1" fillId="0" borderId="31" xfId="252" applyBorder="1" applyAlignment="1">
      <alignment vertical="center"/>
      <protection/>
    </xf>
    <xf numFmtId="164" fontId="1" fillId="0" borderId="32" xfId="252" applyNumberFormat="1" applyBorder="1" applyAlignment="1">
      <alignment horizontal="center" vertical="center"/>
      <protection/>
    </xf>
    <xf numFmtId="0" fontId="1" fillId="0" borderId="33" xfId="252" applyBorder="1" applyAlignment="1">
      <alignment horizontal="center" vertical="center"/>
      <protection/>
    </xf>
    <xf numFmtId="0" fontId="1" fillId="0" borderId="32" xfId="252" applyBorder="1" applyAlignment="1">
      <alignment horizontal="center" vertical="center"/>
      <protection/>
    </xf>
    <xf numFmtId="0" fontId="1" fillId="0" borderId="0" xfId="252" applyFill="1" applyBorder="1" applyAlignment="1">
      <alignment horizontal="left" vertical="center"/>
      <protection/>
    </xf>
    <xf numFmtId="164" fontId="1" fillId="0" borderId="0" xfId="252" applyNumberFormat="1" applyBorder="1" applyAlignment="1">
      <alignment horizontal="center" vertical="center"/>
      <protection/>
    </xf>
    <xf numFmtId="1" fontId="1" fillId="0" borderId="34" xfId="252" applyNumberFormat="1" applyBorder="1" applyAlignment="1">
      <alignment horizontal="center" vertical="center"/>
      <protection/>
    </xf>
    <xf numFmtId="0" fontId="1" fillId="0" borderId="31" xfId="252" applyFont="1" applyBorder="1" applyAlignment="1">
      <alignment vertical="center"/>
      <protection/>
    </xf>
    <xf numFmtId="0" fontId="1" fillId="0" borderId="0" xfId="252" applyFont="1" applyBorder="1" applyAlignment="1">
      <alignment vertical="center"/>
      <protection/>
    </xf>
    <xf numFmtId="164" fontId="1" fillId="0" borderId="0" xfId="252" applyNumberFormat="1" applyFont="1" applyBorder="1" applyAlignment="1">
      <alignment horizontal="center" vertical="center"/>
      <protection/>
    </xf>
    <xf numFmtId="0" fontId="1" fillId="0" borderId="0" xfId="252" applyBorder="1" applyAlignment="1">
      <alignment horizontal="center" vertical="center"/>
      <protection/>
    </xf>
    <xf numFmtId="0" fontId="1" fillId="0" borderId="0" xfId="252" applyFill="1" applyBorder="1" applyAlignment="1">
      <alignment vertical="center"/>
      <protection/>
    </xf>
    <xf numFmtId="0" fontId="1" fillId="0" borderId="34" xfId="252" applyBorder="1" applyAlignment="1">
      <alignment horizontal="center" vertical="center"/>
      <protection/>
    </xf>
    <xf numFmtId="0" fontId="1" fillId="0" borderId="0" xfId="252" applyBorder="1" applyAlignment="1">
      <alignment vertical="center" wrapText="1"/>
      <protection/>
    </xf>
    <xf numFmtId="0" fontId="1" fillId="0" borderId="35" xfId="252" applyFont="1" applyBorder="1" applyAlignment="1">
      <alignment vertical="center"/>
      <protection/>
    </xf>
    <xf numFmtId="0" fontId="1" fillId="0" borderId="12" xfId="252" applyBorder="1" applyAlignment="1">
      <alignment vertical="center"/>
      <protection/>
    </xf>
    <xf numFmtId="164" fontId="1" fillId="0" borderId="12" xfId="252" applyNumberFormat="1" applyBorder="1" applyAlignment="1">
      <alignment horizontal="center" vertical="center"/>
      <protection/>
    </xf>
    <xf numFmtId="0" fontId="1" fillId="0" borderId="36" xfId="252" applyBorder="1" applyAlignment="1">
      <alignment horizontal="center" vertical="center"/>
      <protection/>
    </xf>
    <xf numFmtId="0" fontId="80" fillId="0" borderId="31" xfId="252" applyFont="1" applyBorder="1" applyAlignment="1">
      <alignment vertical="center"/>
      <protection/>
    </xf>
    <xf numFmtId="164" fontId="80" fillId="0" borderId="0" xfId="252" applyNumberFormat="1" applyFont="1" applyBorder="1" applyAlignment="1">
      <alignment horizontal="center" vertical="center"/>
      <protection/>
    </xf>
    <xf numFmtId="164" fontId="1" fillId="0" borderId="0" xfId="252" applyNumberFormat="1" applyBorder="1" applyAlignment="1">
      <alignment vertical="center"/>
      <protection/>
    </xf>
    <xf numFmtId="0" fontId="1" fillId="0" borderId="12" xfId="252" applyBorder="1" applyAlignment="1">
      <alignment horizontal="center" vertical="center"/>
      <protection/>
    </xf>
    <xf numFmtId="0" fontId="1" fillId="0" borderId="12" xfId="252" applyBorder="1" applyAlignment="1">
      <alignment vertical="center" wrapText="1"/>
      <protection/>
    </xf>
    <xf numFmtId="0" fontId="1" fillId="0" borderId="36" xfId="252" applyBorder="1" applyAlignment="1">
      <alignment vertical="center"/>
      <protection/>
    </xf>
    <xf numFmtId="49" fontId="1" fillId="0" borderId="0" xfId="252" applyNumberFormat="1" applyFill="1" applyBorder="1" applyAlignment="1">
      <alignment horizontal="center" vertical="center"/>
      <protection/>
    </xf>
    <xf numFmtId="0" fontId="1" fillId="0" borderId="14" xfId="252" applyBorder="1" applyAlignment="1">
      <alignment vertical="center"/>
      <protection/>
    </xf>
    <xf numFmtId="0" fontId="79" fillId="0" borderId="37" xfId="252" applyFont="1" applyBorder="1" applyAlignment="1">
      <alignment horizontal="center" vertical="center"/>
      <protection/>
    </xf>
    <xf numFmtId="0" fontId="79" fillId="0" borderId="37" xfId="252" applyFont="1" applyBorder="1" applyAlignment="1">
      <alignment horizontal="center" vertical="center" wrapText="1"/>
      <protection/>
    </xf>
    <xf numFmtId="0" fontId="79" fillId="0" borderId="38" xfId="252" applyFont="1" applyBorder="1" applyAlignment="1">
      <alignment horizontal="center" vertical="center" wrapText="1"/>
      <protection/>
    </xf>
    <xf numFmtId="0" fontId="1" fillId="0" borderId="38" xfId="252" applyBorder="1" applyAlignment="1">
      <alignment vertical="center"/>
      <protection/>
    </xf>
    <xf numFmtId="0" fontId="1" fillId="0" borderId="25" xfId="252" applyBorder="1" applyAlignment="1">
      <alignment horizontal="center" vertical="center"/>
      <protection/>
    </xf>
    <xf numFmtId="0" fontId="1" fillId="0" borderId="38" xfId="252" applyBorder="1" applyAlignment="1">
      <alignment horizontal="center" vertical="center"/>
      <protection/>
    </xf>
    <xf numFmtId="0" fontId="1" fillId="0" borderId="24" xfId="252" applyBorder="1" applyAlignment="1">
      <alignment horizontal="center" vertical="center" wrapText="1"/>
      <protection/>
    </xf>
    <xf numFmtId="0" fontId="1" fillId="0" borderId="25" xfId="252" applyBorder="1" applyAlignment="1">
      <alignment horizontal="center" vertical="center" wrapText="1"/>
      <protection/>
    </xf>
    <xf numFmtId="0" fontId="1" fillId="0" borderId="26" xfId="252" applyBorder="1" applyAlignment="1">
      <alignment horizontal="center" vertical="center" wrapText="1"/>
      <protection/>
    </xf>
    <xf numFmtId="0" fontId="1" fillId="0" borderId="39" xfId="252" applyBorder="1" applyAlignment="1">
      <alignment horizontal="center" vertical="center" wrapText="1"/>
      <protection/>
    </xf>
    <xf numFmtId="0" fontId="1" fillId="0" borderId="39" xfId="252" applyFill="1" applyBorder="1" applyAlignment="1">
      <alignment horizontal="center" vertical="center" wrapText="1"/>
      <protection/>
    </xf>
    <xf numFmtId="0" fontId="1" fillId="0" borderId="38" xfId="252" applyFill="1" applyBorder="1" applyAlignment="1">
      <alignment horizontal="center" vertical="center" wrapText="1"/>
      <protection/>
    </xf>
    <xf numFmtId="0" fontId="1" fillId="0" borderId="24" xfId="252" applyFill="1" applyBorder="1" applyAlignment="1">
      <alignment horizontal="center" vertical="center" wrapText="1"/>
      <protection/>
    </xf>
    <xf numFmtId="0" fontId="1" fillId="0" borderId="25" xfId="252" applyFill="1" applyBorder="1" applyAlignment="1">
      <alignment horizontal="center" vertical="center" wrapText="1"/>
      <protection/>
    </xf>
    <xf numFmtId="0" fontId="1" fillId="0" borderId="26" xfId="252" applyFill="1" applyBorder="1" applyAlignment="1">
      <alignment horizontal="center" vertical="center" wrapText="1"/>
      <protection/>
    </xf>
    <xf numFmtId="0" fontId="1" fillId="0" borderId="25" xfId="252" applyFill="1" applyBorder="1" applyAlignment="1">
      <alignment horizontal="center" vertical="center"/>
      <protection/>
    </xf>
    <xf numFmtId="0" fontId="1" fillId="0" borderId="40" xfId="252" applyFill="1" applyBorder="1" applyAlignment="1">
      <alignment vertical="center"/>
      <protection/>
    </xf>
    <xf numFmtId="0" fontId="1" fillId="0" borderId="38" xfId="252" applyFill="1" applyBorder="1" applyAlignment="1">
      <alignment horizontal="center" vertical="center"/>
      <protection/>
    </xf>
    <xf numFmtId="0" fontId="1" fillId="0" borderId="17" xfId="252" applyFill="1" applyBorder="1" applyAlignment="1">
      <alignment horizontal="center" vertical="center"/>
      <protection/>
    </xf>
    <xf numFmtId="0" fontId="1" fillId="0" borderId="21" xfId="252" applyFill="1" applyBorder="1" applyAlignment="1">
      <alignment horizontal="center" vertical="center"/>
      <protection/>
    </xf>
    <xf numFmtId="0" fontId="1" fillId="0" borderId="16" xfId="252" applyFill="1" applyBorder="1" applyAlignment="1">
      <alignment horizontal="center" vertical="center"/>
      <protection/>
    </xf>
    <xf numFmtId="0" fontId="1" fillId="0" borderId="41" xfId="252" applyFill="1" applyBorder="1" applyAlignment="1">
      <alignment horizontal="center" vertical="center"/>
      <protection/>
    </xf>
    <xf numFmtId="0" fontId="1" fillId="0" borderId="38" xfId="252" applyFill="1" applyBorder="1" applyAlignment="1">
      <alignment vertical="center"/>
      <protection/>
    </xf>
    <xf numFmtId="0" fontId="1" fillId="0" borderId="0" xfId="252" applyFill="1" applyAlignment="1">
      <alignment vertical="center"/>
      <protection/>
    </xf>
    <xf numFmtId="49" fontId="1" fillId="29" borderId="19" xfId="252" applyNumberFormat="1" applyFill="1" applyBorder="1" applyAlignment="1">
      <alignment horizontal="center" vertical="center"/>
      <protection/>
    </xf>
    <xf numFmtId="0" fontId="1" fillId="29" borderId="19" xfId="252" applyFill="1" applyBorder="1" applyAlignment="1">
      <alignment horizontal="center"/>
      <protection/>
    </xf>
    <xf numFmtId="0" fontId="1" fillId="29" borderId="19" xfId="252" applyFill="1" applyBorder="1">
      <alignment/>
      <protection/>
    </xf>
    <xf numFmtId="0" fontId="1" fillId="29" borderId="23" xfId="252" applyFill="1" applyBorder="1" applyAlignment="1">
      <alignment horizontal="center"/>
      <protection/>
    </xf>
    <xf numFmtId="164" fontId="1" fillId="29" borderId="24" xfId="252" applyNumberFormat="1" applyFill="1" applyBorder="1" applyAlignment="1">
      <alignment horizontal="center"/>
      <protection/>
    </xf>
    <xf numFmtId="164" fontId="1" fillId="29" borderId="25" xfId="252" applyNumberFormat="1" applyFill="1" applyBorder="1" applyAlignment="1">
      <alignment horizontal="center"/>
      <protection/>
    </xf>
    <xf numFmtId="164" fontId="1" fillId="29" borderId="26" xfId="252" applyNumberFormat="1" applyFill="1" applyBorder="1" applyAlignment="1">
      <alignment horizontal="center"/>
      <protection/>
    </xf>
    <xf numFmtId="164" fontId="1" fillId="29" borderId="39" xfId="252" applyNumberFormat="1" applyFill="1" applyBorder="1" applyAlignment="1">
      <alignment horizontal="center"/>
      <protection/>
    </xf>
    <xf numFmtId="164" fontId="1" fillId="29" borderId="38" xfId="252" applyNumberFormat="1" applyFill="1" applyBorder="1" applyAlignment="1">
      <alignment horizontal="center"/>
      <protection/>
    </xf>
    <xf numFmtId="0" fontId="1" fillId="29" borderId="38" xfId="252" applyFill="1" applyBorder="1">
      <alignment/>
      <protection/>
    </xf>
    <xf numFmtId="49" fontId="1" fillId="30" borderId="19" xfId="252" applyNumberFormat="1" applyFill="1" applyBorder="1" applyAlignment="1">
      <alignment horizontal="center" vertical="center"/>
      <protection/>
    </xf>
    <xf numFmtId="0" fontId="1" fillId="30" borderId="19" xfId="252" applyFill="1" applyBorder="1" applyAlignment="1">
      <alignment horizontal="center"/>
      <protection/>
    </xf>
    <xf numFmtId="0" fontId="1" fillId="30" borderId="19" xfId="252" applyFill="1" applyBorder="1">
      <alignment/>
      <protection/>
    </xf>
    <xf numFmtId="0" fontId="1" fillId="30" borderId="23" xfId="252" applyFill="1" applyBorder="1" applyAlignment="1">
      <alignment horizontal="center"/>
      <protection/>
    </xf>
    <xf numFmtId="164" fontId="1" fillId="30" borderId="18" xfId="252" applyNumberFormat="1" applyFill="1" applyBorder="1" applyAlignment="1">
      <alignment horizontal="center"/>
      <protection/>
    </xf>
    <xf numFmtId="164" fontId="1" fillId="30" borderId="19" xfId="252" applyNumberFormat="1" applyFill="1" applyBorder="1" applyAlignment="1">
      <alignment horizontal="center"/>
      <protection/>
    </xf>
    <xf numFmtId="164" fontId="1" fillId="30" borderId="20" xfId="252" applyNumberFormat="1" applyFill="1" applyBorder="1" applyAlignment="1">
      <alignment horizontal="center"/>
      <protection/>
    </xf>
    <xf numFmtId="164" fontId="1" fillId="30" borderId="42" xfId="252" applyNumberFormat="1" applyFill="1" applyBorder="1" applyAlignment="1">
      <alignment horizontal="center"/>
      <protection/>
    </xf>
    <xf numFmtId="164" fontId="1" fillId="30" borderId="38" xfId="252" applyNumberFormat="1" applyFill="1" applyBorder="1" applyAlignment="1">
      <alignment horizontal="center"/>
      <protection/>
    </xf>
    <xf numFmtId="0" fontId="1" fillId="30" borderId="38" xfId="252" applyFill="1" applyBorder="1">
      <alignment/>
      <protection/>
    </xf>
    <xf numFmtId="164" fontId="1" fillId="29" borderId="18" xfId="252" applyNumberFormat="1" applyFill="1" applyBorder="1" applyAlignment="1">
      <alignment horizontal="center"/>
      <protection/>
    </xf>
    <xf numFmtId="164" fontId="1" fillId="29" borderId="19" xfId="252" applyNumberFormat="1" applyFill="1" applyBorder="1" applyAlignment="1">
      <alignment horizontal="center"/>
      <protection/>
    </xf>
    <xf numFmtId="164" fontId="1" fillId="29" borderId="20" xfId="252" applyNumberFormat="1" applyFill="1" applyBorder="1" applyAlignment="1">
      <alignment horizontal="center"/>
      <protection/>
    </xf>
    <xf numFmtId="164" fontId="1" fillId="29" borderId="42" xfId="252" applyNumberFormat="1" applyFill="1" applyBorder="1" applyAlignment="1">
      <alignment horizontal="center"/>
      <protection/>
    </xf>
    <xf numFmtId="0" fontId="1" fillId="29" borderId="27" xfId="252" applyFill="1" applyBorder="1" applyAlignment="1">
      <alignment horizontal="center"/>
      <protection/>
    </xf>
    <xf numFmtId="0" fontId="1" fillId="29" borderId="27" xfId="252" applyFill="1" applyBorder="1">
      <alignment/>
      <protection/>
    </xf>
    <xf numFmtId="0" fontId="1" fillId="29" borderId="28" xfId="252" applyFill="1" applyBorder="1" applyAlignment="1">
      <alignment horizontal="center"/>
      <protection/>
    </xf>
    <xf numFmtId="164" fontId="1" fillId="29" borderId="29" xfId="252" applyNumberFormat="1" applyFill="1" applyBorder="1" applyAlignment="1">
      <alignment horizontal="center"/>
      <protection/>
    </xf>
    <xf numFmtId="164" fontId="1" fillId="29" borderId="27" xfId="252" applyNumberFormat="1" applyFill="1" applyBorder="1" applyAlignment="1">
      <alignment horizontal="center"/>
      <protection/>
    </xf>
    <xf numFmtId="164" fontId="1" fillId="29" borderId="30" xfId="252" applyNumberFormat="1" applyFill="1" applyBorder="1" applyAlignment="1">
      <alignment horizontal="center"/>
      <protection/>
    </xf>
    <xf numFmtId="164" fontId="1" fillId="29" borderId="43" xfId="252" applyNumberFormat="1" applyFill="1" applyBorder="1" applyAlignment="1">
      <alignment horizontal="center"/>
      <protection/>
    </xf>
    <xf numFmtId="0" fontId="1" fillId="29" borderId="42" xfId="252" applyFill="1" applyBorder="1">
      <alignment/>
      <protection/>
    </xf>
    <xf numFmtId="0" fontId="1" fillId="30" borderId="25" xfId="252" applyFill="1" applyBorder="1" applyAlignment="1">
      <alignment horizontal="center"/>
      <protection/>
    </xf>
    <xf numFmtId="0" fontId="1" fillId="30" borderId="25" xfId="252" applyFill="1" applyBorder="1">
      <alignment/>
      <protection/>
    </xf>
    <xf numFmtId="0" fontId="1" fillId="30" borderId="44" xfId="252" applyFill="1" applyBorder="1" applyAlignment="1">
      <alignment horizontal="center"/>
      <protection/>
    </xf>
    <xf numFmtId="164" fontId="1" fillId="30" borderId="24" xfId="252" applyNumberFormat="1" applyFill="1" applyBorder="1" applyAlignment="1">
      <alignment horizontal="center"/>
      <protection/>
    </xf>
    <xf numFmtId="164" fontId="1" fillId="30" borderId="25" xfId="252" applyNumberFormat="1" applyFill="1" applyBorder="1" applyAlignment="1">
      <alignment horizontal="center"/>
      <protection/>
    </xf>
    <xf numFmtId="0" fontId="1" fillId="30" borderId="26" xfId="252" applyFill="1" applyBorder="1" applyAlignment="1">
      <alignment horizontal="center"/>
      <protection/>
    </xf>
    <xf numFmtId="0" fontId="1" fillId="30" borderId="39" xfId="252" applyFill="1" applyBorder="1" applyAlignment="1">
      <alignment horizontal="center"/>
      <protection/>
    </xf>
    <xf numFmtId="164" fontId="1" fillId="30" borderId="39" xfId="252" applyNumberFormat="1" applyFill="1" applyBorder="1" applyAlignment="1">
      <alignment horizontal="center"/>
      <protection/>
    </xf>
    <xf numFmtId="0" fontId="1" fillId="30" borderId="14" xfId="252" applyFill="1" applyBorder="1">
      <alignment/>
      <protection/>
    </xf>
    <xf numFmtId="0" fontId="1" fillId="30" borderId="24" xfId="252" applyFill="1" applyBorder="1" applyAlignment="1">
      <alignment horizontal="center"/>
      <protection/>
    </xf>
    <xf numFmtId="164" fontId="1" fillId="30" borderId="26" xfId="252" applyNumberFormat="1" applyFill="1" applyBorder="1" applyAlignment="1">
      <alignment horizontal="center"/>
      <protection/>
    </xf>
    <xf numFmtId="0" fontId="1" fillId="29" borderId="20" xfId="252" applyFill="1" applyBorder="1" applyAlignment="1">
      <alignment horizontal="center"/>
      <protection/>
    </xf>
    <xf numFmtId="0" fontId="1" fillId="29" borderId="42" xfId="252" applyFill="1" applyBorder="1" applyAlignment="1">
      <alignment horizontal="center"/>
      <protection/>
    </xf>
    <xf numFmtId="0" fontId="1" fillId="29" borderId="18" xfId="252" applyFill="1" applyBorder="1" applyAlignment="1">
      <alignment horizontal="center"/>
      <protection/>
    </xf>
    <xf numFmtId="164" fontId="1" fillId="30" borderId="29" xfId="252" applyNumberFormat="1" applyFill="1" applyBorder="1" applyAlignment="1">
      <alignment horizontal="center"/>
      <protection/>
    </xf>
    <xf numFmtId="164" fontId="1" fillId="30" borderId="27" xfId="252" applyNumberFormat="1" applyFill="1" applyBorder="1" applyAlignment="1">
      <alignment horizontal="center"/>
      <protection/>
    </xf>
    <xf numFmtId="164" fontId="1" fillId="30" borderId="30" xfId="252" applyNumberFormat="1" applyFill="1" applyBorder="1" applyAlignment="1">
      <alignment horizontal="center"/>
      <protection/>
    </xf>
    <xf numFmtId="164" fontId="1" fillId="30" borderId="43" xfId="252" applyNumberFormat="1" applyFill="1" applyBorder="1" applyAlignment="1">
      <alignment horizontal="center"/>
      <protection/>
    </xf>
    <xf numFmtId="0" fontId="1" fillId="0" borderId="0" xfId="252" applyAlignment="1">
      <alignment horizontal="center"/>
      <protection/>
    </xf>
    <xf numFmtId="0" fontId="1" fillId="0" borderId="0" xfId="252">
      <alignment/>
      <protection/>
    </xf>
    <xf numFmtId="0" fontId="1" fillId="0" borderId="0" xfId="252" applyBorder="1">
      <alignment/>
      <protection/>
    </xf>
    <xf numFmtId="0" fontId="1" fillId="0" borderId="0" xfId="252" applyBorder="1" applyAlignment="1">
      <alignment horizontal="center"/>
      <protection/>
    </xf>
    <xf numFmtId="164" fontId="1" fillId="0" borderId="0" xfId="252" applyNumberFormat="1" applyAlignment="1">
      <alignment horizontal="center"/>
      <protection/>
    </xf>
    <xf numFmtId="164" fontId="1" fillId="0" borderId="0" xfId="252" applyNumberFormat="1" applyBorder="1" applyAlignment="1">
      <alignment horizontal="center"/>
      <protection/>
    </xf>
    <xf numFmtId="164" fontId="1" fillId="0" borderId="0" xfId="252" applyNumberFormat="1" applyAlignment="1">
      <alignment vertical="center"/>
      <protection/>
    </xf>
    <xf numFmtId="0" fontId="2" fillId="0" borderId="0" xfId="227" applyAlignment="1" applyProtection="1">
      <alignment horizontal="left" vertical="center"/>
      <protection/>
    </xf>
    <xf numFmtId="0" fontId="2" fillId="0" borderId="0" xfId="227" applyAlignment="1" applyProtection="1">
      <alignment horizontal="center" vertical="center"/>
      <protection/>
    </xf>
    <xf numFmtId="0" fontId="81" fillId="0" borderId="0" xfId="252" applyFont="1" applyFill="1" applyBorder="1" applyAlignment="1">
      <alignment vertical="center"/>
      <protection/>
    </xf>
    <xf numFmtId="0" fontId="81" fillId="0" borderId="0" xfId="252" applyFont="1" applyFill="1" applyAlignment="1">
      <alignment vertical="center"/>
      <protection/>
    </xf>
    <xf numFmtId="0" fontId="4" fillId="0" borderId="0" xfId="0" applyFont="1" applyFill="1" applyBorder="1"/>
    <xf numFmtId="179" fontId="83" fillId="0" borderId="0" xfId="0" applyNumberFormat="1" applyFont="1" applyFill="1" applyBorder="1" applyAlignment="1">
      <alignment horizontal="center" vertical="center"/>
    </xf>
    <xf numFmtId="0" fontId="83" fillId="0" borderId="0" xfId="0" applyFont="1" applyFill="1" applyAlignment="1">
      <alignment horizontal="center" vertical="center"/>
    </xf>
    <xf numFmtId="0" fontId="84" fillId="0" borderId="0" xfId="0" applyFont="1" applyFill="1" applyAlignment="1">
      <alignment horizontal="center" vertical="center"/>
    </xf>
    <xf numFmtId="164" fontId="0" fillId="27" borderId="44" xfId="0" applyNumberFormat="1" applyFont="1" applyFill="1" applyBorder="1" applyAlignment="1">
      <alignment horizontal="center" vertical="center"/>
    </xf>
    <xf numFmtId="164" fontId="0" fillId="0" borderId="23" xfId="0" applyNumberFormat="1" applyFont="1" applyFill="1" applyBorder="1" applyAlignment="1">
      <alignment horizontal="center" vertical="center"/>
    </xf>
    <xf numFmtId="164" fontId="0" fillId="27" borderId="23" xfId="0" applyNumberFormat="1" applyFont="1" applyFill="1" applyBorder="1" applyAlignment="1">
      <alignment horizontal="center" vertical="center"/>
    </xf>
    <xf numFmtId="164" fontId="0" fillId="27" borderId="28" xfId="0" applyNumberFormat="1" applyFont="1" applyFill="1" applyBorder="1" applyAlignment="1">
      <alignment horizontal="center" vertical="center"/>
    </xf>
    <xf numFmtId="0" fontId="0" fillId="0" borderId="0" xfId="0" applyFont="1" applyAlignment="1">
      <alignment horizontal="right"/>
    </xf>
    <xf numFmtId="0" fontId="4" fillId="0" borderId="0" xfId="0" applyFont="1" applyAlignment="1">
      <alignment horizontal="right"/>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164" fontId="0" fillId="27" borderId="30" xfId="0" applyNumberFormat="1" applyFont="1" applyFill="1" applyBorder="1" applyAlignment="1">
      <alignment horizontal="center"/>
    </xf>
    <xf numFmtId="0" fontId="0" fillId="0" borderId="0" xfId="245" applyFont="1" applyAlignment="1">
      <alignment/>
      <protection/>
    </xf>
    <xf numFmtId="0" fontId="4" fillId="0" borderId="17" xfId="245" applyFont="1" applyFill="1" applyBorder="1" applyAlignment="1">
      <alignment horizontal="center" vertical="center" wrapText="1"/>
      <protection/>
    </xf>
    <xf numFmtId="0" fontId="4" fillId="0" borderId="21" xfId="245" applyFont="1" applyFill="1" applyBorder="1" applyAlignment="1">
      <alignment horizontal="center" vertical="center" wrapText="1"/>
      <protection/>
    </xf>
    <xf numFmtId="0" fontId="4" fillId="0" borderId="16" xfId="245" applyFont="1" applyFill="1" applyBorder="1" applyAlignment="1">
      <alignment horizontal="center" vertical="center" wrapText="1"/>
      <protection/>
    </xf>
    <xf numFmtId="0" fontId="0" fillId="0" borderId="0" xfId="245" applyFont="1" applyAlignment="1">
      <alignment horizontal="center" vertical="center"/>
      <protection/>
    </xf>
    <xf numFmtId="1" fontId="0" fillId="27" borderId="19" xfId="245" applyNumberFormat="1" applyFont="1" applyFill="1" applyBorder="1" applyAlignment="1">
      <alignment horizontal="center"/>
      <protection/>
    </xf>
    <xf numFmtId="1" fontId="0" fillId="27" borderId="23" xfId="245" applyNumberFormat="1" applyFont="1" applyFill="1" applyBorder="1" applyAlignment="1">
      <alignment horizontal="left"/>
      <protection/>
    </xf>
    <xf numFmtId="180" fontId="0" fillId="27" borderId="24" xfId="245" applyNumberFormat="1" applyFont="1" applyFill="1" applyBorder="1" applyAlignment="1">
      <alignment vertical="center"/>
      <protection/>
    </xf>
    <xf numFmtId="180" fontId="0" fillId="27" borderId="25" xfId="245" applyNumberFormat="1" applyFont="1" applyFill="1" applyBorder="1" applyAlignment="1">
      <alignment vertical="center"/>
      <protection/>
    </xf>
    <xf numFmtId="167" fontId="0" fillId="27" borderId="25" xfId="245" applyNumberFormat="1" applyFont="1" applyFill="1" applyBorder="1" applyAlignment="1">
      <alignment horizontal="center"/>
      <protection/>
    </xf>
    <xf numFmtId="167" fontId="0" fillId="27" borderId="26" xfId="245" applyNumberFormat="1" applyFont="1" applyFill="1" applyBorder="1" applyAlignment="1">
      <alignment horizontal="center"/>
      <protection/>
    </xf>
    <xf numFmtId="165" fontId="0" fillId="27" borderId="24" xfId="245" applyNumberFormat="1" applyFont="1" applyFill="1" applyBorder="1" applyAlignment="1">
      <alignment horizontal="center"/>
      <protection/>
    </xf>
    <xf numFmtId="165" fontId="0" fillId="27" borderId="25" xfId="245" applyNumberFormat="1" applyFont="1" applyFill="1" applyBorder="1" applyAlignment="1">
      <alignment horizontal="center"/>
      <protection/>
    </xf>
    <xf numFmtId="178" fontId="0" fillId="27" borderId="25" xfId="245" applyNumberFormat="1" applyFont="1" applyFill="1" applyBorder="1" applyAlignment="1">
      <alignment horizontal="center"/>
      <protection/>
    </xf>
    <xf numFmtId="181" fontId="0" fillId="27" borderId="25" xfId="245" applyNumberFormat="1" applyFont="1" applyFill="1" applyBorder="1" applyAlignment="1">
      <alignment horizontal="center"/>
      <protection/>
    </xf>
    <xf numFmtId="0" fontId="0" fillId="27" borderId="26" xfId="245" applyFont="1" applyFill="1" applyBorder="1" applyAlignment="1">
      <alignment horizontal="center"/>
      <protection/>
    </xf>
    <xf numFmtId="1" fontId="0" fillId="0" borderId="19" xfId="245" applyNumberFormat="1" applyFont="1" applyFill="1" applyBorder="1" applyAlignment="1">
      <alignment horizontal="center"/>
      <protection/>
    </xf>
    <xf numFmtId="1" fontId="0" fillId="0" borderId="23" xfId="245" applyNumberFormat="1" applyFont="1" applyFill="1" applyBorder="1" applyAlignment="1">
      <alignment horizontal="left"/>
      <protection/>
    </xf>
    <xf numFmtId="180" fontId="0" fillId="0" borderId="18" xfId="245" applyNumberFormat="1" applyFont="1" applyFill="1" applyBorder="1" applyAlignment="1">
      <alignment vertical="center"/>
      <protection/>
    </xf>
    <xf numFmtId="180" fontId="0" fillId="0" borderId="19" xfId="245" applyNumberFormat="1" applyFont="1" applyFill="1" applyBorder="1" applyAlignment="1">
      <alignment vertical="center"/>
      <protection/>
    </xf>
    <xf numFmtId="167" fontId="0" fillId="0" borderId="19" xfId="245" applyNumberFormat="1" applyFont="1" applyFill="1" applyBorder="1" applyAlignment="1">
      <alignment horizontal="center"/>
      <protection/>
    </xf>
    <xf numFmtId="167" fontId="0" fillId="0" borderId="20" xfId="245" applyNumberFormat="1" applyFont="1" applyFill="1" applyBorder="1" applyAlignment="1">
      <alignment horizontal="center"/>
      <protection/>
    </xf>
    <xf numFmtId="165" fontId="0" fillId="0" borderId="18" xfId="245" applyNumberFormat="1" applyFont="1" applyFill="1" applyBorder="1" applyAlignment="1">
      <alignment horizontal="center"/>
      <protection/>
    </xf>
    <xf numFmtId="165" fontId="0" fillId="0" borderId="19" xfId="245" applyNumberFormat="1" applyFont="1" applyFill="1" applyBorder="1" applyAlignment="1">
      <alignment horizontal="center"/>
      <protection/>
    </xf>
    <xf numFmtId="178" fontId="0" fillId="0" borderId="19" xfId="245" applyNumberFormat="1" applyFont="1" applyFill="1" applyBorder="1" applyAlignment="1">
      <alignment horizontal="center"/>
      <protection/>
    </xf>
    <xf numFmtId="181" fontId="0" fillId="0" borderId="19" xfId="245" applyNumberFormat="1" applyFont="1" applyFill="1" applyBorder="1" applyAlignment="1">
      <alignment horizontal="center"/>
      <protection/>
    </xf>
    <xf numFmtId="0" fontId="0" fillId="0" borderId="20" xfId="245" applyFont="1" applyFill="1" applyBorder="1" applyAlignment="1">
      <alignment horizontal="center"/>
      <protection/>
    </xf>
    <xf numFmtId="0" fontId="0" fillId="0" borderId="0" xfId="245" applyFont="1" applyFill="1" applyAlignment="1">
      <alignment/>
      <protection/>
    </xf>
    <xf numFmtId="180" fontId="0" fillId="27" borderId="18" xfId="245" applyNumberFormat="1" applyFont="1" applyFill="1" applyBorder="1" applyAlignment="1">
      <alignment vertical="center"/>
      <protection/>
    </xf>
    <xf numFmtId="180" fontId="0" fillId="27" borderId="19" xfId="245" applyNumberFormat="1" applyFont="1" applyFill="1" applyBorder="1" applyAlignment="1">
      <alignment vertical="center"/>
      <protection/>
    </xf>
    <xf numFmtId="167" fontId="0" fillId="27" borderId="19" xfId="245" applyNumberFormat="1" applyFont="1" applyFill="1" applyBorder="1" applyAlignment="1">
      <alignment horizontal="center"/>
      <protection/>
    </xf>
    <xf numFmtId="167" fontId="0" fillId="27" borderId="20" xfId="245" applyNumberFormat="1" applyFont="1" applyFill="1" applyBorder="1" applyAlignment="1">
      <alignment horizontal="center"/>
      <protection/>
    </xf>
    <xf numFmtId="165" fontId="0" fillId="27" borderId="18" xfId="245" applyNumberFormat="1" applyFont="1" applyFill="1" applyBorder="1" applyAlignment="1">
      <alignment horizontal="center"/>
      <protection/>
    </xf>
    <xf numFmtId="165" fontId="0" fillId="27" borderId="19" xfId="245" applyNumberFormat="1" applyFont="1" applyFill="1" applyBorder="1" applyAlignment="1">
      <alignment horizontal="center"/>
      <protection/>
    </xf>
    <xf numFmtId="178" fontId="0" fillId="27" borderId="19" xfId="245" applyNumberFormat="1" applyFont="1" applyFill="1" applyBorder="1" applyAlignment="1">
      <alignment horizontal="center"/>
      <protection/>
    </xf>
    <xf numFmtId="181" fontId="0" fillId="27" borderId="19" xfId="245" applyNumberFormat="1" applyFont="1" applyFill="1" applyBorder="1" applyAlignment="1">
      <alignment horizontal="center"/>
      <protection/>
    </xf>
    <xf numFmtId="0" fontId="0" fillId="27" borderId="20" xfId="245" applyFont="1" applyFill="1" applyBorder="1" applyAlignment="1">
      <alignment horizontal="center"/>
      <protection/>
    </xf>
    <xf numFmtId="0" fontId="0" fillId="27" borderId="19" xfId="245" applyFont="1" applyFill="1" applyBorder="1" applyAlignment="1">
      <alignment horizontal="center"/>
      <protection/>
    </xf>
    <xf numFmtId="0" fontId="0" fillId="0" borderId="19" xfId="245" applyFont="1" applyFill="1" applyBorder="1" applyAlignment="1">
      <alignment horizontal="center"/>
      <protection/>
    </xf>
    <xf numFmtId="180" fontId="0" fillId="27" borderId="17" xfId="245" applyNumberFormat="1" applyFont="1" applyFill="1" applyBorder="1" applyAlignment="1">
      <alignment vertical="center"/>
      <protection/>
    </xf>
    <xf numFmtId="180" fontId="0" fillId="27" borderId="21" xfId="245" applyNumberFormat="1" applyFont="1" applyFill="1" applyBorder="1" applyAlignment="1">
      <alignment vertical="center"/>
      <protection/>
    </xf>
    <xf numFmtId="167" fontId="0" fillId="27" borderId="21" xfId="245" applyNumberFormat="1" applyFont="1" applyFill="1" applyBorder="1" applyAlignment="1">
      <alignment horizontal="center"/>
      <protection/>
    </xf>
    <xf numFmtId="167" fontId="0" fillId="27" borderId="16" xfId="245" applyNumberFormat="1" applyFont="1" applyFill="1" applyBorder="1" applyAlignment="1">
      <alignment horizontal="center"/>
      <protection/>
    </xf>
    <xf numFmtId="165" fontId="0" fillId="27" borderId="17" xfId="245" applyNumberFormat="1" applyFont="1" applyFill="1" applyBorder="1" applyAlignment="1">
      <alignment horizontal="center"/>
      <protection/>
    </xf>
    <xf numFmtId="165" fontId="0" fillId="27" borderId="21" xfId="245" applyNumberFormat="1" applyFont="1" applyFill="1" applyBorder="1" applyAlignment="1">
      <alignment horizontal="center"/>
      <protection/>
    </xf>
    <xf numFmtId="178" fontId="0" fillId="27" borderId="21" xfId="245" applyNumberFormat="1" applyFont="1" applyFill="1" applyBorder="1" applyAlignment="1">
      <alignment horizontal="center"/>
      <protection/>
    </xf>
    <xf numFmtId="181" fontId="0" fillId="27" borderId="21" xfId="245" applyNumberFormat="1" applyFont="1" applyFill="1" applyBorder="1" applyAlignment="1">
      <alignment horizontal="center"/>
      <protection/>
    </xf>
    <xf numFmtId="0" fontId="0" fillId="27" borderId="16" xfId="245" applyFont="1" applyFill="1" applyBorder="1" applyAlignment="1">
      <alignment horizontal="center"/>
      <protection/>
    </xf>
    <xf numFmtId="1" fontId="0" fillId="0" borderId="0" xfId="245" applyNumberFormat="1" applyFont="1" applyFill="1" applyAlignment="1">
      <alignment horizontal="center"/>
      <protection/>
    </xf>
    <xf numFmtId="1" fontId="0" fillId="0" borderId="0" xfId="245" applyNumberFormat="1" applyFont="1" applyFill="1" applyAlignment="1">
      <alignment horizontal="left"/>
      <protection/>
    </xf>
    <xf numFmtId="180" fontId="0" fillId="0" borderId="0" xfId="245" applyNumberFormat="1" applyFont="1" applyFill="1" applyAlignment="1">
      <alignment/>
      <protection/>
    </xf>
    <xf numFmtId="167" fontId="0" fillId="0" borderId="0" xfId="245" applyNumberFormat="1" applyFont="1" applyFill="1" applyAlignment="1">
      <alignment horizontal="center"/>
      <protection/>
    </xf>
    <xf numFmtId="1" fontId="0" fillId="0" borderId="0" xfId="245" applyNumberFormat="1" applyFont="1" applyFill="1" applyAlignment="1">
      <alignment horizontal="left" wrapText="1"/>
      <protection/>
    </xf>
    <xf numFmtId="0" fontId="0" fillId="0" borderId="0" xfId="0" applyFont="1" applyFill="1" applyAlignment="1">
      <alignment horizontal="right"/>
    </xf>
    <xf numFmtId="0" fontId="0" fillId="0" borderId="23" xfId="0" applyFont="1" applyFill="1" applyBorder="1" applyAlignment="1">
      <alignment horizontal="center" vertical="center" wrapText="1"/>
    </xf>
    <xf numFmtId="0" fontId="0" fillId="27" borderId="20" xfId="0" applyFont="1" applyFill="1" applyBorder="1" applyAlignment="1">
      <alignment horizontal="center" vertical="center"/>
    </xf>
    <xf numFmtId="0" fontId="0" fillId="27" borderId="26" xfId="0" applyFont="1" applyFill="1" applyBorder="1" applyAlignment="1">
      <alignment horizontal="center" vertical="center"/>
    </xf>
    <xf numFmtId="0" fontId="83" fillId="0" borderId="16" xfId="0" applyFont="1" applyFill="1" applyBorder="1" applyAlignment="1">
      <alignment horizontal="center" vertical="center"/>
    </xf>
    <xf numFmtId="0" fontId="0" fillId="27" borderId="30" xfId="0" applyFont="1" applyFill="1" applyBorder="1" applyAlignment="1">
      <alignment horizontal="center" vertical="center"/>
    </xf>
    <xf numFmtId="0" fontId="4" fillId="0" borderId="0" xfId="245" applyFont="1" applyAlignment="1">
      <alignment/>
      <protection/>
    </xf>
    <xf numFmtId="0" fontId="75" fillId="0" borderId="0" xfId="245" applyFont="1" applyAlignment="1">
      <alignment/>
      <protection/>
    </xf>
    <xf numFmtId="0" fontId="0" fillId="0" borderId="0" xfId="245" applyFont="1" applyAlignment="1">
      <alignment horizontal="center"/>
      <protection/>
    </xf>
    <xf numFmtId="0" fontId="0" fillId="0" borderId="0" xfId="245" applyFont="1" applyBorder="1" applyAlignment="1">
      <alignment/>
      <protection/>
    </xf>
    <xf numFmtId="1" fontId="0" fillId="0" borderId="19" xfId="245" applyNumberFormat="1" applyFont="1" applyFill="1" applyBorder="1" applyAlignment="1">
      <alignment horizontal="left"/>
      <protection/>
    </xf>
    <xf numFmtId="0" fontId="0" fillId="0" borderId="0" xfId="245" applyFont="1" applyFill="1" applyBorder="1" applyAlignment="1">
      <alignment horizontal="left"/>
      <protection/>
    </xf>
    <xf numFmtId="17" fontId="0" fillId="0" borderId="0" xfId="245" applyNumberFormat="1" applyFont="1" applyFill="1" applyBorder="1">
      <alignment/>
      <protection/>
    </xf>
    <xf numFmtId="0" fontId="0" fillId="0" borderId="0" xfId="245" applyFont="1" applyFill="1" applyBorder="1" applyAlignment="1">
      <alignment horizontal="right"/>
      <protection/>
    </xf>
    <xf numFmtId="182" fontId="0" fillId="0" borderId="0" xfId="176" applyNumberFormat="1" applyFont="1" applyFill="1" applyBorder="1"/>
    <xf numFmtId="0" fontId="75" fillId="0" borderId="0" xfId="0" applyFont="1" applyFill="1" applyBorder="1"/>
    <xf numFmtId="166" fontId="77" fillId="0" borderId="0" xfId="0" applyNumberFormat="1" applyFont="1" applyFill="1" applyBorder="1" applyAlignment="1">
      <alignment horizontal="left"/>
    </xf>
    <xf numFmtId="0" fontId="73" fillId="0" borderId="0" xfId="0" applyFont="1" applyFill="1" applyBorder="1"/>
    <xf numFmtId="179" fontId="83" fillId="0" borderId="0" xfId="245" applyNumberFormat="1" applyFont="1" applyAlignment="1">
      <alignment horizontal="center" vertical="center"/>
      <protection/>
    </xf>
    <xf numFmtId="179" fontId="83" fillId="0" borderId="0" xfId="245" applyNumberFormat="1" applyFont="1" applyFill="1" applyAlignment="1">
      <alignment horizontal="center"/>
      <protection/>
    </xf>
    <xf numFmtId="179" fontId="83" fillId="0" borderId="0" xfId="0" applyNumberFormat="1" applyFont="1" applyFill="1" applyBorder="1" applyAlignment="1">
      <alignment horizontal="center"/>
    </xf>
    <xf numFmtId="0" fontId="0" fillId="0" borderId="19" xfId="245" applyFont="1" applyFill="1" applyBorder="1" applyAlignment="1">
      <alignment horizontal="center" vertical="center" wrapText="1"/>
      <protection/>
    </xf>
    <xf numFmtId="0" fontId="0" fillId="0" borderId="23" xfId="245" applyFont="1" applyFill="1" applyBorder="1" applyAlignment="1">
      <alignment horizontal="center" vertical="center" wrapText="1"/>
      <protection/>
    </xf>
    <xf numFmtId="0" fontId="4" fillId="0" borderId="19" xfId="245" applyFont="1" applyFill="1" applyBorder="1" applyAlignment="1">
      <alignment horizontal="center" wrapText="1"/>
      <protection/>
    </xf>
    <xf numFmtId="17" fontId="4" fillId="0" borderId="19" xfId="245" applyNumberFormat="1" applyFont="1" applyFill="1" applyBorder="1" applyAlignment="1">
      <alignment horizontal="center" wrapText="1"/>
      <protection/>
    </xf>
    <xf numFmtId="17" fontId="4" fillId="0" borderId="19" xfId="245" applyNumberFormat="1" applyFont="1" applyFill="1" applyBorder="1" applyAlignment="1">
      <alignment horizontal="center"/>
      <protection/>
    </xf>
    <xf numFmtId="0" fontId="4" fillId="0" borderId="19" xfId="245" applyFont="1" applyFill="1" applyBorder="1" applyAlignment="1">
      <alignment horizontal="center"/>
      <protection/>
    </xf>
    <xf numFmtId="0" fontId="4" fillId="0" borderId="0" xfId="0" applyFont="1" applyFill="1" applyBorder="1" applyAlignment="1">
      <alignment wrapText="1"/>
    </xf>
    <xf numFmtId="1" fontId="0" fillId="27" borderId="19" xfId="245" applyNumberFormat="1" applyFont="1" applyFill="1" applyBorder="1" applyAlignment="1">
      <alignment horizontal="left"/>
      <protection/>
    </xf>
    <xf numFmtId="182" fontId="0" fillId="27" borderId="19" xfId="176" applyNumberFormat="1" applyFont="1" applyFill="1" applyBorder="1" applyAlignment="1">
      <alignment horizontal="center"/>
    </xf>
    <xf numFmtId="0" fontId="0" fillId="0" borderId="0" xfId="0" applyFont="1" applyFill="1" applyAlignment="1">
      <alignment horizontal="center" vertical="center"/>
    </xf>
    <xf numFmtId="0" fontId="85" fillId="0" borderId="0" xfId="0" applyFont="1" applyFill="1" applyAlignment="1">
      <alignment horizontal="left" vertical="center"/>
    </xf>
    <xf numFmtId="0" fontId="86" fillId="0" borderId="0" xfId="0" applyFont="1" applyFill="1" applyAlignment="1">
      <alignment horizontal="left" vertical="center"/>
    </xf>
    <xf numFmtId="0" fontId="0" fillId="0" borderId="0" xfId="0" applyFont="1" applyFill="1" applyAlignment="1" quotePrefix="1">
      <alignment horizontal="center" vertical="center"/>
    </xf>
    <xf numFmtId="0" fontId="0" fillId="0" borderId="0" xfId="0" applyFont="1" applyFill="1" applyAlignment="1">
      <alignment horizontal="right" vertical="center"/>
    </xf>
    <xf numFmtId="0" fontId="0" fillId="0" borderId="0" xfId="0" applyFont="1" applyFill="1" applyAlignment="1">
      <alignment horizontal="center" vertical="center" wrapText="1"/>
    </xf>
    <xf numFmtId="0" fontId="87" fillId="0" borderId="0" xfId="0" applyFont="1" applyFill="1" applyAlignment="1">
      <alignment horizontal="left" vertical="center"/>
    </xf>
    <xf numFmtId="0" fontId="0" fillId="0" borderId="0" xfId="0" applyFont="1" applyFill="1" applyAlignment="1">
      <alignment horizontal="left" vertical="center"/>
    </xf>
    <xf numFmtId="0" fontId="88" fillId="0" borderId="0" xfId="0" applyFont="1" applyFill="1" applyAlignment="1">
      <alignment horizontal="center"/>
    </xf>
    <xf numFmtId="164" fontId="0" fillId="0" borderId="0" xfId="0" applyNumberFormat="1" applyFont="1" applyFill="1" applyAlignment="1">
      <alignment horizontal="center" vertical="center"/>
    </xf>
    <xf numFmtId="41" fontId="88" fillId="0" borderId="0" xfId="0" applyNumberFormat="1" applyFont="1" applyFill="1"/>
    <xf numFmtId="41" fontId="88" fillId="31" borderId="0" xfId="0" applyNumberFormat="1" applyFont="1" applyFill="1"/>
    <xf numFmtId="37" fontId="0" fillId="0" borderId="0" xfId="0" applyNumberFormat="1" applyFont="1" applyFill="1" applyAlignment="1">
      <alignment horizontal="center" vertical="center" wrapText="1"/>
    </xf>
    <xf numFmtId="164" fontId="0" fillId="0" borderId="0" xfId="0" applyNumberFormat="1" applyFont="1" applyFill="1" applyAlignment="1">
      <alignment horizontal="center" vertical="center" wrapText="1"/>
    </xf>
    <xf numFmtId="41" fontId="88" fillId="0" borderId="0" xfId="0" applyNumberFormat="1" applyFont="1" applyFill="1" applyAlignment="1">
      <alignment vertical="center" wrapText="1"/>
    </xf>
    <xf numFmtId="41" fontId="88" fillId="0" borderId="0" xfId="0" applyNumberFormat="1" applyFont="1" applyFill="1" applyAlignment="1">
      <alignment vertical="center"/>
    </xf>
    <xf numFmtId="3" fontId="0" fillId="0" borderId="0" xfId="0" applyNumberFormat="1" applyFont="1" applyFill="1" applyAlignment="1">
      <alignment horizontal="center" vertical="center"/>
    </xf>
    <xf numFmtId="10" fontId="0" fillId="0" borderId="0" xfId="0" applyNumberFormat="1" applyFont="1" applyFill="1" applyAlignment="1">
      <alignment horizontal="center" vertical="center"/>
    </xf>
    <xf numFmtId="0" fontId="89" fillId="0" borderId="0" xfId="0" applyFont="1"/>
    <xf numFmtId="0" fontId="88" fillId="0" borderId="0" xfId="0" applyFont="1"/>
    <xf numFmtId="0" fontId="90" fillId="0" borderId="0" xfId="227" applyFont="1" applyAlignment="1" applyProtection="1">
      <alignment/>
      <protection/>
    </xf>
    <xf numFmtId="41" fontId="0" fillId="0" borderId="0" xfId="0" applyNumberFormat="1" applyFont="1" applyFill="1" applyAlignment="1">
      <alignment horizontal="center" vertical="center"/>
    </xf>
    <xf numFmtId="164" fontId="0" fillId="0" borderId="0" xfId="0" applyNumberFormat="1" applyFont="1" applyFill="1" applyAlignment="1">
      <alignment vertical="center"/>
    </xf>
    <xf numFmtId="178" fontId="0" fillId="0" borderId="0" xfId="245" applyNumberFormat="1" applyFont="1" applyAlignment="1">
      <alignment/>
      <protection/>
    </xf>
    <xf numFmtId="164" fontId="0" fillId="0" borderId="0" xfId="0" applyNumberFormat="1" applyFont="1" applyFill="1" applyBorder="1"/>
    <xf numFmtId="0" fontId="0" fillId="0" borderId="0" xfId="0" applyFont="1" applyFill="1" applyAlignment="1">
      <alignment horizontal="right" vertical="center"/>
    </xf>
    <xf numFmtId="166" fontId="77" fillId="0" borderId="0" xfId="0" applyNumberFormat="1" applyFont="1" applyFill="1" applyBorder="1" applyAlignment="1">
      <alignment horizontal="left"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5" xfId="245" applyFont="1" applyFill="1" applyBorder="1" applyAlignment="1">
      <alignment horizontal="center"/>
      <protection/>
    </xf>
    <xf numFmtId="0" fontId="4" fillId="0" borderId="47" xfId="245" applyFont="1" applyFill="1" applyBorder="1" applyAlignment="1">
      <alignment horizontal="center"/>
      <protection/>
    </xf>
    <xf numFmtId="0" fontId="4" fillId="0" borderId="46" xfId="245" applyFont="1" applyFill="1" applyBorder="1" applyAlignment="1">
      <alignment horizontal="center"/>
      <protection/>
    </xf>
    <xf numFmtId="0" fontId="4" fillId="0" borderId="49" xfId="245" applyFont="1" applyFill="1" applyBorder="1" applyAlignment="1">
      <alignment horizontal="center"/>
      <protection/>
    </xf>
    <xf numFmtId="0" fontId="4" fillId="0" borderId="50" xfId="245" applyFont="1" applyFill="1" applyBorder="1" applyAlignment="1">
      <alignment horizontal="center"/>
      <protection/>
    </xf>
    <xf numFmtId="0" fontId="4" fillId="0" borderId="51" xfId="245" applyFont="1" applyFill="1" applyBorder="1" applyAlignment="1">
      <alignment horizontal="center"/>
      <protection/>
    </xf>
    <xf numFmtId="166" fontId="77" fillId="0" borderId="0" xfId="245" applyNumberFormat="1" applyFont="1" applyAlignment="1">
      <alignment horizontal="left"/>
      <protection/>
    </xf>
    <xf numFmtId="166" fontId="77" fillId="0" borderId="0" xfId="0" applyNumberFormat="1" applyFont="1" applyFill="1" applyBorder="1" applyAlignment="1">
      <alignment horizontal="left"/>
    </xf>
    <xf numFmtId="0" fontId="4" fillId="0" borderId="23" xfId="0" applyFont="1" applyFill="1" applyBorder="1" applyAlignment="1">
      <alignment horizontal="center"/>
    </xf>
    <xf numFmtId="0" fontId="4" fillId="0" borderId="38" xfId="0" applyFont="1" applyFill="1" applyBorder="1" applyAlignment="1">
      <alignment horizontal="center"/>
    </xf>
    <xf numFmtId="0" fontId="4" fillId="0" borderId="52" xfId="0" applyFont="1" applyFill="1" applyBorder="1" applyAlignment="1">
      <alignment horizontal="center"/>
    </xf>
    <xf numFmtId="0" fontId="1" fillId="0" borderId="0" xfId="252" applyAlignment="1">
      <alignment vertical="center"/>
      <protection/>
    </xf>
    <xf numFmtId="0" fontId="1" fillId="0" borderId="0" xfId="252" applyAlignment="1">
      <alignment vertical="center" wrapText="1"/>
      <protection/>
    </xf>
    <xf numFmtId="0" fontId="79" fillId="0" borderId="53" xfId="252" applyFont="1" applyBorder="1" applyAlignment="1">
      <alignment horizontal="center" vertical="center"/>
      <protection/>
    </xf>
    <xf numFmtId="0" fontId="1" fillId="0" borderId="54" xfId="252" applyBorder="1" applyAlignment="1">
      <alignment vertical="center"/>
      <protection/>
    </xf>
    <xf numFmtId="0" fontId="1" fillId="0" borderId="55" xfId="252" applyBorder="1" applyAlignment="1">
      <alignment vertical="center"/>
      <protection/>
    </xf>
    <xf numFmtId="0" fontId="79" fillId="0" borderId="54" xfId="252" applyFont="1" applyBorder="1" applyAlignment="1">
      <alignment horizontal="center" vertical="center"/>
      <protection/>
    </xf>
    <xf numFmtId="0" fontId="79" fillId="0" borderId="56" xfId="252" applyFont="1" applyBorder="1" applyAlignment="1">
      <alignment horizontal="center" vertical="center"/>
      <protection/>
    </xf>
    <xf numFmtId="0" fontId="79" fillId="0" borderId="57" xfId="252" applyFont="1" applyBorder="1" applyAlignment="1">
      <alignment horizontal="center" vertical="center"/>
      <protection/>
    </xf>
    <xf numFmtId="0" fontId="79" fillId="0" borderId="58" xfId="252" applyFont="1" applyBorder="1" applyAlignment="1">
      <alignment horizontal="center" vertical="center"/>
      <protection/>
    </xf>
    <xf numFmtId="0" fontId="1" fillId="0" borderId="57" xfId="252" applyBorder="1" applyAlignment="1">
      <alignment horizontal="center" vertical="center"/>
      <protection/>
    </xf>
    <xf numFmtId="0" fontId="1" fillId="0" borderId="57" xfId="252" applyBorder="1" applyAlignment="1">
      <alignment vertical="center"/>
      <protection/>
    </xf>
    <xf numFmtId="0" fontId="1" fillId="0" borderId="58" xfId="252" applyBorder="1" applyAlignment="1">
      <alignment vertical="center"/>
      <protection/>
    </xf>
    <xf numFmtId="0" fontId="79" fillId="0" borderId="56" xfId="252" applyFont="1" applyBorder="1" applyAlignment="1">
      <alignment horizontal="center" vertical="center" wrapText="1"/>
      <protection/>
    </xf>
  </cellXfs>
  <cellStyles count="346">
    <cellStyle name="Normal" xfId="0"/>
    <cellStyle name="Percent" xfId="15"/>
    <cellStyle name="Currency" xfId="16"/>
    <cellStyle name="Currency [0]" xfId="17"/>
    <cellStyle name="Comma" xfId="18"/>
    <cellStyle name="Comma [0]" xfId="19"/>
    <cellStyle name="_%(SignOnly)" xfId="20"/>
    <cellStyle name="_%(SignOnly) 2" xfId="21"/>
    <cellStyle name="_%(SignOnly) 2 2" xfId="22"/>
    <cellStyle name="_%(SignOnly) 3" xfId="23"/>
    <cellStyle name="_%(SignSpaceOnly)" xfId="24"/>
    <cellStyle name="_%(SignSpaceOnly) 2" xfId="25"/>
    <cellStyle name="_%(SignSpaceOnly) 2 2" xfId="26"/>
    <cellStyle name="_%(SignSpaceOnly) 3" xfId="27"/>
    <cellStyle name="_Comma" xfId="28"/>
    <cellStyle name="_Comma 2" xfId="29"/>
    <cellStyle name="_Comma 2 2" xfId="30"/>
    <cellStyle name="_Comma 3" xfId="31"/>
    <cellStyle name="_Currency" xfId="32"/>
    <cellStyle name="_Currency 2" xfId="33"/>
    <cellStyle name="_Currency 2 2" xfId="34"/>
    <cellStyle name="_Currency 3" xfId="35"/>
    <cellStyle name="_CurrencySpace" xfId="36"/>
    <cellStyle name="_CurrencySpace 2" xfId="37"/>
    <cellStyle name="_CurrencySpace 2 2" xfId="38"/>
    <cellStyle name="_CurrencySpace 3" xfId="39"/>
    <cellStyle name="_Euro" xfId="40"/>
    <cellStyle name="_Euro 2" xfId="41"/>
    <cellStyle name="_Euro 2 2" xfId="42"/>
    <cellStyle name="_Euro 3" xfId="43"/>
    <cellStyle name="_Heading" xfId="44"/>
    <cellStyle name="_Highlight" xfId="45"/>
    <cellStyle name="_Highlight 2" xfId="46"/>
    <cellStyle name="_Highlight 2 2" xfId="47"/>
    <cellStyle name="_Highlight 3" xfId="48"/>
    <cellStyle name="_Multiple" xfId="49"/>
    <cellStyle name="_Multiple 2" xfId="50"/>
    <cellStyle name="_Multiple 2 2" xfId="51"/>
    <cellStyle name="_Multiple 3" xfId="52"/>
    <cellStyle name="_MultipleSpace" xfId="53"/>
    <cellStyle name="_MultipleSpace 2" xfId="54"/>
    <cellStyle name="_MultipleSpace 2 2" xfId="55"/>
    <cellStyle name="_MultipleSpace 3" xfId="56"/>
    <cellStyle name="_SubHeading" xfId="57"/>
    <cellStyle name="_Table" xfId="58"/>
    <cellStyle name="_TableHead" xfId="59"/>
    <cellStyle name="_TableRowHead" xfId="60"/>
    <cellStyle name="_TableSuperHead" xfId="61"/>
    <cellStyle name="20% - Accent1" xfId="62"/>
    <cellStyle name="20% - Accent1 2" xfId="63"/>
    <cellStyle name="20% - Accent1 3" xfId="64"/>
    <cellStyle name="20% - Accent1 4" xfId="65"/>
    <cellStyle name="20% - Accent2" xfId="66"/>
    <cellStyle name="20% - Accent2 2" xfId="67"/>
    <cellStyle name="20% - Accent2 3" xfId="68"/>
    <cellStyle name="20% - Accent2 4" xfId="69"/>
    <cellStyle name="20% - Accent3" xfId="70"/>
    <cellStyle name="20% - Accent3 2" xfId="71"/>
    <cellStyle name="20% - Accent3 3" xfId="72"/>
    <cellStyle name="20% - Accent3 4" xfId="73"/>
    <cellStyle name="20% - Accent4" xfId="74"/>
    <cellStyle name="20% - Accent4 2" xfId="75"/>
    <cellStyle name="20% - Accent4 3" xfId="76"/>
    <cellStyle name="20% - Accent4 4" xfId="77"/>
    <cellStyle name="20% - Accent5" xfId="78"/>
    <cellStyle name="20% - Accent5 2" xfId="79"/>
    <cellStyle name="20% - Accent5 3" xfId="80"/>
    <cellStyle name="20% - Accent5 4" xfId="81"/>
    <cellStyle name="20% - Accent6" xfId="82"/>
    <cellStyle name="20% - Accent6 2" xfId="83"/>
    <cellStyle name="20% - Accent6 3" xfId="84"/>
    <cellStyle name="20% - Accent6 4" xfId="85"/>
    <cellStyle name="40% - Accent1" xfId="86"/>
    <cellStyle name="40% - Accent1 2" xfId="87"/>
    <cellStyle name="40% - Accent1 3" xfId="88"/>
    <cellStyle name="40% - Accent1 4" xfId="89"/>
    <cellStyle name="40% - Accent2" xfId="90"/>
    <cellStyle name="40% - Accent2 2" xfId="91"/>
    <cellStyle name="40% - Accent2 3" xfId="92"/>
    <cellStyle name="40% - Accent2 4" xfId="93"/>
    <cellStyle name="40% - Accent3" xfId="94"/>
    <cellStyle name="40% - Accent3 2" xfId="95"/>
    <cellStyle name="40% - Accent3 3" xfId="96"/>
    <cellStyle name="40% - Accent3 4" xfId="97"/>
    <cellStyle name="40% - Accent4" xfId="98"/>
    <cellStyle name="40% - Accent4 2" xfId="99"/>
    <cellStyle name="40% - Accent4 3" xfId="100"/>
    <cellStyle name="40% - Accent4 4" xfId="101"/>
    <cellStyle name="40% - Accent5" xfId="102"/>
    <cellStyle name="40% - Accent5 2" xfId="103"/>
    <cellStyle name="40% - Accent5 3" xfId="104"/>
    <cellStyle name="40% - Accent5 4" xfId="105"/>
    <cellStyle name="40% - Accent6" xfId="106"/>
    <cellStyle name="40% - Accent6 2" xfId="107"/>
    <cellStyle name="40% - Accent6 3" xfId="108"/>
    <cellStyle name="40% - Accent6 4" xfId="109"/>
    <cellStyle name="60% - Accent1" xfId="110"/>
    <cellStyle name="60% - Accent1 2" xfId="111"/>
    <cellStyle name="60% - Accent1 3" xfId="112"/>
    <cellStyle name="60% - Accent1 4" xfId="113"/>
    <cellStyle name="60% - Accent2" xfId="114"/>
    <cellStyle name="60% - Accent2 2" xfId="115"/>
    <cellStyle name="60% - Accent2 3" xfId="116"/>
    <cellStyle name="60% - Accent2 4" xfId="117"/>
    <cellStyle name="60% - Accent3" xfId="118"/>
    <cellStyle name="60% - Accent3 2" xfId="119"/>
    <cellStyle name="60% - Accent3 3" xfId="120"/>
    <cellStyle name="60% - Accent3 4" xfId="121"/>
    <cellStyle name="60% - Accent4" xfId="122"/>
    <cellStyle name="60% - Accent4 2" xfId="123"/>
    <cellStyle name="60% - Accent4 3" xfId="124"/>
    <cellStyle name="60% - Accent4 4" xfId="125"/>
    <cellStyle name="60% - Accent5" xfId="126"/>
    <cellStyle name="60% - Accent5 2" xfId="127"/>
    <cellStyle name="60% - Accent5 3" xfId="128"/>
    <cellStyle name="60% - Accent5 4" xfId="129"/>
    <cellStyle name="60% - Accent6" xfId="130"/>
    <cellStyle name="60% - Accent6 2" xfId="131"/>
    <cellStyle name="60% - Accent6 3" xfId="132"/>
    <cellStyle name="60% - Accent6 4" xfId="133"/>
    <cellStyle name="Accent1" xfId="134"/>
    <cellStyle name="Accent1 2" xfId="135"/>
    <cellStyle name="Accent1 3" xfId="136"/>
    <cellStyle name="Accent1 4" xfId="137"/>
    <cellStyle name="Accent2" xfId="138"/>
    <cellStyle name="Accent2 2" xfId="139"/>
    <cellStyle name="Accent2 3" xfId="140"/>
    <cellStyle name="Accent2 4" xfId="141"/>
    <cellStyle name="Accent3" xfId="142"/>
    <cellStyle name="Accent3 2" xfId="143"/>
    <cellStyle name="Accent3 3" xfId="144"/>
    <cellStyle name="Accent3 4" xfId="145"/>
    <cellStyle name="Accent4" xfId="146"/>
    <cellStyle name="Accent4 2" xfId="147"/>
    <cellStyle name="Accent4 3" xfId="148"/>
    <cellStyle name="Accent4 4" xfId="149"/>
    <cellStyle name="Accent5" xfId="150"/>
    <cellStyle name="Accent5 2" xfId="151"/>
    <cellStyle name="Accent5 3" xfId="152"/>
    <cellStyle name="Accent5 4" xfId="153"/>
    <cellStyle name="Accent6" xfId="154"/>
    <cellStyle name="Accent6 2" xfId="155"/>
    <cellStyle name="Accent6 3" xfId="156"/>
    <cellStyle name="Accent6 4" xfId="157"/>
    <cellStyle name="Adjustable" xfId="158"/>
    <cellStyle name="Bad" xfId="159"/>
    <cellStyle name="Bad 2" xfId="160"/>
    <cellStyle name="Bad 3" xfId="161"/>
    <cellStyle name="Bad 4" xfId="162"/>
    <cellStyle name="Calculation" xfId="163"/>
    <cellStyle name="Calculation 2" xfId="164"/>
    <cellStyle name="Calculation 3" xfId="165"/>
    <cellStyle name="Calculation 4" xfId="166"/>
    <cellStyle name="Check Cell" xfId="167"/>
    <cellStyle name="Check Cell 2" xfId="168"/>
    <cellStyle name="Check Cell 3" xfId="169"/>
    <cellStyle name="Check Cell 4" xfId="170"/>
    <cellStyle name="Comma 0" xfId="171"/>
    <cellStyle name="Comma 10" xfId="172"/>
    <cellStyle name="Comma 11" xfId="173"/>
    <cellStyle name="Comma 2" xfId="174"/>
    <cellStyle name="Comma 2 2" xfId="175"/>
    <cellStyle name="Comma 2 3" xfId="176"/>
    <cellStyle name="Comma 3" xfId="177"/>
    <cellStyle name="Comma 4" xfId="178"/>
    <cellStyle name="Comma 5" xfId="179"/>
    <cellStyle name="Comma 5 2" xfId="180"/>
    <cellStyle name="Comma 5 3" xfId="181"/>
    <cellStyle name="Comma 6" xfId="182"/>
    <cellStyle name="Comma 6 2" xfId="183"/>
    <cellStyle name="Comma 7" xfId="184"/>
    <cellStyle name="Comma 7 2" xfId="185"/>
    <cellStyle name="Comma 8" xfId="186"/>
    <cellStyle name="Comma 8 2" xfId="187"/>
    <cellStyle name="Comma 9" xfId="188"/>
    <cellStyle name="Currency 0" xfId="189"/>
    <cellStyle name="Currency 2" xfId="190"/>
    <cellStyle name="Currency 3" xfId="191"/>
    <cellStyle name="Currency 4" xfId="192"/>
    <cellStyle name="Currency 5" xfId="193"/>
    <cellStyle name="Date" xfId="194"/>
    <cellStyle name="Date 2" xfId="195"/>
    <cellStyle name="Date 2 2" xfId="196"/>
    <cellStyle name="Date 3" xfId="197"/>
    <cellStyle name="Date Aligned" xfId="198"/>
    <cellStyle name="Dotted Line" xfId="199"/>
    <cellStyle name="Explanatory Text" xfId="200"/>
    <cellStyle name="Explanatory Text 2" xfId="201"/>
    <cellStyle name="Explanatory Text 3" xfId="202"/>
    <cellStyle name="Explanatory Text 4" xfId="203"/>
    <cellStyle name="Footnote" xfId="204"/>
    <cellStyle name="Good" xfId="205"/>
    <cellStyle name="Good 2" xfId="206"/>
    <cellStyle name="Good 3" xfId="207"/>
    <cellStyle name="Good 4" xfId="208"/>
    <cellStyle name="Hard Percent" xfId="209"/>
    <cellStyle name="Header" xfId="210"/>
    <cellStyle name="Heading 1" xfId="211"/>
    <cellStyle name="Heading 1 2" xfId="212"/>
    <cellStyle name="Heading 1 3" xfId="213"/>
    <cellStyle name="Heading 1 4" xfId="214"/>
    <cellStyle name="Heading 2" xfId="215"/>
    <cellStyle name="Heading 2 2" xfId="216"/>
    <cellStyle name="Heading 2 3" xfId="217"/>
    <cellStyle name="Heading 2 4" xfId="218"/>
    <cellStyle name="Heading 3" xfId="219"/>
    <cellStyle name="Heading 3 2" xfId="220"/>
    <cellStyle name="Heading 3 3" xfId="221"/>
    <cellStyle name="Heading 3 4" xfId="222"/>
    <cellStyle name="Heading 4" xfId="223"/>
    <cellStyle name="Heading 4 2" xfId="224"/>
    <cellStyle name="Heading 4 3" xfId="225"/>
    <cellStyle name="Heading 4 4" xfId="226"/>
    <cellStyle name="Hyperlink" xfId="227"/>
    <cellStyle name="Hyperlink 2" xfId="228"/>
    <cellStyle name="Hyperlink 2 2" xfId="229"/>
    <cellStyle name="Hyperlink 2_TRMbd_BP2014_Extractor_1" xfId="230"/>
    <cellStyle name="Hyperlink 3" xfId="231"/>
    <cellStyle name="Input" xfId="232"/>
    <cellStyle name="Input 2" xfId="233"/>
    <cellStyle name="Input 3" xfId="234"/>
    <cellStyle name="Input 4" xfId="235"/>
    <cellStyle name="Linked Cell" xfId="236"/>
    <cellStyle name="Linked Cell 2" xfId="237"/>
    <cellStyle name="Linked Cell 3" xfId="238"/>
    <cellStyle name="Linked Cell 4" xfId="239"/>
    <cellStyle name="Multiple" xfId="240"/>
    <cellStyle name="Neutral" xfId="241"/>
    <cellStyle name="Neutral 2" xfId="242"/>
    <cellStyle name="Neutral 3" xfId="243"/>
    <cellStyle name="Neutral 4" xfId="244"/>
    <cellStyle name="Normal 2" xfId="245"/>
    <cellStyle name="Normal 3" xfId="246"/>
    <cellStyle name="Normal 4" xfId="247"/>
    <cellStyle name="Normal 5" xfId="248"/>
    <cellStyle name="Normal 6" xfId="249"/>
    <cellStyle name="Normal 7" xfId="250"/>
    <cellStyle name="Normal 8" xfId="251"/>
    <cellStyle name="Normal 9" xfId="252"/>
    <cellStyle name="Note" xfId="253"/>
    <cellStyle name="Note 2" xfId="254"/>
    <cellStyle name="Note 3" xfId="255"/>
    <cellStyle name="Note 4" xfId="256"/>
    <cellStyle name="Note 5" xfId="257"/>
    <cellStyle name="Note 6" xfId="258"/>
    <cellStyle name="Output" xfId="259"/>
    <cellStyle name="Output 2" xfId="260"/>
    <cellStyle name="Output 3" xfId="261"/>
    <cellStyle name="Output 4" xfId="262"/>
    <cellStyle name="Page Number" xfId="263"/>
    <cellStyle name="Percent 10" xfId="264"/>
    <cellStyle name="Percent 2" xfId="265"/>
    <cellStyle name="Percent 3" xfId="266"/>
    <cellStyle name="Percent 4" xfId="267"/>
    <cellStyle name="Percent 4 2" xfId="268"/>
    <cellStyle name="Percent 4 3" xfId="269"/>
    <cellStyle name="Percent 5" xfId="270"/>
    <cellStyle name="Percent 5 2" xfId="271"/>
    <cellStyle name="Percent 6" xfId="272"/>
    <cellStyle name="Percent 6 2" xfId="273"/>
    <cellStyle name="Percent 7" xfId="274"/>
    <cellStyle name="Percent 7 2" xfId="275"/>
    <cellStyle name="Percent 8" xfId="276"/>
    <cellStyle name="Percent 9" xfId="277"/>
    <cellStyle name="PSChar" xfId="278"/>
    <cellStyle name="PSChar 2" xfId="279"/>
    <cellStyle name="PSChar 3" xfId="280"/>
    <cellStyle name="PSChar 4" xfId="281"/>
    <cellStyle name="PSChar 4 2" xfId="282"/>
    <cellStyle name="PSChar 5" xfId="283"/>
    <cellStyle name="PSChar 5 2" xfId="284"/>
    <cellStyle name="PSDate" xfId="285"/>
    <cellStyle name="PSDate 2" xfId="286"/>
    <cellStyle name="PSDate 3" xfId="287"/>
    <cellStyle name="PSDate 4" xfId="288"/>
    <cellStyle name="PSDate 4 2" xfId="289"/>
    <cellStyle name="PSDate 5" xfId="290"/>
    <cellStyle name="PSDate 5 2" xfId="291"/>
    <cellStyle name="PSDec" xfId="292"/>
    <cellStyle name="PSDec 2" xfId="293"/>
    <cellStyle name="PSDec 3" xfId="294"/>
    <cellStyle name="PSDec 4" xfId="295"/>
    <cellStyle name="PSDec 4 2" xfId="296"/>
    <cellStyle name="PSDec 5" xfId="297"/>
    <cellStyle name="PSDec 5 2" xfId="298"/>
    <cellStyle name="PSHeading" xfId="299"/>
    <cellStyle name="PSHeading 2" xfId="300"/>
    <cellStyle name="PSHeading 3" xfId="301"/>
    <cellStyle name="PSHeading 4" xfId="302"/>
    <cellStyle name="PSHeading 4 2" xfId="303"/>
    <cellStyle name="PSHeading 4_July2012_Access_to_Capital_Scenarios_Cost Tables 7132012" xfId="304"/>
    <cellStyle name="PSHeading 5" xfId="305"/>
    <cellStyle name="PSHeading 5 2" xfId="306"/>
    <cellStyle name="PSHeading_358_CGS_Lewis_UT_70Conserv" xfId="307"/>
    <cellStyle name="PSInt" xfId="308"/>
    <cellStyle name="PSInt 2" xfId="309"/>
    <cellStyle name="PSInt 3" xfId="310"/>
    <cellStyle name="PSInt 4" xfId="311"/>
    <cellStyle name="PSInt 4 2" xfId="312"/>
    <cellStyle name="PSInt 5" xfId="313"/>
    <cellStyle name="PSInt 5 2" xfId="314"/>
    <cellStyle name="PSSpacer" xfId="315"/>
    <cellStyle name="PSSpacer 2" xfId="316"/>
    <cellStyle name="PSSpacer 3" xfId="317"/>
    <cellStyle name="PSSpacer 4" xfId="318"/>
    <cellStyle name="PSSpacer 4 2" xfId="319"/>
    <cellStyle name="PSSpacer 5" xfId="320"/>
    <cellStyle name="PSSpacer 5 2" xfId="321"/>
    <cellStyle name="Rate" xfId="322"/>
    <cellStyle name="Rate 2" xfId="323"/>
    <cellStyle name="Rate 3" xfId="324"/>
    <cellStyle name="Rate 4" xfId="325"/>
    <cellStyle name="Rate 4 2" xfId="326"/>
    <cellStyle name="Rate 5" xfId="327"/>
    <cellStyle name="Rate 5 2" xfId="328"/>
    <cellStyle name="Rate 6" xfId="329"/>
    <cellStyle name="Reference" xfId="330"/>
    <cellStyle name="SectionBreak" xfId="331"/>
    <cellStyle name="SectionBreak 2" xfId="332"/>
    <cellStyle name="SectionBreak 3" xfId="333"/>
    <cellStyle name="SectionBreak 4" xfId="334"/>
    <cellStyle name="SectionBreak 4 2" xfId="335"/>
    <cellStyle name="SectionBreak 5" xfId="336"/>
    <cellStyle name="SectionBreak 5 2" xfId="337"/>
    <cellStyle name="Table Head" xfId="338"/>
    <cellStyle name="Table Head Aligned" xfId="339"/>
    <cellStyle name="Table Head Blue" xfId="340"/>
    <cellStyle name="Table Head Green" xfId="341"/>
    <cellStyle name="Table Heading" xfId="342"/>
    <cellStyle name="Table Heading 2" xfId="343"/>
    <cellStyle name="Table Title" xfId="344"/>
    <cellStyle name="Table Units" xfId="345"/>
    <cellStyle name="Table Units 2" xfId="346"/>
    <cellStyle name="Table Units 2 2" xfId="347"/>
    <cellStyle name="Table Units 3" xfId="348"/>
    <cellStyle name="Title" xfId="349"/>
    <cellStyle name="Title 2" xfId="350"/>
    <cellStyle name="Total" xfId="351"/>
    <cellStyle name="Total 2" xfId="352"/>
    <cellStyle name="Total 3" xfId="353"/>
    <cellStyle name="Total 4" xfId="354"/>
    <cellStyle name="Warning Text" xfId="355"/>
    <cellStyle name="Warning Text 2" xfId="356"/>
    <cellStyle name="Warning Text 2 2" xfId="357"/>
    <cellStyle name="Warning Text 3" xfId="358"/>
    <cellStyle name="Warning Text 4" xfId="3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customXml" Target="../customXml/item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legacy.bpa.gov\Documents%20and%20Settings\adk2372\Local%20Settings\Temporary%20Internet%20Files\OLK205\$newTRM_200912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legacy.bpa.gov\Documents%20and%20Settings\adk2372\Local%20Settings\Temporary%20Internet%20Files\OLK205\RAMdata_WP2012ipP_2012_working_201006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t"/>
      <sheetName val="I_T2Elec"/>
      <sheetName val="I_CHWM"/>
      <sheetName val="I_Mrkt"/>
      <sheetName val="I_Exch"/>
      <sheetName val="I_PNGC"/>
      <sheetName val="I_Slice"/>
      <sheetName val="I_TRL"/>
      <sheetName val="I_CSP"/>
      <sheetName val="I_Load"/>
      <sheetName val="I_Res"/>
      <sheetName val="LU_L"/>
      <sheetName val="LU_R"/>
      <sheetName val="Class_L"/>
      <sheetName val="Class_R"/>
      <sheetName val="Map_L"/>
      <sheetName val="Map_R"/>
      <sheetName val="Res"/>
      <sheetName val="Load"/>
      <sheetName val="TRL"/>
      <sheetName val="CSP"/>
      <sheetName val="ER"/>
      <sheetName val="NR"/>
      <sheetName val="RSP"/>
      <sheetName val="CDQ"/>
      <sheetName val="SuperPeak"/>
      <sheetName val="TOCA"/>
      <sheetName val="SliceTake"/>
      <sheetName val="AboveHWM"/>
      <sheetName val="Existing"/>
      <sheetName val="SelfSupply"/>
      <sheetName val="Tier2_STR"/>
      <sheetName val="Tier2_LGR"/>
      <sheetName val="SystemShape"/>
      <sheetName val="Tier1"/>
      <sheetName val="LoadShp"/>
      <sheetName val="Demand"/>
    </sheetNames>
    <sheetDataSet>
      <sheetData sheetId="0" refreshError="1">
        <row r="6">
          <cell r="B6">
            <v>2010</v>
          </cell>
        </row>
        <row r="17">
          <cell r="B17">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TOC"/>
      <sheetName val="I_Augmentation"/>
      <sheetName val="I_Secondary"/>
      <sheetName val="I_Credits"/>
      <sheetName val="I_BulkHub"/>
      <sheetName val="I_GenInputs"/>
      <sheetName val="I_ProForma"/>
      <sheetName val="I_ValueofReserves"/>
      <sheetName val="I_Borrowing"/>
      <sheetName val="I_LDD_Percent"/>
      <sheetName val="I_IRD_loads"/>
      <sheetName val="I_IRD_rate"/>
      <sheetName val="TaxExempt"/>
      <sheetName val="BESlookup"/>
      <sheetName val="Init"/>
      <sheetName val="LU_L"/>
      <sheetName val="LU_R"/>
      <sheetName val="LU_C"/>
      <sheetName val="Class_L"/>
      <sheetName val="Class_R"/>
      <sheetName val="Class_C"/>
      <sheetName val="Class_NLSL"/>
      <sheetName val="Map_L"/>
      <sheetName val="Map_R"/>
      <sheetName val="Map_C"/>
      <sheetName val="I_TRL"/>
      <sheetName val="I_CSP"/>
      <sheetName val="I_Load"/>
      <sheetName val="I_ER_Total"/>
      <sheetName val="I_ER_yr1"/>
      <sheetName val="I_ER_yr2"/>
      <sheetName val="I_ER_yr3"/>
      <sheetName val="I_ER_yr4"/>
      <sheetName val="I_ER_yr5"/>
      <sheetName val="I_ER_yr6"/>
      <sheetName val="I_Res"/>
      <sheetName val="I_T1SFCO"/>
      <sheetName val="I_Cost"/>
      <sheetName val="I_RSS_Rates"/>
      <sheetName val="I_RSS_Res"/>
      <sheetName val="CHWM_PSS"/>
      <sheetName val="I_T2Elec"/>
      <sheetName val="I_CHWM"/>
      <sheetName val="I_Mrkt"/>
      <sheetName val="I_Exch"/>
      <sheetName val="I_Slice"/>
      <sheetName val="I_LDDSlice"/>
      <sheetName val="RiskMod"/>
      <sheetName val="I_Margin_VOR"/>
      <sheetName val="Load"/>
      <sheetName val="Res"/>
      <sheetName val="T1SFCO"/>
      <sheetName val="Cost"/>
      <sheetName val="TRL"/>
      <sheetName val="NLSL"/>
      <sheetName val="CSP"/>
      <sheetName val="ER"/>
      <sheetName val="ER_ExhibitA"/>
      <sheetName val="CDQ"/>
      <sheetName val="SuperPeak"/>
      <sheetName val="RSS"/>
      <sheetName val="Validation"/>
      <sheetName val="Update 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2">
          <cell r="C12">
            <v>40817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legacy.bpa.gov/applications/publiccomments/CommentList.aspx?ID=230"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tabSelected="1" workbookViewId="0" topLeftCell="A1">
      <pane xSplit="5" ySplit="9" topLeftCell="F10" activePane="bottomRight" state="frozen"/>
      <selection pane="topRight" activeCell="F1" sqref="F1"/>
      <selection pane="bottomLeft" activeCell="A12" sqref="A12"/>
      <selection pane="bottomRight" activeCell="A1" sqref="A1"/>
    </sheetView>
  </sheetViews>
  <sheetFormatPr defaultColWidth="9.140625" defaultRowHeight="12.75"/>
  <cols>
    <col min="1" max="1" width="4.421875" style="12" customWidth="1"/>
    <col min="2" max="2" width="8.8515625" style="14" customWidth="1"/>
    <col min="3" max="3" width="23.140625" style="14" customWidth="1"/>
    <col min="4" max="6" width="8.8515625" style="14" customWidth="1"/>
    <col min="7" max="8" width="13.8515625" style="14" customWidth="1"/>
    <col min="9" max="9" width="10.28125" style="12" customWidth="1"/>
    <col min="10" max="15" width="12.140625" style="12" customWidth="1"/>
    <col min="16" max="27" width="12.140625" style="14" customWidth="1"/>
    <col min="28" max="30" width="12.140625" style="19" customWidth="1"/>
    <col min="31" max="31" width="12.140625" style="192" customWidth="1"/>
    <col min="32" max="16384" width="9.140625" style="14" customWidth="1"/>
  </cols>
  <sheetData>
    <row r="1" ht="20.25">
      <c r="A1" s="26" t="s">
        <v>498</v>
      </c>
    </row>
    <row r="2" spans="1:31" s="27" customFormat="1" ht="15">
      <c r="A2" s="314">
        <v>41736</v>
      </c>
      <c r="B2" s="314"/>
      <c r="C2" s="314"/>
      <c r="I2" s="28"/>
      <c r="J2" s="28"/>
      <c r="K2" s="28"/>
      <c r="L2" s="28"/>
      <c r="M2" s="28"/>
      <c r="N2" s="28"/>
      <c r="O2" s="28"/>
      <c r="AB2" s="29"/>
      <c r="AC2" s="29"/>
      <c r="AD2" s="29"/>
      <c r="AE2" s="193"/>
    </row>
    <row r="3" ht="12.75">
      <c r="A3" s="11"/>
    </row>
    <row r="4" ht="12.75">
      <c r="A4" s="11"/>
    </row>
    <row r="5" ht="12.75">
      <c r="A5" s="30"/>
    </row>
    <row r="6" spans="2:31" s="12" customFormat="1" ht="13.5" thickBot="1">
      <c r="B6" s="67" t="s">
        <v>59</v>
      </c>
      <c r="C6" s="67" t="s">
        <v>60</v>
      </c>
      <c r="D6" s="67" t="s">
        <v>61</v>
      </c>
      <c r="E6" s="67" t="s">
        <v>62</v>
      </c>
      <c r="F6" s="67" t="s">
        <v>63</v>
      </c>
      <c r="G6" s="67" t="s">
        <v>64</v>
      </c>
      <c r="H6" s="67" t="s">
        <v>65</v>
      </c>
      <c r="I6" s="67" t="s">
        <v>66</v>
      </c>
      <c r="J6" s="74" t="s">
        <v>67</v>
      </c>
      <c r="K6" s="74" t="s">
        <v>68</v>
      </c>
      <c r="L6" s="74" t="s">
        <v>69</v>
      </c>
      <c r="M6" s="74" t="s">
        <v>70</v>
      </c>
      <c r="N6" s="74" t="s">
        <v>71</v>
      </c>
      <c r="O6" s="74" t="s">
        <v>72</v>
      </c>
      <c r="P6" s="74" t="s">
        <v>73</v>
      </c>
      <c r="Q6" s="74" t="s">
        <v>74</v>
      </c>
      <c r="R6" s="74" t="s">
        <v>75</v>
      </c>
      <c r="S6" s="74" t="s">
        <v>76</v>
      </c>
      <c r="T6" s="74" t="s">
        <v>77</v>
      </c>
      <c r="U6" s="74" t="s">
        <v>78</v>
      </c>
      <c r="V6" s="67" t="s">
        <v>79</v>
      </c>
      <c r="W6" s="67" t="s">
        <v>80</v>
      </c>
      <c r="X6" s="67" t="s">
        <v>81</v>
      </c>
      <c r="Y6" s="67" t="s">
        <v>82</v>
      </c>
      <c r="Z6" s="67" t="s">
        <v>83</v>
      </c>
      <c r="AA6" s="67" t="s">
        <v>84</v>
      </c>
      <c r="AB6" s="67" t="s">
        <v>85</v>
      </c>
      <c r="AC6" s="67" t="s">
        <v>86</v>
      </c>
      <c r="AD6" s="191">
        <v>-29</v>
      </c>
      <c r="AE6" s="191">
        <v>-30</v>
      </c>
    </row>
    <row r="7" spans="1:31" ht="30.75" customHeight="1">
      <c r="A7" s="68" t="s">
        <v>59</v>
      </c>
      <c r="B7" s="12"/>
      <c r="C7" s="12"/>
      <c r="D7" s="12"/>
      <c r="E7" s="12"/>
      <c r="F7" s="317" t="s">
        <v>113</v>
      </c>
      <c r="G7" s="318"/>
      <c r="H7" s="318"/>
      <c r="I7" s="319"/>
      <c r="J7" s="315" t="s">
        <v>119</v>
      </c>
      <c r="K7" s="320"/>
      <c r="L7" s="320"/>
      <c r="M7" s="320"/>
      <c r="N7" s="320"/>
      <c r="O7" s="320"/>
      <c r="P7" s="320"/>
      <c r="Q7" s="320"/>
      <c r="R7" s="320"/>
      <c r="S7" s="320"/>
      <c r="T7" s="320"/>
      <c r="U7" s="316"/>
      <c r="V7" s="315" t="s">
        <v>125</v>
      </c>
      <c r="W7" s="320"/>
      <c r="X7" s="320"/>
      <c r="Y7" s="316"/>
      <c r="Z7" s="315" t="s">
        <v>129</v>
      </c>
      <c r="AA7" s="320"/>
      <c r="AB7" s="320"/>
      <c r="AC7" s="321"/>
      <c r="AD7" s="315" t="s">
        <v>448</v>
      </c>
      <c r="AE7" s="316"/>
    </row>
    <row r="8" spans="1:31" ht="102">
      <c r="A8" s="68" t="s">
        <v>60</v>
      </c>
      <c r="B8" s="16" t="s">
        <v>0</v>
      </c>
      <c r="C8" s="16" t="s">
        <v>55</v>
      </c>
      <c r="D8" s="16" t="s">
        <v>0</v>
      </c>
      <c r="E8" s="32" t="s">
        <v>1</v>
      </c>
      <c r="F8" s="202" t="s">
        <v>56</v>
      </c>
      <c r="G8" s="200" t="s">
        <v>58</v>
      </c>
      <c r="H8" s="200" t="s">
        <v>122</v>
      </c>
      <c r="I8" s="203" t="s">
        <v>114</v>
      </c>
      <c r="J8" s="202" t="s">
        <v>132</v>
      </c>
      <c r="K8" s="200" t="s">
        <v>138</v>
      </c>
      <c r="L8" s="200" t="s">
        <v>133</v>
      </c>
      <c r="M8" s="200" t="s">
        <v>134</v>
      </c>
      <c r="N8" s="200" t="s">
        <v>135</v>
      </c>
      <c r="O8" s="200" t="s">
        <v>136</v>
      </c>
      <c r="P8" s="200" t="s">
        <v>123</v>
      </c>
      <c r="Q8" s="200" t="s">
        <v>118</v>
      </c>
      <c r="R8" s="200" t="s">
        <v>110</v>
      </c>
      <c r="S8" s="200" t="s">
        <v>124</v>
      </c>
      <c r="T8" s="200" t="s">
        <v>120</v>
      </c>
      <c r="U8" s="203" t="s">
        <v>121</v>
      </c>
      <c r="V8" s="202" t="s">
        <v>128</v>
      </c>
      <c r="W8" s="200" t="s">
        <v>126</v>
      </c>
      <c r="X8" s="200" t="s">
        <v>127</v>
      </c>
      <c r="Y8" s="203" t="s">
        <v>130</v>
      </c>
      <c r="Z8" s="202" t="s">
        <v>112</v>
      </c>
      <c r="AA8" s="200" t="s">
        <v>131</v>
      </c>
      <c r="AB8" s="200" t="s">
        <v>137</v>
      </c>
      <c r="AC8" s="259" t="s">
        <v>111</v>
      </c>
      <c r="AD8" s="202" t="s">
        <v>449</v>
      </c>
      <c r="AE8" s="203" t="s">
        <v>450</v>
      </c>
    </row>
    <row r="9" spans="1:31" ht="13.5" thickBot="1">
      <c r="A9" s="69" t="s">
        <v>61</v>
      </c>
      <c r="B9" s="16"/>
      <c r="C9" s="33"/>
      <c r="D9" s="16"/>
      <c r="E9" s="32"/>
      <c r="F9" s="2" t="s">
        <v>2</v>
      </c>
      <c r="G9" s="23" t="s">
        <v>2</v>
      </c>
      <c r="H9" s="23" t="s">
        <v>2</v>
      </c>
      <c r="I9" s="1"/>
      <c r="J9" s="2" t="s">
        <v>2</v>
      </c>
      <c r="K9" s="23" t="s">
        <v>2</v>
      </c>
      <c r="L9" s="23" t="s">
        <v>2</v>
      </c>
      <c r="M9" s="23" t="s">
        <v>2</v>
      </c>
      <c r="N9" s="23" t="s">
        <v>2</v>
      </c>
      <c r="O9" s="23" t="s">
        <v>2</v>
      </c>
      <c r="P9" s="23" t="s">
        <v>2</v>
      </c>
      <c r="Q9" s="23" t="s">
        <v>2</v>
      </c>
      <c r="R9" s="23" t="s">
        <v>2</v>
      </c>
      <c r="S9" s="23" t="s">
        <v>2</v>
      </c>
      <c r="T9" s="23" t="s">
        <v>2</v>
      </c>
      <c r="U9" s="1" t="s">
        <v>2</v>
      </c>
      <c r="V9" s="2" t="s">
        <v>2</v>
      </c>
      <c r="W9" s="23" t="s">
        <v>2</v>
      </c>
      <c r="X9" s="23" t="s">
        <v>2</v>
      </c>
      <c r="Y9" s="1" t="s">
        <v>2</v>
      </c>
      <c r="Z9" s="2" t="s">
        <v>2</v>
      </c>
      <c r="AA9" s="23" t="s">
        <v>2</v>
      </c>
      <c r="AB9" s="23" t="s">
        <v>2</v>
      </c>
      <c r="AC9" s="24" t="s">
        <v>2</v>
      </c>
      <c r="AD9" s="2" t="s">
        <v>2</v>
      </c>
      <c r="AE9" s="262"/>
    </row>
    <row r="10" spans="1:34" ht="12.75">
      <c r="A10" s="70" t="s">
        <v>62</v>
      </c>
      <c r="B10" s="34">
        <v>10057</v>
      </c>
      <c r="C10" s="35" t="s">
        <v>3</v>
      </c>
      <c r="D10" s="34">
        <v>10057</v>
      </c>
      <c r="E10" s="36">
        <v>103</v>
      </c>
      <c r="F10" s="37">
        <f>VLOOKUP('Retained Provisional CHWM Calcs'!$B10,CHWM_published!$B$12:$AR$147,43,FALSE)</f>
        <v>21.383</v>
      </c>
      <c r="G10" s="38">
        <f>VLOOKUP('Retained Provisional CHWM Calcs'!$B10,CHWM_published!$B$12:$AR$147,40,FALSE)</f>
        <v>0.769</v>
      </c>
      <c r="H10" s="38">
        <f>VLOOKUP('Retained Provisional CHWM Calcs'!$B10,CHWM_published!$B$12:$AR$147,33,FALSE)</f>
        <v>0.7330000000000005</v>
      </c>
      <c r="I10" s="41" t="s">
        <v>106</v>
      </c>
      <c r="J10" s="39">
        <v>20.776</v>
      </c>
      <c r="K10" s="40">
        <v>0</v>
      </c>
      <c r="L10" s="40">
        <v>-0.246</v>
      </c>
      <c r="M10" s="40">
        <v>0</v>
      </c>
      <c r="N10" s="40">
        <v>0</v>
      </c>
      <c r="O10" s="40">
        <f>SUM(J10:N10)</f>
        <v>20.53</v>
      </c>
      <c r="P10" s="40">
        <f>VLOOKUP(B10,CHWM_published!B12:AL147,37,FALSE)</f>
        <v>0.397</v>
      </c>
      <c r="Q10" s="40">
        <v>0.287</v>
      </c>
      <c r="R10" s="40">
        <f>SUM(O10:Q10)</f>
        <v>21.214</v>
      </c>
      <c r="S10" s="40">
        <f>VLOOKUP('Retained Provisional CHWM Calcs'!$B10,CHWM_published!$B$12:$AR$147,28,FALSE)</f>
        <v>20.059</v>
      </c>
      <c r="T10" s="40">
        <f>R10-S10</f>
        <v>1.1549999999999976</v>
      </c>
      <c r="U10" s="41">
        <f>IF(T10&gt;=H10,H10,MAX(0,T10))</f>
        <v>0.7330000000000005</v>
      </c>
      <c r="V10" s="39"/>
      <c r="W10" s="40"/>
      <c r="X10" s="40"/>
      <c r="Y10" s="41"/>
      <c r="Z10" s="39">
        <f>IF(I10="Path 2",U10,Y10)</f>
        <v>0.7330000000000005</v>
      </c>
      <c r="AA10" s="40">
        <f>VLOOKUP('Retained Provisional CHWM Calcs'!$B10,CHWM_published!$B$12:$AR$147,35,FALSE)</f>
        <v>20.395000000000003</v>
      </c>
      <c r="AB10" s="38">
        <f>MIN(ROUND(Z10*(F10/AA10),3),G10)</f>
        <v>0.769</v>
      </c>
      <c r="AC10" s="194">
        <f>F10-(G10-AB10)</f>
        <v>21.383</v>
      </c>
      <c r="AD10" s="37">
        <f>ROUND(($AC10/$AD$56)*$AD$57,3)</f>
        <v>21.157</v>
      </c>
      <c r="AE10" s="261" t="str">
        <f>IF(AC10=F10,"No","Yes")</f>
        <v>No</v>
      </c>
      <c r="AH10" s="310"/>
    </row>
    <row r="11" spans="1:34" ht="12.75">
      <c r="A11" s="69" t="s">
        <v>63</v>
      </c>
      <c r="B11" s="10">
        <v>10015</v>
      </c>
      <c r="C11" s="42" t="s">
        <v>4</v>
      </c>
      <c r="D11" s="10">
        <v>10015</v>
      </c>
      <c r="E11" s="43">
        <v>201</v>
      </c>
      <c r="F11" s="8">
        <f>VLOOKUP('Retained Provisional CHWM Calcs'!B11,CHWM_published!B13:AR148,43,FALSE)</f>
        <v>0.61</v>
      </c>
      <c r="G11" s="9">
        <f>VLOOKUP('Retained Provisional CHWM Calcs'!$B11,CHWM_published!$B$12:$AR$147,40,FALSE)</f>
        <v>0.028</v>
      </c>
      <c r="H11" s="9">
        <f>VLOOKUP('Retained Provisional CHWM Calcs'!$B11,CHWM_published!$B$12:$AR$147,33,FALSE)</f>
        <v>0.027000000000000024</v>
      </c>
      <c r="I11" s="22" t="s">
        <v>106</v>
      </c>
      <c r="J11" s="25">
        <v>0.59</v>
      </c>
      <c r="K11" s="17">
        <v>0</v>
      </c>
      <c r="L11" s="17">
        <v>-0.035</v>
      </c>
      <c r="M11" s="17">
        <v>0</v>
      </c>
      <c r="N11" s="17">
        <v>0</v>
      </c>
      <c r="O11" s="17">
        <f aca="true" t="shared" si="0" ref="O11:O48">SUM(J11:N11)</f>
        <v>0.5549999999999999</v>
      </c>
      <c r="P11" s="17">
        <f>VLOOKUP(B11,CHWM_published!B13:AL148,37,FALSE)</f>
        <v>0.01</v>
      </c>
      <c r="Q11" s="17">
        <v>0</v>
      </c>
      <c r="R11" s="17">
        <f aca="true" t="shared" si="1" ref="R11:R48">SUM(O11:Q11)</f>
        <v>0.565</v>
      </c>
      <c r="S11" s="17">
        <f>VLOOKUP('Retained Provisional CHWM Calcs'!$B11,CHWM_published!$B$12:$AR$147,28,FALSE)</f>
        <v>0.566</v>
      </c>
      <c r="T11" s="17">
        <f aca="true" t="shared" si="2" ref="T11:T48">R11-S11</f>
        <v>-0.0010000000000000009</v>
      </c>
      <c r="U11" s="22">
        <f aca="true" t="shared" si="3" ref="U11:U47">IF(T11&gt;=H11,H11,MAX(0,T11))</f>
        <v>0</v>
      </c>
      <c r="V11" s="25"/>
      <c r="W11" s="17"/>
      <c r="X11" s="17"/>
      <c r="Y11" s="22"/>
      <c r="Z11" s="25">
        <f aca="true" t="shared" si="4" ref="Z11:Z50">IF(I11="Path 2",U11,Y11)</f>
        <v>0</v>
      </c>
      <c r="AA11" s="17">
        <f>VLOOKUP('Retained Provisional CHWM Calcs'!$B11,CHWM_published!$B$12:$AR$147,35,FALSE)</f>
        <v>0.5830000000000001</v>
      </c>
      <c r="AB11" s="9">
        <f aca="true" t="shared" si="5" ref="AB11:AB50">MIN(ROUND(Z11*(F11/AA11),3),G11)</f>
        <v>0</v>
      </c>
      <c r="AC11" s="195">
        <f aca="true" t="shared" si="6" ref="AC11:AC49">F11-(G11-AB11)</f>
        <v>0.582</v>
      </c>
      <c r="AD11" s="8">
        <f aca="true" t="shared" si="7" ref="AD11:AD50">ROUND(($AC11/$AD$56)*$AD$57,3)</f>
        <v>0.576</v>
      </c>
      <c r="AE11" s="201" t="str">
        <f aca="true" t="shared" si="8" ref="AE11:AE50">IF(AC11=F11,"No","Yes")</f>
        <v>Yes</v>
      </c>
      <c r="AH11" s="310"/>
    </row>
    <row r="12" spans="1:34" s="19" customFormat="1" ht="12.75">
      <c r="A12" s="70" t="s">
        <v>64</v>
      </c>
      <c r="B12" s="34">
        <v>10029</v>
      </c>
      <c r="C12" s="35" t="s">
        <v>6</v>
      </c>
      <c r="D12" s="34">
        <v>10029</v>
      </c>
      <c r="E12" s="36">
        <v>309</v>
      </c>
      <c r="F12" s="44">
        <f>VLOOKUP('Retained Provisional CHWM Calcs'!B12,CHWM_published!B14:AR149,43,FALSE)</f>
        <v>17.879</v>
      </c>
      <c r="G12" s="45">
        <f>VLOOKUP('Retained Provisional CHWM Calcs'!$B12,CHWM_published!$B$12:$AR$147,40,FALSE)</f>
        <v>1.263</v>
      </c>
      <c r="H12" s="45">
        <f>VLOOKUP('Retained Provisional CHWM Calcs'!$B12,CHWM_published!$B$12:$AR$147,33,FALSE)</f>
        <v>1.2240000000000002</v>
      </c>
      <c r="I12" s="48" t="s">
        <v>106</v>
      </c>
      <c r="J12" s="46">
        <v>19.273</v>
      </c>
      <c r="K12" s="47">
        <v>0</v>
      </c>
      <c r="L12" s="47">
        <v>0.094</v>
      </c>
      <c r="M12" s="47">
        <v>0</v>
      </c>
      <c r="N12" s="47">
        <v>0</v>
      </c>
      <c r="O12" s="47">
        <f t="shared" si="0"/>
        <v>19.367</v>
      </c>
      <c r="P12" s="47">
        <f>VLOOKUP(B12,CHWM_published!B14:AL149,37,FALSE)</f>
        <v>0.039</v>
      </c>
      <c r="Q12" s="47">
        <v>0.251</v>
      </c>
      <c r="R12" s="47">
        <f t="shared" si="1"/>
        <v>19.657000000000004</v>
      </c>
      <c r="S12" s="47">
        <f>VLOOKUP('Retained Provisional CHWM Calcs'!$B12,CHWM_published!$B$12:$AR$147,28,FALSE)</f>
        <v>16.146</v>
      </c>
      <c r="T12" s="47">
        <f t="shared" si="2"/>
        <v>3.511000000000003</v>
      </c>
      <c r="U12" s="48">
        <f t="shared" si="3"/>
        <v>1.2240000000000002</v>
      </c>
      <c r="V12" s="46"/>
      <c r="W12" s="47"/>
      <c r="X12" s="47"/>
      <c r="Y12" s="48"/>
      <c r="Z12" s="46">
        <f t="shared" si="4"/>
        <v>1.2240000000000002</v>
      </c>
      <c r="AA12" s="47">
        <f>VLOOKUP('Retained Provisional CHWM Calcs'!$B12,CHWM_published!$B$12:$AR$147,35,FALSE)</f>
        <v>17.331</v>
      </c>
      <c r="AB12" s="45">
        <f t="shared" si="5"/>
        <v>1.263</v>
      </c>
      <c r="AC12" s="196">
        <f t="shared" si="6"/>
        <v>17.879</v>
      </c>
      <c r="AD12" s="44">
        <f t="shared" si="7"/>
        <v>17.69</v>
      </c>
      <c r="AE12" s="260" t="str">
        <f t="shared" si="8"/>
        <v>No</v>
      </c>
      <c r="AH12" s="310"/>
    </row>
    <row r="13" spans="1:34" s="19" customFormat="1" ht="12.75">
      <c r="A13" s="69" t="s">
        <v>65</v>
      </c>
      <c r="B13" s="10">
        <v>10065</v>
      </c>
      <c r="C13" s="42" t="s">
        <v>7</v>
      </c>
      <c r="D13" s="10">
        <v>10065</v>
      </c>
      <c r="E13" s="43">
        <v>115</v>
      </c>
      <c r="F13" s="8">
        <f>VLOOKUP('Retained Provisional CHWM Calcs'!B13,CHWM_published!B15:AR150,43,FALSE)</f>
        <v>2.638</v>
      </c>
      <c r="G13" s="9">
        <f>VLOOKUP('Retained Provisional CHWM Calcs'!$B13,CHWM_published!$B$12:$AR$147,40,FALSE)</f>
        <v>0.225</v>
      </c>
      <c r="H13" s="9">
        <f>VLOOKUP('Retained Provisional CHWM Calcs'!$B13,CHWM_published!$B$12:$AR$147,33,FALSE)</f>
        <v>0.21399999999999997</v>
      </c>
      <c r="I13" s="22" t="s">
        <v>106</v>
      </c>
      <c r="J13" s="25">
        <v>2.186</v>
      </c>
      <c r="K13" s="17">
        <v>0</v>
      </c>
      <c r="L13" s="17">
        <v>0.013</v>
      </c>
      <c r="M13" s="17">
        <v>0</v>
      </c>
      <c r="N13" s="17">
        <v>0</v>
      </c>
      <c r="O13" s="17">
        <f t="shared" si="0"/>
        <v>2.199</v>
      </c>
      <c r="P13" s="17">
        <f>VLOOKUP(B13,CHWM_published!B15:AL150,37,FALSE)</f>
        <v>0.051</v>
      </c>
      <c r="Q13" s="17">
        <v>0.056</v>
      </c>
      <c r="R13" s="17">
        <f t="shared" si="1"/>
        <v>2.306</v>
      </c>
      <c r="S13" s="17">
        <f>VLOOKUP('Retained Provisional CHWM Calcs'!$B13,CHWM_published!$B$12:$AR$147,28,FALSE)</f>
        <v>2.351</v>
      </c>
      <c r="T13" s="17">
        <f t="shared" si="2"/>
        <v>-0.04499999999999993</v>
      </c>
      <c r="U13" s="22">
        <f t="shared" si="3"/>
        <v>0</v>
      </c>
      <c r="V13" s="25"/>
      <c r="W13" s="17"/>
      <c r="X13" s="17"/>
      <c r="Y13" s="22"/>
      <c r="Z13" s="25">
        <f t="shared" si="4"/>
        <v>0</v>
      </c>
      <c r="AA13" s="17">
        <f>VLOOKUP('Retained Provisional CHWM Calcs'!$B13,CHWM_published!$B$12:$AR$147,35,FALSE)</f>
        <v>2.5140000000000002</v>
      </c>
      <c r="AB13" s="9">
        <f t="shared" si="5"/>
        <v>0</v>
      </c>
      <c r="AC13" s="195">
        <f t="shared" si="6"/>
        <v>2.413</v>
      </c>
      <c r="AD13" s="8">
        <f t="shared" si="7"/>
        <v>2.387</v>
      </c>
      <c r="AE13" s="201" t="str">
        <f t="shared" si="8"/>
        <v>Yes</v>
      </c>
      <c r="AH13" s="310"/>
    </row>
    <row r="14" spans="1:34" s="19" customFormat="1" ht="12.75">
      <c r="A14" s="70" t="s">
        <v>66</v>
      </c>
      <c r="B14" s="34">
        <v>10068</v>
      </c>
      <c r="C14" s="35" t="s">
        <v>8</v>
      </c>
      <c r="D14" s="34">
        <v>10068</v>
      </c>
      <c r="E14" s="36">
        <v>124</v>
      </c>
      <c r="F14" s="44">
        <f>VLOOKUP('Retained Provisional CHWM Calcs'!B14,CHWM_published!B16:AR151,43,FALSE)</f>
        <v>2.887</v>
      </c>
      <c r="G14" s="45">
        <f>VLOOKUP('Retained Provisional CHWM Calcs'!$B14,CHWM_published!$B$12:$AR$147,40,FALSE)</f>
        <v>0.076</v>
      </c>
      <c r="H14" s="45">
        <f>VLOOKUP('Retained Provisional CHWM Calcs'!$B14,CHWM_published!$B$12:$AR$147,33,FALSE)</f>
        <v>0.07200000000000006</v>
      </c>
      <c r="I14" s="48" t="s">
        <v>106</v>
      </c>
      <c r="J14" s="46">
        <v>2.56</v>
      </c>
      <c r="K14" s="47">
        <v>0</v>
      </c>
      <c r="L14" s="47">
        <v>-0.003</v>
      </c>
      <c r="M14" s="47">
        <v>0</v>
      </c>
      <c r="N14" s="47">
        <v>0</v>
      </c>
      <c r="O14" s="47">
        <f t="shared" si="0"/>
        <v>2.557</v>
      </c>
      <c r="P14" s="47">
        <f>VLOOKUP(B14,CHWM_published!B16:AL151,37,FALSE)</f>
        <v>0.054</v>
      </c>
      <c r="Q14" s="47">
        <v>0.094</v>
      </c>
      <c r="R14" s="47">
        <f t="shared" si="1"/>
        <v>2.7049999999999996</v>
      </c>
      <c r="S14" s="47">
        <f>VLOOKUP('Retained Provisional CHWM Calcs'!$B14,CHWM_published!$B$12:$AR$147,28,FALSE)</f>
        <v>2.735</v>
      </c>
      <c r="T14" s="47">
        <f t="shared" si="2"/>
        <v>-0.03000000000000025</v>
      </c>
      <c r="U14" s="48">
        <f t="shared" si="3"/>
        <v>0</v>
      </c>
      <c r="V14" s="46"/>
      <c r="W14" s="47"/>
      <c r="X14" s="47"/>
      <c r="Y14" s="48"/>
      <c r="Z14" s="46">
        <f t="shared" si="4"/>
        <v>0</v>
      </c>
      <c r="AA14" s="47">
        <f>VLOOKUP('Retained Provisional CHWM Calcs'!$B14,CHWM_published!$B$12:$AR$147,35,FALSE)</f>
        <v>2.753</v>
      </c>
      <c r="AB14" s="45">
        <f t="shared" si="5"/>
        <v>0</v>
      </c>
      <c r="AC14" s="196">
        <f t="shared" si="6"/>
        <v>2.811</v>
      </c>
      <c r="AD14" s="44">
        <f t="shared" si="7"/>
        <v>2.781</v>
      </c>
      <c r="AE14" s="260" t="str">
        <f t="shared" si="8"/>
        <v>Yes</v>
      </c>
      <c r="AH14" s="310"/>
    </row>
    <row r="15" spans="1:34" s="19" customFormat="1" ht="12.75">
      <c r="A15" s="69" t="s">
        <v>67</v>
      </c>
      <c r="B15" s="10">
        <v>10103</v>
      </c>
      <c r="C15" s="42" t="s">
        <v>9</v>
      </c>
      <c r="D15" s="10">
        <v>10103</v>
      </c>
      <c r="E15" s="43">
        <v>216</v>
      </c>
      <c r="F15" s="8">
        <f>VLOOKUP('Retained Provisional CHWM Calcs'!B15,CHWM_published!B17:AR152,43,FALSE)</f>
        <v>323.245</v>
      </c>
      <c r="G15" s="9">
        <f>VLOOKUP('Retained Provisional CHWM Calcs'!$B15,CHWM_published!$B$12:$AR$147,40,FALSE)</f>
        <v>9.533</v>
      </c>
      <c r="H15" s="9">
        <f>VLOOKUP('Retained Provisional CHWM Calcs'!$B15,CHWM_published!$B$12:$AR$147,33,FALSE)</f>
        <v>9.006000000000085</v>
      </c>
      <c r="I15" s="22" t="s">
        <v>106</v>
      </c>
      <c r="J15" s="25">
        <v>515.411</v>
      </c>
      <c r="K15" s="17">
        <v>0</v>
      </c>
      <c r="L15" s="17">
        <v>1.787</v>
      </c>
      <c r="M15" s="17">
        <v>0</v>
      </c>
      <c r="N15" s="17">
        <v>0</v>
      </c>
      <c r="O15" s="17">
        <f t="shared" si="0"/>
        <v>517.198</v>
      </c>
      <c r="P15" s="17">
        <f>VLOOKUP(B15,CHWM_published!B17:AL152,37,FALSE)</f>
        <v>9.085</v>
      </c>
      <c r="Q15" s="17">
        <v>15.555</v>
      </c>
      <c r="R15" s="17">
        <f t="shared" si="1"/>
        <v>541.838</v>
      </c>
      <c r="S15" s="17">
        <f>VLOOKUP('Retained Provisional CHWM Calcs'!$B15,CHWM_published!$B$12:$AR$147,28,FALSE)</f>
        <v>531.569</v>
      </c>
      <c r="T15" s="17">
        <f t="shared" si="2"/>
        <v>10.269000000000005</v>
      </c>
      <c r="U15" s="22">
        <f t="shared" si="3"/>
        <v>9.006000000000085</v>
      </c>
      <c r="V15" s="25"/>
      <c r="W15" s="17"/>
      <c r="X15" s="17"/>
      <c r="Y15" s="22"/>
      <c r="Z15" s="25">
        <f t="shared" si="4"/>
        <v>9.006000000000085</v>
      </c>
      <c r="AA15" s="17">
        <f>VLOOKUP('Retained Provisional CHWM Calcs'!$B15,CHWM_published!$B$12:$AR$147,35,FALSE)</f>
        <v>305.37600000000015</v>
      </c>
      <c r="AB15" s="9">
        <f t="shared" si="5"/>
        <v>9.533</v>
      </c>
      <c r="AC15" s="195">
        <f t="shared" si="6"/>
        <v>323.245</v>
      </c>
      <c r="AD15" s="8">
        <f t="shared" si="7"/>
        <v>319.822</v>
      </c>
      <c r="AE15" s="201" t="str">
        <f t="shared" si="8"/>
        <v>No</v>
      </c>
      <c r="AH15" s="310"/>
    </row>
    <row r="16" spans="1:34" s="19" customFormat="1" ht="12.75">
      <c r="A16" s="70" t="s">
        <v>68</v>
      </c>
      <c r="B16" s="34">
        <v>10106</v>
      </c>
      <c r="C16" s="35" t="s">
        <v>11</v>
      </c>
      <c r="D16" s="34">
        <v>10106</v>
      </c>
      <c r="E16" s="36">
        <v>315</v>
      </c>
      <c r="F16" s="44">
        <f>VLOOKUP('Retained Provisional CHWM Calcs'!B16,CHWM_published!B18:AR153,43,FALSE)</f>
        <v>24.523</v>
      </c>
      <c r="G16" s="45">
        <f>VLOOKUP('Retained Provisional CHWM Calcs'!$B16,CHWM_published!$B$12:$AR$147,40,FALSE)</f>
        <v>1.658</v>
      </c>
      <c r="H16" s="45">
        <f>VLOOKUP('Retained Provisional CHWM Calcs'!$B16,CHWM_published!$B$12:$AR$147,33,FALSE)</f>
        <v>1.5919999999999987</v>
      </c>
      <c r="I16" s="48" t="s">
        <v>106</v>
      </c>
      <c r="J16" s="46">
        <v>22.519</v>
      </c>
      <c r="K16" s="47">
        <v>0</v>
      </c>
      <c r="L16" s="47">
        <v>0.217</v>
      </c>
      <c r="M16" s="47">
        <v>0</v>
      </c>
      <c r="N16" s="47">
        <v>0</v>
      </c>
      <c r="O16" s="47">
        <f t="shared" si="0"/>
        <v>22.735999999999997</v>
      </c>
      <c r="P16" s="47">
        <f>VLOOKUP(B16,CHWM_published!B18:AL153,37,FALSE)</f>
        <v>0.294</v>
      </c>
      <c r="Q16" s="47">
        <v>0.53</v>
      </c>
      <c r="R16" s="47">
        <f t="shared" si="1"/>
        <v>23.56</v>
      </c>
      <c r="S16" s="47">
        <f>VLOOKUP('Retained Provisional CHWM Calcs'!$B16,CHWM_published!$B$12:$AR$147,28,FALSE)</f>
        <v>22.245</v>
      </c>
      <c r="T16" s="47">
        <f t="shared" si="2"/>
        <v>1.3149999999999977</v>
      </c>
      <c r="U16" s="48">
        <f t="shared" si="3"/>
        <v>1.3149999999999977</v>
      </c>
      <c r="V16" s="46"/>
      <c r="W16" s="47"/>
      <c r="X16" s="47"/>
      <c r="Y16" s="48"/>
      <c r="Z16" s="46">
        <f t="shared" si="4"/>
        <v>1.3149999999999977</v>
      </c>
      <c r="AA16" s="47">
        <f>VLOOKUP('Retained Provisional CHWM Calcs'!$B16,CHWM_published!$B$12:$AR$147,35,FALSE)</f>
        <v>23.542999999999996</v>
      </c>
      <c r="AB16" s="45">
        <f t="shared" si="5"/>
        <v>1.37</v>
      </c>
      <c r="AC16" s="196">
        <f t="shared" si="6"/>
        <v>24.235</v>
      </c>
      <c r="AD16" s="44">
        <f t="shared" si="7"/>
        <v>23.978</v>
      </c>
      <c r="AE16" s="260" t="str">
        <f t="shared" si="8"/>
        <v>Yes</v>
      </c>
      <c r="AH16" s="310"/>
    </row>
    <row r="17" spans="1:34" s="19" customFormat="1" ht="12.75">
      <c r="A17" s="69" t="s">
        <v>69</v>
      </c>
      <c r="B17" s="10">
        <v>10112</v>
      </c>
      <c r="C17" s="42" t="s">
        <v>12</v>
      </c>
      <c r="D17" s="10">
        <v>10112</v>
      </c>
      <c r="E17" s="43">
        <v>221</v>
      </c>
      <c r="F17" s="8">
        <f>VLOOKUP('Retained Provisional CHWM Calcs'!B17,CHWM_published!B19:AR154,43,FALSE)</f>
        <v>61.254</v>
      </c>
      <c r="G17" s="9">
        <f>VLOOKUP('Retained Provisional CHWM Calcs'!$B17,CHWM_published!$B$12:$AR$147,40,FALSE)</f>
        <v>5.595</v>
      </c>
      <c r="H17" s="9">
        <f>VLOOKUP('Retained Provisional CHWM Calcs'!$B17,CHWM_published!$B$12:$AR$147,33,FALSE)</f>
        <v>5.375</v>
      </c>
      <c r="I17" s="22" t="s">
        <v>106</v>
      </c>
      <c r="J17" s="25">
        <v>54.653</v>
      </c>
      <c r="K17" s="17">
        <v>0</v>
      </c>
      <c r="L17" s="17">
        <v>0.119</v>
      </c>
      <c r="M17" s="17">
        <v>0</v>
      </c>
      <c r="N17" s="17">
        <v>0</v>
      </c>
      <c r="O17" s="17">
        <f t="shared" si="0"/>
        <v>54.772</v>
      </c>
      <c r="P17" s="17">
        <f>VLOOKUP(B17,CHWM_published!B19:AL154,37,FALSE)</f>
        <v>0.696</v>
      </c>
      <c r="Q17" s="17">
        <v>2.019</v>
      </c>
      <c r="R17" s="17">
        <f t="shared" si="1"/>
        <v>57.486999999999995</v>
      </c>
      <c r="S17" s="17">
        <f>VLOOKUP('Retained Provisional CHWM Calcs'!$B17,CHWM_published!$B$12:$AR$147,28,FALSE)</f>
        <v>54.163</v>
      </c>
      <c r="T17" s="17">
        <f t="shared" si="2"/>
        <v>3.323999999999998</v>
      </c>
      <c r="U17" s="22">
        <f t="shared" si="3"/>
        <v>3.323999999999998</v>
      </c>
      <c r="V17" s="25"/>
      <c r="W17" s="17"/>
      <c r="X17" s="17"/>
      <c r="Y17" s="22"/>
      <c r="Z17" s="25">
        <f t="shared" si="4"/>
        <v>3.323999999999998</v>
      </c>
      <c r="AA17" s="17">
        <f>VLOOKUP('Retained Provisional CHWM Calcs'!$B17,CHWM_published!$B$12:$AR$147,35,FALSE)</f>
        <v>58.842000000000006</v>
      </c>
      <c r="AB17" s="9">
        <f t="shared" si="5"/>
        <v>3.46</v>
      </c>
      <c r="AC17" s="195">
        <f t="shared" si="6"/>
        <v>59.119</v>
      </c>
      <c r="AD17" s="8">
        <f t="shared" si="7"/>
        <v>58.493</v>
      </c>
      <c r="AE17" s="201" t="str">
        <f t="shared" si="8"/>
        <v>Yes</v>
      </c>
      <c r="AH17" s="310"/>
    </row>
    <row r="18" spans="1:34" s="19" customFormat="1" ht="12.75">
      <c r="A18" s="70" t="s">
        <v>70</v>
      </c>
      <c r="B18" s="34">
        <v>10121</v>
      </c>
      <c r="C18" s="35" t="s">
        <v>13</v>
      </c>
      <c r="D18" s="34">
        <v>10121</v>
      </c>
      <c r="E18" s="36">
        <v>330</v>
      </c>
      <c r="F18" s="44">
        <f>VLOOKUP('Retained Provisional CHWM Calcs'!B18,CHWM_published!B20:AR155,43,FALSE)</f>
        <v>41.485</v>
      </c>
      <c r="G18" s="45">
        <f>VLOOKUP('Retained Provisional CHWM Calcs'!$B18,CHWM_published!$B$12:$AR$147,40,FALSE)</f>
        <v>0.095</v>
      </c>
      <c r="H18" s="45">
        <f>VLOOKUP('Retained Provisional CHWM Calcs'!$B18,CHWM_published!$B$12:$AR$147,33,FALSE)</f>
        <v>0.09100000000000108</v>
      </c>
      <c r="I18" s="48" t="s">
        <v>106</v>
      </c>
      <c r="J18" s="46">
        <v>40.162</v>
      </c>
      <c r="K18" s="47">
        <v>0</v>
      </c>
      <c r="L18" s="47">
        <v>-0.618</v>
      </c>
      <c r="M18" s="47">
        <v>0</v>
      </c>
      <c r="N18" s="47">
        <v>0</v>
      </c>
      <c r="O18" s="47">
        <f t="shared" si="0"/>
        <v>39.544</v>
      </c>
      <c r="P18" s="47">
        <f>VLOOKUP(B18,CHWM_published!B20:AL155,37,FALSE)</f>
        <v>0.519</v>
      </c>
      <c r="Q18" s="47">
        <v>0.451</v>
      </c>
      <c r="R18" s="47">
        <f t="shared" si="1"/>
        <v>40.513999999999996</v>
      </c>
      <c r="S18" s="47">
        <f>VLOOKUP('Retained Provisional CHWM Calcs'!$B18,CHWM_published!$B$12:$AR$147,28,FALSE)</f>
        <v>40.234</v>
      </c>
      <c r="T18" s="47">
        <f t="shared" si="2"/>
        <v>0.27999999999999403</v>
      </c>
      <c r="U18" s="48">
        <f t="shared" si="3"/>
        <v>0.09100000000000108</v>
      </c>
      <c r="V18" s="46"/>
      <c r="W18" s="47"/>
      <c r="X18" s="47"/>
      <c r="Y18" s="48"/>
      <c r="Z18" s="46">
        <f t="shared" si="4"/>
        <v>0.09100000000000108</v>
      </c>
      <c r="AA18" s="47">
        <f>VLOOKUP('Retained Provisional CHWM Calcs'!$B18,CHWM_published!$B$12:$AR$147,35,FALSE)</f>
        <v>39.806</v>
      </c>
      <c r="AB18" s="45">
        <f t="shared" si="5"/>
        <v>0.095</v>
      </c>
      <c r="AC18" s="196">
        <f t="shared" si="6"/>
        <v>41.485</v>
      </c>
      <c r="AD18" s="44">
        <f t="shared" si="7"/>
        <v>41.046</v>
      </c>
      <c r="AE18" s="260" t="str">
        <f t="shared" si="8"/>
        <v>No</v>
      </c>
      <c r="AH18" s="310"/>
    </row>
    <row r="19" spans="1:34" s="19" customFormat="1" ht="12.75">
      <c r="A19" s="69" t="s">
        <v>71</v>
      </c>
      <c r="B19" s="10">
        <v>10378</v>
      </c>
      <c r="C19" s="42" t="s">
        <v>14</v>
      </c>
      <c r="D19" s="10">
        <v>10378</v>
      </c>
      <c r="E19" s="43">
        <v>125</v>
      </c>
      <c r="F19" s="8">
        <f>VLOOKUP('Retained Provisional CHWM Calcs'!B19,CHWM_published!B21:AR156,43,FALSE)</f>
        <v>2.055</v>
      </c>
      <c r="G19" s="9">
        <f>VLOOKUP('Retained Provisional CHWM Calcs'!$B19,CHWM_published!$B$12:$AR$147,40,FALSE)</f>
        <v>0.03</v>
      </c>
      <c r="H19" s="9">
        <f>VLOOKUP('Retained Provisional CHWM Calcs'!$B19,CHWM_published!$B$12:$AR$147,33,FALSE)</f>
        <v>0.028999999999999915</v>
      </c>
      <c r="I19" s="22" t="s">
        <v>106</v>
      </c>
      <c r="J19" s="25">
        <v>1.988</v>
      </c>
      <c r="K19" s="17">
        <v>0</v>
      </c>
      <c r="L19" s="17">
        <v>-0.042</v>
      </c>
      <c r="M19" s="17">
        <v>0</v>
      </c>
      <c r="N19" s="17">
        <v>0</v>
      </c>
      <c r="O19" s="17">
        <f t="shared" si="0"/>
        <v>1.946</v>
      </c>
      <c r="P19" s="17">
        <f>VLOOKUP(B19,CHWM_published!B21:AL156,37,FALSE)</f>
        <v>0.033</v>
      </c>
      <c r="Q19" s="17">
        <v>0.015</v>
      </c>
      <c r="R19" s="17">
        <f t="shared" si="1"/>
        <v>1.9939999999999998</v>
      </c>
      <c r="S19" s="17">
        <f>VLOOKUP('Retained Provisional CHWM Calcs'!$B19,CHWM_published!$B$12:$AR$147,28,FALSE)</f>
        <v>1.969</v>
      </c>
      <c r="T19" s="17">
        <f t="shared" si="2"/>
        <v>0.02499999999999969</v>
      </c>
      <c r="U19" s="22">
        <f t="shared" si="3"/>
        <v>0.02499999999999969</v>
      </c>
      <c r="V19" s="25"/>
      <c r="W19" s="17"/>
      <c r="X19" s="17"/>
      <c r="Y19" s="22"/>
      <c r="Z19" s="25">
        <f t="shared" si="4"/>
        <v>0.02499999999999969</v>
      </c>
      <c r="AA19" s="17">
        <f>VLOOKUP('Retained Provisional CHWM Calcs'!$B19,CHWM_published!$B$12:$AR$147,35,FALSE)</f>
        <v>1.9649999999999999</v>
      </c>
      <c r="AB19" s="9">
        <f t="shared" si="5"/>
        <v>0.026</v>
      </c>
      <c r="AC19" s="195">
        <f t="shared" si="6"/>
        <v>2.051</v>
      </c>
      <c r="AD19" s="8">
        <f t="shared" si="7"/>
        <v>2.029</v>
      </c>
      <c r="AE19" s="201" t="str">
        <f t="shared" si="8"/>
        <v>Yes</v>
      </c>
      <c r="AH19" s="310"/>
    </row>
    <row r="20" spans="1:34" s="19" customFormat="1" ht="12.75">
      <c r="A20" s="70" t="s">
        <v>72</v>
      </c>
      <c r="B20" s="34">
        <v>10070</v>
      </c>
      <c r="C20" s="35" t="s">
        <v>16</v>
      </c>
      <c r="D20" s="34">
        <v>10070</v>
      </c>
      <c r="E20" s="36">
        <v>127</v>
      </c>
      <c r="F20" s="44">
        <f>VLOOKUP('Retained Provisional CHWM Calcs'!B20,CHWM_published!B22:AR157,43,FALSE)</f>
        <v>0.364</v>
      </c>
      <c r="G20" s="45">
        <f>VLOOKUP('Retained Provisional CHWM Calcs'!$B20,CHWM_published!$B$12:$AR$147,40,FALSE)</f>
        <v>0.007</v>
      </c>
      <c r="H20" s="45">
        <f>VLOOKUP('Retained Provisional CHWM Calcs'!$B20,CHWM_published!$B$12:$AR$147,33,FALSE)</f>
        <v>0.007000000000000006</v>
      </c>
      <c r="I20" s="48" t="s">
        <v>106</v>
      </c>
      <c r="J20" s="46">
        <v>0.355</v>
      </c>
      <c r="K20" s="47">
        <v>0</v>
      </c>
      <c r="L20" s="47">
        <v>-0.004</v>
      </c>
      <c r="M20" s="47">
        <v>0</v>
      </c>
      <c r="N20" s="47">
        <v>0</v>
      </c>
      <c r="O20" s="47">
        <f t="shared" si="0"/>
        <v>0.351</v>
      </c>
      <c r="P20" s="47">
        <f>VLOOKUP(B20,CHWM_published!B22:AL157,37,FALSE)</f>
        <v>0.004</v>
      </c>
      <c r="Q20" s="47">
        <v>0.003</v>
      </c>
      <c r="R20" s="47">
        <f t="shared" si="1"/>
        <v>0.358</v>
      </c>
      <c r="S20" s="47">
        <f>VLOOKUP('Retained Provisional CHWM Calcs'!$B20,CHWM_published!$B$12:$AR$147,28,FALSE)</f>
        <v>0.347</v>
      </c>
      <c r="T20" s="47">
        <f t="shared" si="2"/>
        <v>0.01100000000000001</v>
      </c>
      <c r="U20" s="48">
        <f t="shared" si="3"/>
        <v>0.007000000000000006</v>
      </c>
      <c r="V20" s="46"/>
      <c r="W20" s="47"/>
      <c r="X20" s="47"/>
      <c r="Y20" s="48"/>
      <c r="Z20" s="46">
        <f t="shared" si="4"/>
        <v>0.007000000000000006</v>
      </c>
      <c r="AA20" s="47">
        <f>VLOOKUP('Retained Provisional CHWM Calcs'!$B20,CHWM_published!$B$12:$AR$147,35,FALSE)</f>
        <v>0.35</v>
      </c>
      <c r="AB20" s="45">
        <f t="shared" si="5"/>
        <v>0.007</v>
      </c>
      <c r="AC20" s="196">
        <f t="shared" si="6"/>
        <v>0.364</v>
      </c>
      <c r="AD20" s="44">
        <f t="shared" si="7"/>
        <v>0.36</v>
      </c>
      <c r="AE20" s="260" t="str">
        <f t="shared" si="8"/>
        <v>No</v>
      </c>
      <c r="AH20" s="310"/>
    </row>
    <row r="21" spans="1:34" s="19" customFormat="1" ht="12.75">
      <c r="A21" s="69" t="s">
        <v>73</v>
      </c>
      <c r="B21" s="10">
        <v>10136</v>
      </c>
      <c r="C21" s="42" t="s">
        <v>17</v>
      </c>
      <c r="D21" s="10">
        <v>10136</v>
      </c>
      <c r="E21" s="43">
        <v>333</v>
      </c>
      <c r="F21" s="8">
        <f>VLOOKUP('Retained Provisional CHWM Calcs'!B21,CHWM_published!B23:AR158,43,FALSE)</f>
        <v>19.291</v>
      </c>
      <c r="G21" s="9">
        <f>VLOOKUP('Retained Provisional CHWM Calcs'!$B21,CHWM_published!$B$12:$AR$147,40,FALSE)</f>
        <v>0.625</v>
      </c>
      <c r="H21" s="9">
        <f>VLOOKUP('Retained Provisional CHWM Calcs'!$B21,CHWM_published!$B$12:$AR$147,33,FALSE)</f>
        <v>0.6020000000000003</v>
      </c>
      <c r="I21" s="22" t="s">
        <v>106</v>
      </c>
      <c r="J21" s="25">
        <v>17.816</v>
      </c>
      <c r="K21" s="17">
        <v>0</v>
      </c>
      <c r="L21" s="17">
        <v>0.062</v>
      </c>
      <c r="M21" s="17">
        <v>0</v>
      </c>
      <c r="N21" s="17">
        <v>0</v>
      </c>
      <c r="O21" s="17">
        <f t="shared" si="0"/>
        <v>17.878</v>
      </c>
      <c r="P21" s="17">
        <f>VLOOKUP(B21,CHWM_published!B23:AL158,37,FALSE)</f>
        <v>0.152</v>
      </c>
      <c r="Q21" s="17">
        <v>0.258</v>
      </c>
      <c r="R21" s="17">
        <f t="shared" si="1"/>
        <v>18.288</v>
      </c>
      <c r="S21" s="17">
        <f>VLOOKUP('Retained Provisional CHWM Calcs'!$B21,CHWM_published!$B$12:$AR$147,28,FALSE)</f>
        <v>18.145</v>
      </c>
      <c r="T21" s="17">
        <f t="shared" si="2"/>
        <v>0.14300000000000068</v>
      </c>
      <c r="U21" s="22">
        <f t="shared" si="3"/>
        <v>0.14300000000000068</v>
      </c>
      <c r="V21" s="25"/>
      <c r="W21" s="17"/>
      <c r="X21" s="17"/>
      <c r="Y21" s="22"/>
      <c r="Z21" s="25">
        <f t="shared" si="4"/>
        <v>0.14300000000000068</v>
      </c>
      <c r="AA21" s="17">
        <f>VLOOKUP('Retained Provisional CHWM Calcs'!$B21,CHWM_published!$B$12:$AR$147,35,FALSE)</f>
        <v>18.595</v>
      </c>
      <c r="AB21" s="9">
        <f t="shared" si="5"/>
        <v>0.148</v>
      </c>
      <c r="AC21" s="195">
        <f t="shared" si="6"/>
        <v>18.814</v>
      </c>
      <c r="AD21" s="8">
        <f t="shared" si="7"/>
        <v>18.615</v>
      </c>
      <c r="AE21" s="201" t="str">
        <f t="shared" si="8"/>
        <v>Yes</v>
      </c>
      <c r="AH21" s="310"/>
    </row>
    <row r="22" spans="1:34" s="19" customFormat="1" ht="12.75">
      <c r="A22" s="70" t="s">
        <v>74</v>
      </c>
      <c r="B22" s="34">
        <v>10071</v>
      </c>
      <c r="C22" s="35" t="s">
        <v>18</v>
      </c>
      <c r="D22" s="34">
        <v>10071</v>
      </c>
      <c r="E22" s="36">
        <v>128</v>
      </c>
      <c r="F22" s="44">
        <f>VLOOKUP('Retained Provisional CHWM Calcs'!B22,CHWM_published!B24:AR159,43,FALSE)</f>
        <v>2.479</v>
      </c>
      <c r="G22" s="45">
        <f>VLOOKUP('Retained Provisional CHWM Calcs'!$B22,CHWM_published!$B$12:$AR$147,40,FALSE)</f>
        <v>0.59</v>
      </c>
      <c r="H22" s="45">
        <f>VLOOKUP('Retained Provisional CHWM Calcs'!$B22,CHWM_published!$B$12:$AR$147,33,FALSE)</f>
        <v>0.5679999999999998</v>
      </c>
      <c r="I22" s="48" t="s">
        <v>106</v>
      </c>
      <c r="J22" s="46">
        <v>1.846</v>
      </c>
      <c r="K22" s="47">
        <v>0</v>
      </c>
      <c r="L22" s="47">
        <v>0.016</v>
      </c>
      <c r="M22" s="47">
        <v>0</v>
      </c>
      <c r="N22" s="47">
        <v>0</v>
      </c>
      <c r="O22" s="47">
        <f t="shared" si="0"/>
        <v>1.862</v>
      </c>
      <c r="P22" s="47">
        <f>VLOOKUP(B22,CHWM_published!B24:AL159,37,FALSE)</f>
        <v>0.024</v>
      </c>
      <c r="Q22" s="47">
        <v>0.007</v>
      </c>
      <c r="R22" s="47">
        <f t="shared" si="1"/>
        <v>1.893</v>
      </c>
      <c r="S22" s="47">
        <f>VLOOKUP('Retained Provisional CHWM Calcs'!$B22,CHWM_published!$B$12:$AR$147,28,FALSE)</f>
        <v>1.841</v>
      </c>
      <c r="T22" s="47">
        <f t="shared" si="2"/>
        <v>0.052000000000000046</v>
      </c>
      <c r="U22" s="48">
        <f t="shared" si="3"/>
        <v>0.052000000000000046</v>
      </c>
      <c r="V22" s="46"/>
      <c r="W22" s="47"/>
      <c r="X22" s="47"/>
      <c r="Y22" s="48"/>
      <c r="Z22" s="46">
        <f t="shared" si="4"/>
        <v>0.052000000000000046</v>
      </c>
      <c r="AA22" s="47">
        <f>VLOOKUP('Retained Provisional CHWM Calcs'!$B22,CHWM_published!$B$12:$AR$147,35,FALSE)</f>
        <v>2.385</v>
      </c>
      <c r="AB22" s="45">
        <f t="shared" si="5"/>
        <v>0.054</v>
      </c>
      <c r="AC22" s="196">
        <f t="shared" si="6"/>
        <v>1.943</v>
      </c>
      <c r="AD22" s="44">
        <f t="shared" si="7"/>
        <v>1.922</v>
      </c>
      <c r="AE22" s="260" t="str">
        <f t="shared" si="8"/>
        <v>Yes</v>
      </c>
      <c r="AH22" s="310"/>
    </row>
    <row r="23" spans="1:34" s="19" customFormat="1" ht="12.75">
      <c r="A23" s="69" t="s">
        <v>75</v>
      </c>
      <c r="B23" s="10">
        <v>10072</v>
      </c>
      <c r="C23" s="42" t="s">
        <v>19</v>
      </c>
      <c r="D23" s="10">
        <v>10072</v>
      </c>
      <c r="E23" s="43">
        <v>133</v>
      </c>
      <c r="F23" s="8">
        <f>VLOOKUP('Retained Provisional CHWM Calcs'!B23,CHWM_published!B25:AR160,43,FALSE)</f>
        <v>24.34</v>
      </c>
      <c r="G23" s="9">
        <f>VLOOKUP('Retained Provisional CHWM Calcs'!$B23,CHWM_published!$B$12:$AR$147,40,FALSE)</f>
        <v>0.129</v>
      </c>
      <c r="H23" s="9">
        <f>VLOOKUP('Retained Provisional CHWM Calcs'!$B23,CHWM_published!$B$12:$AR$147,33,FALSE)</f>
        <v>0.12399999999999878</v>
      </c>
      <c r="I23" s="22" t="s">
        <v>106</v>
      </c>
      <c r="J23" s="25">
        <v>23.656</v>
      </c>
      <c r="K23" s="17">
        <v>0</v>
      </c>
      <c r="L23" s="17">
        <v>-0.109</v>
      </c>
      <c r="M23" s="17">
        <v>0</v>
      </c>
      <c r="N23" s="17">
        <v>0</v>
      </c>
      <c r="O23" s="17">
        <f t="shared" si="0"/>
        <v>23.546999999999997</v>
      </c>
      <c r="P23" s="17">
        <f>VLOOKUP(B23,CHWM_published!B25:AL160,37,FALSE)</f>
        <v>0.299</v>
      </c>
      <c r="Q23" s="17">
        <v>0.257</v>
      </c>
      <c r="R23" s="17">
        <f t="shared" si="1"/>
        <v>24.102999999999998</v>
      </c>
      <c r="S23" s="17">
        <f>VLOOKUP('Retained Provisional CHWM Calcs'!$B23,CHWM_published!$B$12:$AR$147,28,FALSE)</f>
        <v>23.535</v>
      </c>
      <c r="T23" s="17">
        <f t="shared" si="2"/>
        <v>0.5679999999999978</v>
      </c>
      <c r="U23" s="22">
        <f t="shared" si="3"/>
        <v>0.12399999999999878</v>
      </c>
      <c r="V23" s="25"/>
      <c r="W23" s="17"/>
      <c r="X23" s="17"/>
      <c r="Y23" s="22"/>
      <c r="Z23" s="25">
        <f t="shared" si="4"/>
        <v>0.12399999999999878</v>
      </c>
      <c r="AA23" s="17">
        <f>VLOOKUP('Retained Provisional CHWM Calcs'!$B23,CHWM_published!$B$12:$AR$147,35,FALSE)</f>
        <v>23.36</v>
      </c>
      <c r="AB23" s="9">
        <f t="shared" si="5"/>
        <v>0.129</v>
      </c>
      <c r="AC23" s="195">
        <f t="shared" si="6"/>
        <v>24.34</v>
      </c>
      <c r="AD23" s="8">
        <f t="shared" si="7"/>
        <v>24.082</v>
      </c>
      <c r="AE23" s="201" t="str">
        <f t="shared" si="8"/>
        <v>No</v>
      </c>
      <c r="AH23" s="310"/>
    </row>
    <row r="24" spans="1:34" s="19" customFormat="1" ht="12.75">
      <c r="A24" s="70" t="s">
        <v>76</v>
      </c>
      <c r="B24" s="34">
        <v>10157</v>
      </c>
      <c r="C24" s="35" t="s">
        <v>20</v>
      </c>
      <c r="D24" s="34">
        <v>10157</v>
      </c>
      <c r="E24" s="36">
        <v>229</v>
      </c>
      <c r="F24" s="44">
        <f>VLOOKUP('Retained Provisional CHWM Calcs'!B24,CHWM_published!B26:AR161,43,FALSE)</f>
        <v>53.228</v>
      </c>
      <c r="G24" s="45">
        <f>VLOOKUP('Retained Provisional CHWM Calcs'!$B24,CHWM_published!$B$12:$AR$147,40,FALSE)</f>
        <v>2.525</v>
      </c>
      <c r="H24" s="45">
        <f>VLOOKUP('Retained Provisional CHWM Calcs'!$B24,CHWM_published!$B$12:$AR$147,33,FALSE)</f>
        <v>2.4139999999999944</v>
      </c>
      <c r="I24" s="48" t="s">
        <v>106</v>
      </c>
      <c r="J24" s="46">
        <v>87.404</v>
      </c>
      <c r="K24" s="47">
        <v>-38.03</v>
      </c>
      <c r="L24" s="47">
        <v>0.245</v>
      </c>
      <c r="M24" s="47">
        <v>0</v>
      </c>
      <c r="N24" s="47">
        <v>0</v>
      </c>
      <c r="O24" s="47">
        <f t="shared" si="0"/>
        <v>49.61899999999999</v>
      </c>
      <c r="P24" s="47">
        <f>VLOOKUP(B24,CHWM_published!B26:AL161,37,FALSE)</f>
        <v>0.861</v>
      </c>
      <c r="Q24" s="47">
        <v>0.573</v>
      </c>
      <c r="R24" s="47">
        <f t="shared" si="1"/>
        <v>51.05299999999999</v>
      </c>
      <c r="S24" s="47">
        <f>VLOOKUP('Retained Provisional CHWM Calcs'!$B24,CHWM_published!$B$12:$AR$147,28,FALSE)</f>
        <v>51.273</v>
      </c>
      <c r="T24" s="47">
        <f t="shared" si="2"/>
        <v>-0.22000000000001307</v>
      </c>
      <c r="U24" s="48">
        <f t="shared" si="3"/>
        <v>0</v>
      </c>
      <c r="V24" s="46"/>
      <c r="W24" s="47"/>
      <c r="X24" s="47"/>
      <c r="Y24" s="48"/>
      <c r="Z24" s="46">
        <f t="shared" si="4"/>
        <v>0</v>
      </c>
      <c r="AA24" s="47">
        <f>VLOOKUP('Retained Provisional CHWM Calcs'!$B24,CHWM_published!$B$12:$AR$147,35,FALSE)</f>
        <v>50.888</v>
      </c>
      <c r="AB24" s="45">
        <f t="shared" si="5"/>
        <v>0</v>
      </c>
      <c r="AC24" s="196">
        <f t="shared" si="6"/>
        <v>50.703</v>
      </c>
      <c r="AD24" s="44">
        <f t="shared" si="7"/>
        <v>50.166</v>
      </c>
      <c r="AE24" s="260" t="str">
        <f t="shared" si="8"/>
        <v>Yes</v>
      </c>
      <c r="AH24" s="310"/>
    </row>
    <row r="25" spans="1:34" s="19" customFormat="1" ht="12.75">
      <c r="A25" s="69" t="s">
        <v>77</v>
      </c>
      <c r="B25" s="10">
        <v>10158</v>
      </c>
      <c r="C25" s="42" t="s">
        <v>21</v>
      </c>
      <c r="D25" s="10">
        <v>10158</v>
      </c>
      <c r="E25" s="43">
        <v>195</v>
      </c>
      <c r="F25" s="8">
        <f>VLOOKUP('Retained Provisional CHWM Calcs'!B25,CHWM_published!B27:AR162,43,FALSE)</f>
        <v>2.91</v>
      </c>
      <c r="G25" s="9">
        <f>VLOOKUP('Retained Provisional CHWM Calcs'!$B25,CHWM_published!$B$12:$AR$147,40,FALSE)</f>
        <v>0.077</v>
      </c>
      <c r="H25" s="9">
        <f>VLOOKUP('Retained Provisional CHWM Calcs'!$B25,CHWM_published!$B$12:$AR$147,33,FALSE)</f>
        <v>0.07399999999999984</v>
      </c>
      <c r="I25" s="22" t="s">
        <v>106</v>
      </c>
      <c r="J25" s="25">
        <v>2.73</v>
      </c>
      <c r="K25" s="17">
        <v>0</v>
      </c>
      <c r="L25" s="17">
        <v>0.003</v>
      </c>
      <c r="M25" s="17">
        <v>0</v>
      </c>
      <c r="N25" s="17">
        <v>0</v>
      </c>
      <c r="O25" s="17">
        <f t="shared" si="0"/>
        <v>2.733</v>
      </c>
      <c r="P25" s="17">
        <f>VLOOKUP(B25,CHWM_published!B27:AL162,37,FALSE)</f>
        <v>0.019</v>
      </c>
      <c r="Q25" s="17">
        <v>0</v>
      </c>
      <c r="R25" s="17">
        <f t="shared" si="1"/>
        <v>2.7520000000000002</v>
      </c>
      <c r="S25" s="17">
        <f>VLOOKUP('Retained Provisional CHWM Calcs'!$B25,CHWM_published!$B$12:$AR$147,28,FALSE)</f>
        <v>2.754</v>
      </c>
      <c r="T25" s="17">
        <f t="shared" si="2"/>
        <v>-0.0019999999999997797</v>
      </c>
      <c r="U25" s="22">
        <f t="shared" si="3"/>
        <v>0</v>
      </c>
      <c r="V25" s="25"/>
      <c r="W25" s="17"/>
      <c r="X25" s="17"/>
      <c r="Y25" s="22"/>
      <c r="Z25" s="25">
        <f t="shared" si="4"/>
        <v>0</v>
      </c>
      <c r="AA25" s="17">
        <f>VLOOKUP('Retained Provisional CHWM Calcs'!$B25,CHWM_published!$B$12:$AR$147,35,FALSE)</f>
        <v>2.8089999999999997</v>
      </c>
      <c r="AB25" s="9">
        <f t="shared" si="5"/>
        <v>0</v>
      </c>
      <c r="AC25" s="195">
        <f t="shared" si="6"/>
        <v>2.833</v>
      </c>
      <c r="AD25" s="8">
        <f t="shared" si="7"/>
        <v>2.803</v>
      </c>
      <c r="AE25" s="201" t="str">
        <f t="shared" si="8"/>
        <v>Yes</v>
      </c>
      <c r="AH25" s="310"/>
    </row>
    <row r="26" spans="1:34" s="19" customFormat="1" ht="12.75">
      <c r="A26" s="70" t="s">
        <v>78</v>
      </c>
      <c r="B26" s="34">
        <v>10170</v>
      </c>
      <c r="C26" s="35" t="s">
        <v>22</v>
      </c>
      <c r="D26" s="34">
        <v>10170</v>
      </c>
      <c r="E26" s="36">
        <v>137</v>
      </c>
      <c r="F26" s="44">
        <f>VLOOKUP('Retained Provisional CHWM Calcs'!B26,CHWM_published!B28:AR163,43,FALSE)</f>
        <v>254.843</v>
      </c>
      <c r="G26" s="45">
        <f>VLOOKUP('Retained Provisional CHWM Calcs'!$B26,CHWM_published!$B$12:$AR$147,40,FALSE)</f>
        <v>4.482</v>
      </c>
      <c r="H26" s="45">
        <f>VLOOKUP('Retained Provisional CHWM Calcs'!$B26,CHWM_published!$B$12:$AR$147,33,FALSE)</f>
        <v>4.198000000000036</v>
      </c>
      <c r="I26" s="48" t="s">
        <v>106</v>
      </c>
      <c r="J26" s="46">
        <v>279.552</v>
      </c>
      <c r="K26" s="47">
        <v>-0.932</v>
      </c>
      <c r="L26" s="47">
        <v>0.3</v>
      </c>
      <c r="M26" s="47">
        <v>0</v>
      </c>
      <c r="N26" s="47">
        <v>0</v>
      </c>
      <c r="O26" s="47">
        <f t="shared" si="0"/>
        <v>278.92</v>
      </c>
      <c r="P26" s="47">
        <f>VLOOKUP(B26,CHWM_published!B28:AL163,37,FALSE)</f>
        <v>9.333</v>
      </c>
      <c r="Q26" s="47">
        <v>6.463</v>
      </c>
      <c r="R26" s="47">
        <f t="shared" si="1"/>
        <v>294.71600000000007</v>
      </c>
      <c r="S26" s="47">
        <f>VLOOKUP('Retained Provisional CHWM Calcs'!$B26,CHWM_published!$B$12:$AR$147,28,FALSE)</f>
        <v>289.03</v>
      </c>
      <c r="T26" s="47">
        <f t="shared" si="2"/>
        <v>5.686000000000092</v>
      </c>
      <c r="U26" s="48">
        <f t="shared" si="3"/>
        <v>4.198000000000036</v>
      </c>
      <c r="V26" s="46"/>
      <c r="W26" s="47"/>
      <c r="X26" s="47"/>
      <c r="Y26" s="48"/>
      <c r="Z26" s="46">
        <f t="shared" si="4"/>
        <v>4.198000000000036</v>
      </c>
      <c r="AA26" s="47">
        <f>VLOOKUP('Retained Provisional CHWM Calcs'!$B26,CHWM_published!$B$12:$AR$147,35,FALSE)</f>
        <v>238.69500000000005</v>
      </c>
      <c r="AB26" s="45">
        <f t="shared" si="5"/>
        <v>4.482</v>
      </c>
      <c r="AC26" s="196">
        <f t="shared" si="6"/>
        <v>254.843</v>
      </c>
      <c r="AD26" s="44">
        <f t="shared" si="7"/>
        <v>252.144</v>
      </c>
      <c r="AE26" s="260" t="str">
        <f t="shared" si="8"/>
        <v>No</v>
      </c>
      <c r="AH26" s="310"/>
    </row>
    <row r="27" spans="1:34" s="19" customFormat="1" ht="12.75">
      <c r="A27" s="69" t="s">
        <v>79</v>
      </c>
      <c r="B27" s="10">
        <v>10172</v>
      </c>
      <c r="C27" s="42" t="s">
        <v>23</v>
      </c>
      <c r="D27" s="10">
        <v>10172</v>
      </c>
      <c r="E27" s="43">
        <v>430</v>
      </c>
      <c r="F27" s="8">
        <f>VLOOKUP('Retained Provisional CHWM Calcs'!B27,CHWM_published!B29:AR164,43,FALSE)</f>
        <v>7.402</v>
      </c>
      <c r="G27" s="9">
        <f>VLOOKUP('Retained Provisional CHWM Calcs'!$B27,CHWM_published!$B$12:$AR$147,40,FALSE)</f>
        <v>1.209</v>
      </c>
      <c r="H27" s="9">
        <f>VLOOKUP('Retained Provisional CHWM Calcs'!$B27,CHWM_published!$B$12:$AR$147,33,FALSE)</f>
        <v>1.1710000000000003</v>
      </c>
      <c r="I27" s="22" t="s">
        <v>106</v>
      </c>
      <c r="J27" s="25">
        <v>5.372</v>
      </c>
      <c r="K27" s="17">
        <v>0</v>
      </c>
      <c r="L27" s="17">
        <v>-0.065</v>
      </c>
      <c r="M27" s="17">
        <v>0</v>
      </c>
      <c r="N27" s="17">
        <v>0</v>
      </c>
      <c r="O27" s="17">
        <f t="shared" si="0"/>
        <v>5.3069999999999995</v>
      </c>
      <c r="P27" s="17">
        <f>VLOOKUP(B27,CHWM_published!B29:AL164,37,FALSE)</f>
        <v>0.025</v>
      </c>
      <c r="Q27" s="17">
        <v>0.105</v>
      </c>
      <c r="R27" s="17">
        <f t="shared" si="1"/>
        <v>5.437</v>
      </c>
      <c r="S27" s="17">
        <f>VLOOKUP('Retained Provisional CHWM Calcs'!$B27,CHWM_published!$B$12:$AR$147,28,FALSE)</f>
        <v>6.021</v>
      </c>
      <c r="T27" s="17">
        <f t="shared" si="2"/>
        <v>-0.5839999999999996</v>
      </c>
      <c r="U27" s="22">
        <f t="shared" si="3"/>
        <v>0</v>
      </c>
      <c r="V27" s="25"/>
      <c r="W27" s="17"/>
      <c r="X27" s="17"/>
      <c r="Y27" s="22"/>
      <c r="Z27" s="25">
        <f t="shared" si="4"/>
        <v>0</v>
      </c>
      <c r="AA27" s="17">
        <f>VLOOKUP('Retained Provisional CHWM Calcs'!$B27,CHWM_published!$B$12:$AR$147,35,FALSE)</f>
        <v>7.167000000000001</v>
      </c>
      <c r="AB27" s="9">
        <f t="shared" si="5"/>
        <v>0</v>
      </c>
      <c r="AC27" s="195">
        <f t="shared" si="6"/>
        <v>6.193</v>
      </c>
      <c r="AD27" s="8">
        <f t="shared" si="7"/>
        <v>6.127</v>
      </c>
      <c r="AE27" s="201" t="str">
        <f t="shared" si="8"/>
        <v>Yes</v>
      </c>
      <c r="AH27" s="310"/>
    </row>
    <row r="28" spans="1:34" s="19" customFormat="1" ht="12.75">
      <c r="A28" s="70" t="s">
        <v>80</v>
      </c>
      <c r="B28" s="34">
        <v>10179</v>
      </c>
      <c r="C28" s="35" t="s">
        <v>24</v>
      </c>
      <c r="D28" s="34">
        <v>10179</v>
      </c>
      <c r="E28" s="36">
        <v>339</v>
      </c>
      <c r="F28" s="44">
        <f>VLOOKUP('Retained Provisional CHWM Calcs'!B28,CHWM_published!B30:AR165,43,FALSE)</f>
        <v>169.311</v>
      </c>
      <c r="G28" s="45">
        <f>VLOOKUP('Retained Provisional CHWM Calcs'!$B28,CHWM_published!$B$12:$AR$147,40,FALSE)</f>
        <v>4.194</v>
      </c>
      <c r="H28" s="45">
        <f>VLOOKUP('Retained Provisional CHWM Calcs'!$B28,CHWM_published!$B$12:$AR$147,33,FALSE)</f>
        <v>4.0120000000000005</v>
      </c>
      <c r="I28" s="48" t="s">
        <v>106</v>
      </c>
      <c r="J28" s="46">
        <v>168.765</v>
      </c>
      <c r="K28" s="47">
        <v>0</v>
      </c>
      <c r="L28" s="47">
        <v>1.235</v>
      </c>
      <c r="M28" s="47">
        <v>0</v>
      </c>
      <c r="N28" s="47">
        <v>0</v>
      </c>
      <c r="O28" s="47">
        <f t="shared" si="0"/>
        <v>170</v>
      </c>
      <c r="P28" s="47">
        <f>VLOOKUP(B28,CHWM_published!B30:AL165,37,FALSE)</f>
        <v>2.632</v>
      </c>
      <c r="Q28" s="47">
        <v>3.957</v>
      </c>
      <c r="R28" s="47">
        <f t="shared" si="1"/>
        <v>176.589</v>
      </c>
      <c r="S28" s="47">
        <f>VLOOKUP('Retained Provisional CHWM Calcs'!$B28,CHWM_published!$B$12:$AR$147,28,FALSE)</f>
        <v>166.344</v>
      </c>
      <c r="T28" s="47">
        <f t="shared" si="2"/>
        <v>10.245000000000005</v>
      </c>
      <c r="U28" s="48">
        <f t="shared" si="3"/>
        <v>4.0120000000000005</v>
      </c>
      <c r="V28" s="46"/>
      <c r="W28" s="47"/>
      <c r="X28" s="47"/>
      <c r="Y28" s="48"/>
      <c r="Z28" s="46">
        <f t="shared" si="4"/>
        <v>4.0120000000000005</v>
      </c>
      <c r="AA28" s="47">
        <f>VLOOKUP('Retained Provisional CHWM Calcs'!$B28,CHWM_published!$B$12:$AR$147,35,FALSE)</f>
        <v>161.97000000000003</v>
      </c>
      <c r="AB28" s="45">
        <f t="shared" si="5"/>
        <v>4.194</v>
      </c>
      <c r="AC28" s="196">
        <f t="shared" si="6"/>
        <v>169.311</v>
      </c>
      <c r="AD28" s="44">
        <f t="shared" si="7"/>
        <v>167.518</v>
      </c>
      <c r="AE28" s="260" t="str">
        <f t="shared" si="8"/>
        <v>No</v>
      </c>
      <c r="AH28" s="310"/>
    </row>
    <row r="29" spans="1:34" s="19" customFormat="1" ht="12.75">
      <c r="A29" s="69" t="s">
        <v>81</v>
      </c>
      <c r="B29" s="10">
        <v>10074</v>
      </c>
      <c r="C29" s="42" t="s">
        <v>25</v>
      </c>
      <c r="D29" s="10">
        <v>10074</v>
      </c>
      <c r="E29" s="43">
        <v>142</v>
      </c>
      <c r="F29" s="8">
        <f>VLOOKUP('Retained Provisional CHWM Calcs'!B29,CHWM_published!B31:AR166,43,FALSE)</f>
        <v>27.275</v>
      </c>
      <c r="G29" s="9">
        <f>VLOOKUP('Retained Provisional CHWM Calcs'!$B29,CHWM_published!$B$12:$AR$147,40,FALSE)</f>
        <v>1.731</v>
      </c>
      <c r="H29" s="9">
        <f>VLOOKUP('Retained Provisional CHWM Calcs'!$B29,CHWM_published!$B$12:$AR$147,33,FALSE)</f>
        <v>1.6499999999999986</v>
      </c>
      <c r="I29" s="22" t="s">
        <v>106</v>
      </c>
      <c r="J29" s="25">
        <v>28.253</v>
      </c>
      <c r="K29" s="17">
        <v>0</v>
      </c>
      <c r="L29" s="17">
        <v>-0.08</v>
      </c>
      <c r="M29" s="17">
        <v>0</v>
      </c>
      <c r="N29" s="17">
        <v>0</v>
      </c>
      <c r="O29" s="17">
        <f t="shared" si="0"/>
        <v>28.173000000000002</v>
      </c>
      <c r="P29" s="17">
        <f>VLOOKUP(B29,CHWM_published!B31:AL166,37,FALSE)</f>
        <v>0.518</v>
      </c>
      <c r="Q29" s="17">
        <v>0.369</v>
      </c>
      <c r="R29" s="17">
        <f t="shared" si="1"/>
        <v>29.060000000000002</v>
      </c>
      <c r="S29" s="17">
        <f>VLOOKUP('Retained Provisional CHWM Calcs'!$B29,CHWM_published!$B$12:$AR$147,28,FALSE)</f>
        <v>27.596</v>
      </c>
      <c r="T29" s="17">
        <f t="shared" si="2"/>
        <v>1.4640000000000022</v>
      </c>
      <c r="U29" s="22">
        <f t="shared" si="3"/>
        <v>1.4640000000000022</v>
      </c>
      <c r="V29" s="25"/>
      <c r="W29" s="17"/>
      <c r="X29" s="17"/>
      <c r="Y29" s="22"/>
      <c r="Z29" s="25">
        <f t="shared" si="4"/>
        <v>1.4640000000000022</v>
      </c>
      <c r="AA29" s="17">
        <f>VLOOKUP('Retained Provisional CHWM Calcs'!$B29,CHWM_published!$B$12:$AR$147,35,FALSE)</f>
        <v>26.002999999999997</v>
      </c>
      <c r="AB29" s="9">
        <f t="shared" si="5"/>
        <v>1.536</v>
      </c>
      <c r="AC29" s="195">
        <f t="shared" si="6"/>
        <v>27.08</v>
      </c>
      <c r="AD29" s="8">
        <f t="shared" si="7"/>
        <v>26.793</v>
      </c>
      <c r="AE29" s="201" t="str">
        <f t="shared" si="8"/>
        <v>Yes</v>
      </c>
      <c r="AH29" s="310"/>
    </row>
    <row r="30" spans="1:34" s="19" customFormat="1" ht="12.75">
      <c r="A30" s="70" t="s">
        <v>82</v>
      </c>
      <c r="B30" s="34">
        <v>10191</v>
      </c>
      <c r="C30" s="35" t="s">
        <v>27</v>
      </c>
      <c r="D30" s="34">
        <v>10191</v>
      </c>
      <c r="E30" s="36">
        <v>241</v>
      </c>
      <c r="F30" s="44">
        <f>VLOOKUP('Retained Provisional CHWM Calcs'!B30,CHWM_published!B32:AR167,43,FALSE)</f>
        <v>133.174</v>
      </c>
      <c r="G30" s="45">
        <f>VLOOKUP('Retained Provisional CHWM Calcs'!$B30,CHWM_published!$B$12:$AR$147,40,FALSE)</f>
        <v>4.535</v>
      </c>
      <c r="H30" s="45">
        <f>VLOOKUP('Retained Provisional CHWM Calcs'!$B30,CHWM_published!$B$12:$AR$147,33,FALSE)</f>
        <v>4.358000000000004</v>
      </c>
      <c r="I30" s="48" t="s">
        <v>106</v>
      </c>
      <c r="J30" s="46">
        <v>137.036</v>
      </c>
      <c r="K30" s="47">
        <v>0</v>
      </c>
      <c r="L30" s="47">
        <v>-1.009</v>
      </c>
      <c r="M30" s="47">
        <v>0</v>
      </c>
      <c r="N30" s="47">
        <v>0</v>
      </c>
      <c r="O30" s="47">
        <f t="shared" si="0"/>
        <v>136.02700000000002</v>
      </c>
      <c r="P30" s="47">
        <f>VLOOKUP(B30,CHWM_published!B32:AL167,37,FALSE)</f>
        <v>1.47</v>
      </c>
      <c r="Q30" s="47">
        <v>2.026</v>
      </c>
      <c r="R30" s="47">
        <f t="shared" si="1"/>
        <v>139.52300000000002</v>
      </c>
      <c r="S30" s="47">
        <f>VLOOKUP('Retained Provisional CHWM Calcs'!$B30,CHWM_published!$B$12:$AR$147,28,FALSE)</f>
        <v>125.082</v>
      </c>
      <c r="T30" s="47">
        <f t="shared" si="2"/>
        <v>14.441000000000031</v>
      </c>
      <c r="U30" s="48">
        <f t="shared" si="3"/>
        <v>4.358000000000004</v>
      </c>
      <c r="V30" s="46"/>
      <c r="W30" s="47"/>
      <c r="X30" s="47"/>
      <c r="Y30" s="48"/>
      <c r="Z30" s="46">
        <f t="shared" si="4"/>
        <v>4.358000000000004</v>
      </c>
      <c r="AA30" s="47">
        <f>VLOOKUP('Retained Provisional CHWM Calcs'!$B30,CHWM_published!$B$12:$AR$147,35,FALSE)</f>
        <v>127.97</v>
      </c>
      <c r="AB30" s="45">
        <f t="shared" si="5"/>
        <v>4.535</v>
      </c>
      <c r="AC30" s="196">
        <f t="shared" si="6"/>
        <v>133.174</v>
      </c>
      <c r="AD30" s="44">
        <f t="shared" si="7"/>
        <v>131.764</v>
      </c>
      <c r="AE30" s="260" t="str">
        <f t="shared" si="8"/>
        <v>No</v>
      </c>
      <c r="AH30" s="310"/>
    </row>
    <row r="31" spans="1:34" s="19" customFormat="1" ht="12.75">
      <c r="A31" s="69" t="s">
        <v>83</v>
      </c>
      <c r="B31" s="10">
        <v>10235</v>
      </c>
      <c r="C31" s="42" t="s">
        <v>30</v>
      </c>
      <c r="D31" s="10">
        <v>10235</v>
      </c>
      <c r="E31" s="43">
        <v>353</v>
      </c>
      <c r="F31" s="8">
        <f>VLOOKUP('Retained Provisional CHWM Calcs'!B31,CHWM_published!B33:AR168,43,FALSE)</f>
        <v>33.839</v>
      </c>
      <c r="G31" s="9">
        <f>VLOOKUP('Retained Provisional CHWM Calcs'!$B31,CHWM_published!$B$12:$AR$147,40,FALSE)</f>
        <v>0.232</v>
      </c>
      <c r="H31" s="9">
        <f>VLOOKUP('Retained Provisional CHWM Calcs'!$B31,CHWM_published!$B$12:$AR$147,33,FALSE)</f>
        <v>0.22099999999999653</v>
      </c>
      <c r="I31" s="22" t="s">
        <v>106</v>
      </c>
      <c r="J31" s="25">
        <v>30.831</v>
      </c>
      <c r="K31" s="17">
        <v>0</v>
      </c>
      <c r="L31" s="17">
        <v>0.066</v>
      </c>
      <c r="M31" s="17">
        <v>0</v>
      </c>
      <c r="N31" s="17">
        <v>0</v>
      </c>
      <c r="O31" s="17">
        <f t="shared" si="0"/>
        <v>30.897</v>
      </c>
      <c r="P31" s="17">
        <f>VLOOKUP(B31,CHWM_published!B33:AL168,37,FALSE)</f>
        <v>0.629</v>
      </c>
      <c r="Q31" s="17">
        <v>0.541</v>
      </c>
      <c r="R31" s="17">
        <f t="shared" si="1"/>
        <v>32.067</v>
      </c>
      <c r="S31" s="17">
        <f>VLOOKUP('Retained Provisional CHWM Calcs'!$B31,CHWM_published!$B$12:$AR$147,28,FALSE)</f>
        <v>32.682</v>
      </c>
      <c r="T31" s="17">
        <f t="shared" si="2"/>
        <v>-0.615000000000002</v>
      </c>
      <c r="U31" s="22">
        <f t="shared" si="3"/>
        <v>0</v>
      </c>
      <c r="V31" s="25"/>
      <c r="W31" s="17"/>
      <c r="X31" s="17"/>
      <c r="Y31" s="22"/>
      <c r="Z31" s="25">
        <f t="shared" si="4"/>
        <v>0</v>
      </c>
      <c r="AA31" s="17">
        <f>VLOOKUP('Retained Provisional CHWM Calcs'!$B31,CHWM_published!$B$12:$AR$147,35,FALSE)</f>
        <v>32.273999999999994</v>
      </c>
      <c r="AB31" s="9">
        <f t="shared" si="5"/>
        <v>0</v>
      </c>
      <c r="AC31" s="195">
        <f t="shared" si="6"/>
        <v>33.607</v>
      </c>
      <c r="AD31" s="8">
        <f t="shared" si="7"/>
        <v>33.251</v>
      </c>
      <c r="AE31" s="201" t="str">
        <f t="shared" si="8"/>
        <v>Yes</v>
      </c>
      <c r="AH31" s="310"/>
    </row>
    <row r="32" spans="1:34" s="19" customFormat="1" ht="12.75">
      <c r="A32" s="70" t="s">
        <v>84</v>
      </c>
      <c r="B32" s="34">
        <v>10239</v>
      </c>
      <c r="C32" s="35" t="s">
        <v>32</v>
      </c>
      <c r="D32" s="34">
        <v>10239</v>
      </c>
      <c r="E32" s="36">
        <v>357</v>
      </c>
      <c r="F32" s="44">
        <f>VLOOKUP('Retained Provisional CHWM Calcs'!B32,CHWM_published!B34:AR169,43,FALSE)</f>
        <v>14.789</v>
      </c>
      <c r="G32" s="45">
        <f>VLOOKUP('Retained Provisional CHWM Calcs'!$B32,CHWM_published!$B$12:$AR$147,40,FALSE)</f>
        <v>0.611</v>
      </c>
      <c r="H32" s="45">
        <f>VLOOKUP('Retained Provisional CHWM Calcs'!$B32,CHWM_published!$B$12:$AR$147,33,FALSE)</f>
        <v>0.5800000000000001</v>
      </c>
      <c r="I32" s="48" t="s">
        <v>106</v>
      </c>
      <c r="J32" s="46">
        <v>13.037</v>
      </c>
      <c r="K32" s="47">
        <v>0</v>
      </c>
      <c r="L32" s="47">
        <v>0.291</v>
      </c>
      <c r="M32" s="47">
        <v>0</v>
      </c>
      <c r="N32" s="47">
        <v>0</v>
      </c>
      <c r="O32" s="47">
        <f t="shared" si="0"/>
        <v>13.328000000000001</v>
      </c>
      <c r="P32" s="47">
        <f>VLOOKUP(B32,CHWM_published!B34:AL169,37,FALSE)</f>
        <v>0.354</v>
      </c>
      <c r="Q32" s="47">
        <v>0.151</v>
      </c>
      <c r="R32" s="47">
        <f t="shared" si="1"/>
        <v>13.833</v>
      </c>
      <c r="S32" s="47">
        <f>VLOOKUP('Retained Provisional CHWM Calcs'!$B32,CHWM_published!$B$12:$AR$147,28,FALSE)</f>
        <v>13.804</v>
      </c>
      <c r="T32" s="47">
        <f t="shared" si="2"/>
        <v>0.028999999999999915</v>
      </c>
      <c r="U32" s="48">
        <f t="shared" si="3"/>
        <v>0.028999999999999915</v>
      </c>
      <c r="V32" s="46"/>
      <c r="W32" s="47"/>
      <c r="X32" s="47"/>
      <c r="Y32" s="48"/>
      <c r="Z32" s="46">
        <f t="shared" si="4"/>
        <v>0.028999999999999915</v>
      </c>
      <c r="AA32" s="47">
        <f>VLOOKUP('Retained Provisional CHWM Calcs'!$B32,CHWM_published!$B$12:$AR$147,35,FALSE)</f>
        <v>14.030000000000001</v>
      </c>
      <c r="AB32" s="45">
        <f t="shared" si="5"/>
        <v>0.031</v>
      </c>
      <c r="AC32" s="196">
        <f t="shared" si="6"/>
        <v>14.209</v>
      </c>
      <c r="AD32" s="44">
        <f t="shared" si="7"/>
        <v>14.059</v>
      </c>
      <c r="AE32" s="260" t="str">
        <f t="shared" si="8"/>
        <v>Yes</v>
      </c>
      <c r="AH32" s="310"/>
    </row>
    <row r="33" spans="1:34" s="19" customFormat="1" ht="12.75">
      <c r="A33" s="69" t="s">
        <v>85</v>
      </c>
      <c r="B33" s="10">
        <v>10246</v>
      </c>
      <c r="C33" s="42" t="s">
        <v>33</v>
      </c>
      <c r="D33" s="10">
        <v>10246</v>
      </c>
      <c r="E33" s="43">
        <v>257</v>
      </c>
      <c r="F33" s="8">
        <f>VLOOKUP('Retained Provisional CHWM Calcs'!B33,CHWM_published!B35:AR170,43,FALSE)</f>
        <v>9.121</v>
      </c>
      <c r="G33" s="9">
        <f>VLOOKUP('Retained Provisional CHWM Calcs'!$B33,CHWM_published!$B$12:$AR$147,40,FALSE)</f>
        <v>0.003</v>
      </c>
      <c r="H33" s="9">
        <f>VLOOKUP('Retained Provisional CHWM Calcs'!$B33,CHWM_published!$B$12:$AR$147,33,FALSE)</f>
        <v>0.0030000000000001137</v>
      </c>
      <c r="I33" s="22" t="s">
        <v>106</v>
      </c>
      <c r="J33" s="25">
        <v>8.747</v>
      </c>
      <c r="K33" s="17">
        <v>0</v>
      </c>
      <c r="L33" s="17">
        <v>0.041</v>
      </c>
      <c r="M33" s="17">
        <v>0</v>
      </c>
      <c r="N33" s="17">
        <v>0</v>
      </c>
      <c r="O33" s="17">
        <f t="shared" si="0"/>
        <v>8.788</v>
      </c>
      <c r="P33" s="17">
        <f>VLOOKUP(B33,CHWM_published!B35:AL170,37,FALSE)</f>
        <v>0.147</v>
      </c>
      <c r="Q33" s="17">
        <v>0.058</v>
      </c>
      <c r="R33" s="17">
        <f t="shared" si="1"/>
        <v>8.993</v>
      </c>
      <c r="S33" s="17">
        <f>VLOOKUP('Retained Provisional CHWM Calcs'!$B33,CHWM_published!$B$12:$AR$147,28,FALSE)</f>
        <v>8.865</v>
      </c>
      <c r="T33" s="17">
        <f t="shared" si="2"/>
        <v>0.1280000000000001</v>
      </c>
      <c r="U33" s="22">
        <f t="shared" si="3"/>
        <v>0.0030000000000001137</v>
      </c>
      <c r="V33" s="25"/>
      <c r="W33" s="17"/>
      <c r="X33" s="17"/>
      <c r="Y33" s="22"/>
      <c r="Z33" s="25">
        <f t="shared" si="4"/>
        <v>0.0030000000000001137</v>
      </c>
      <c r="AA33" s="17">
        <f>VLOOKUP('Retained Provisional CHWM Calcs'!$B33,CHWM_published!$B$12:$AR$147,35,FALSE)</f>
        <v>8.721</v>
      </c>
      <c r="AB33" s="9">
        <f t="shared" si="5"/>
        <v>0.003</v>
      </c>
      <c r="AC33" s="195">
        <f t="shared" si="6"/>
        <v>9.121</v>
      </c>
      <c r="AD33" s="8">
        <f t="shared" si="7"/>
        <v>9.024</v>
      </c>
      <c r="AE33" s="201" t="str">
        <f t="shared" si="8"/>
        <v>No</v>
      </c>
      <c r="AH33" s="310"/>
    </row>
    <row r="34" spans="1:34" s="19" customFormat="1" ht="12.75">
      <c r="A34" s="70" t="s">
        <v>86</v>
      </c>
      <c r="B34" s="34">
        <v>10247</v>
      </c>
      <c r="C34" s="35" t="s">
        <v>34</v>
      </c>
      <c r="D34" s="34">
        <v>10247</v>
      </c>
      <c r="E34" s="36">
        <v>258</v>
      </c>
      <c r="F34" s="44">
        <f>VLOOKUP('Retained Provisional CHWM Calcs'!B34,CHWM_published!B36:AR171,43,FALSE)</f>
        <v>81.121</v>
      </c>
      <c r="G34" s="45">
        <f>VLOOKUP('Retained Provisional CHWM Calcs'!$B34,CHWM_published!$B$12:$AR$147,40,FALSE)</f>
        <v>0.192</v>
      </c>
      <c r="H34" s="45">
        <f>VLOOKUP('Retained Provisional CHWM Calcs'!$B34,CHWM_published!$B$12:$AR$147,33,FALSE)</f>
        <v>0.18500000000000227</v>
      </c>
      <c r="I34" s="48" t="s">
        <v>106</v>
      </c>
      <c r="J34" s="46">
        <v>78.736</v>
      </c>
      <c r="K34" s="47">
        <v>0</v>
      </c>
      <c r="L34" s="47">
        <v>0.394</v>
      </c>
      <c r="M34" s="47">
        <v>0</v>
      </c>
      <c r="N34" s="47">
        <v>0</v>
      </c>
      <c r="O34" s="47">
        <f t="shared" si="0"/>
        <v>79.13000000000001</v>
      </c>
      <c r="P34" s="47">
        <f>VLOOKUP(B34,CHWM_published!B36:AL171,37,FALSE)</f>
        <v>0.853</v>
      </c>
      <c r="Q34" s="47">
        <v>1.752</v>
      </c>
      <c r="R34" s="47">
        <f t="shared" si="1"/>
        <v>81.735</v>
      </c>
      <c r="S34" s="47">
        <f>VLOOKUP('Retained Provisional CHWM Calcs'!$B34,CHWM_published!$B$12:$AR$147,28,FALSE)</f>
        <v>79.316</v>
      </c>
      <c r="T34" s="47">
        <f t="shared" si="2"/>
        <v>2.418999999999997</v>
      </c>
      <c r="U34" s="48">
        <f t="shared" si="3"/>
        <v>0.18500000000000227</v>
      </c>
      <c r="V34" s="46"/>
      <c r="W34" s="47"/>
      <c r="X34" s="47"/>
      <c r="Y34" s="48"/>
      <c r="Z34" s="46">
        <f t="shared" si="4"/>
        <v>0.18500000000000227</v>
      </c>
      <c r="AA34" s="47">
        <f>VLOOKUP('Retained Provisional CHWM Calcs'!$B34,CHWM_published!$B$12:$AR$147,35,FALSE)</f>
        <v>77.99100000000001</v>
      </c>
      <c r="AB34" s="45">
        <f t="shared" si="5"/>
        <v>0.192</v>
      </c>
      <c r="AC34" s="196">
        <f t="shared" si="6"/>
        <v>81.121</v>
      </c>
      <c r="AD34" s="44">
        <f t="shared" si="7"/>
        <v>80.262</v>
      </c>
      <c r="AE34" s="260" t="str">
        <f t="shared" si="8"/>
        <v>No</v>
      </c>
      <c r="AH34" s="310"/>
    </row>
    <row r="35" spans="1:34" s="19" customFormat="1" ht="12.75">
      <c r="A35" s="69" t="s">
        <v>87</v>
      </c>
      <c r="B35" s="10">
        <v>10078</v>
      </c>
      <c r="C35" s="42" t="s">
        <v>35</v>
      </c>
      <c r="D35" s="10">
        <v>10078</v>
      </c>
      <c r="E35" s="43">
        <v>154</v>
      </c>
      <c r="F35" s="8">
        <f>VLOOKUP('Retained Provisional CHWM Calcs'!B35,CHWM_published!B37:AR172,43,FALSE)</f>
        <v>4.236</v>
      </c>
      <c r="G35" s="9">
        <f>VLOOKUP('Retained Provisional CHWM Calcs'!$B35,CHWM_published!$B$12:$AR$147,40,FALSE)</f>
        <v>0.463</v>
      </c>
      <c r="H35" s="9">
        <f>VLOOKUP('Retained Provisional CHWM Calcs'!$B35,CHWM_published!$B$12:$AR$147,33,FALSE)</f>
        <v>0.4419999999999997</v>
      </c>
      <c r="I35" s="22" t="s">
        <v>106</v>
      </c>
      <c r="J35" s="25">
        <v>3.495</v>
      </c>
      <c r="K35" s="17">
        <v>0</v>
      </c>
      <c r="L35" s="17">
        <v>0.017</v>
      </c>
      <c r="M35" s="17">
        <v>0</v>
      </c>
      <c r="N35" s="17">
        <v>0</v>
      </c>
      <c r="O35" s="17">
        <f t="shared" si="0"/>
        <v>3.512</v>
      </c>
      <c r="P35" s="17">
        <f>VLOOKUP(B35,CHWM_published!B37:AL172,37,FALSE)</f>
        <v>0.079</v>
      </c>
      <c r="Q35" s="17">
        <v>0.025</v>
      </c>
      <c r="R35" s="17">
        <f t="shared" si="1"/>
        <v>3.616</v>
      </c>
      <c r="S35" s="17">
        <f>VLOOKUP('Retained Provisional CHWM Calcs'!$B35,CHWM_published!$B$12:$AR$147,28,FALSE)</f>
        <v>3.677</v>
      </c>
      <c r="T35" s="17">
        <f t="shared" si="2"/>
        <v>-0.06099999999999994</v>
      </c>
      <c r="U35" s="22">
        <f t="shared" si="3"/>
        <v>0</v>
      </c>
      <c r="V35" s="25"/>
      <c r="W35" s="17"/>
      <c r="X35" s="17"/>
      <c r="Y35" s="22"/>
      <c r="Z35" s="25">
        <f t="shared" si="4"/>
        <v>0</v>
      </c>
      <c r="AA35" s="17">
        <f>VLOOKUP('Retained Provisional CHWM Calcs'!$B35,CHWM_published!$B$12:$AR$147,35,FALSE)</f>
        <v>4.039999999999999</v>
      </c>
      <c r="AB35" s="9">
        <f t="shared" si="5"/>
        <v>0</v>
      </c>
      <c r="AC35" s="195">
        <f t="shared" si="6"/>
        <v>3.7729999999999997</v>
      </c>
      <c r="AD35" s="8">
        <f t="shared" si="7"/>
        <v>3.733</v>
      </c>
      <c r="AE35" s="201" t="str">
        <f t="shared" si="8"/>
        <v>Yes</v>
      </c>
      <c r="AH35" s="310"/>
    </row>
    <row r="36" spans="1:34" s="19" customFormat="1" ht="12.75">
      <c r="A36" s="70" t="s">
        <v>88</v>
      </c>
      <c r="B36" s="34">
        <v>10081</v>
      </c>
      <c r="C36" s="35" t="s">
        <v>37</v>
      </c>
      <c r="D36" s="34">
        <v>10081</v>
      </c>
      <c r="E36" s="36">
        <v>159</v>
      </c>
      <c r="F36" s="44">
        <f>VLOOKUP('Retained Provisional CHWM Calcs'!B36,CHWM_published!B38:AR173,43,FALSE)</f>
        <v>10.698</v>
      </c>
      <c r="G36" s="45">
        <f>VLOOKUP('Retained Provisional CHWM Calcs'!$B36,CHWM_published!$B$12:$AR$147,40,FALSE)</f>
        <v>0.099</v>
      </c>
      <c r="H36" s="45">
        <f>VLOOKUP('Retained Provisional CHWM Calcs'!$B36,CHWM_published!$B$12:$AR$147,33,FALSE)</f>
        <v>0.0940000000000012</v>
      </c>
      <c r="I36" s="48" t="s">
        <v>106</v>
      </c>
      <c r="J36" s="46">
        <v>12.644</v>
      </c>
      <c r="K36" s="47">
        <v>0</v>
      </c>
      <c r="L36" s="47">
        <v>0.062</v>
      </c>
      <c r="M36" s="47">
        <v>0</v>
      </c>
      <c r="N36" s="47">
        <v>0</v>
      </c>
      <c r="O36" s="47">
        <f t="shared" si="0"/>
        <v>12.706</v>
      </c>
      <c r="P36" s="47">
        <f>VLOOKUP(B36,CHWM_published!B38:AL173,37,FALSE)</f>
        <v>0.203</v>
      </c>
      <c r="Q36" s="47">
        <v>0.135</v>
      </c>
      <c r="R36" s="47">
        <f t="shared" si="1"/>
        <v>13.043999999999999</v>
      </c>
      <c r="S36" s="47">
        <f>VLOOKUP('Retained Provisional CHWM Calcs'!$B36,CHWM_published!$B$12:$AR$147,28,FALSE)</f>
        <v>13.033</v>
      </c>
      <c r="T36" s="47">
        <f t="shared" si="2"/>
        <v>0.010999999999999233</v>
      </c>
      <c r="U36" s="48">
        <f t="shared" si="3"/>
        <v>0.010999999999999233</v>
      </c>
      <c r="V36" s="46"/>
      <c r="W36" s="47"/>
      <c r="X36" s="47"/>
      <c r="Y36" s="48"/>
      <c r="Z36" s="46">
        <f t="shared" si="4"/>
        <v>0.010999999999999233</v>
      </c>
      <c r="AA36" s="47">
        <f>VLOOKUP('Retained Provisional CHWM Calcs'!$B36,CHWM_published!$B$12:$AR$147,35,FALSE)</f>
        <v>10.199000000000002</v>
      </c>
      <c r="AB36" s="45">
        <f t="shared" si="5"/>
        <v>0.012</v>
      </c>
      <c r="AC36" s="196">
        <f t="shared" si="6"/>
        <v>10.611</v>
      </c>
      <c r="AD36" s="44">
        <f t="shared" si="7"/>
        <v>10.499</v>
      </c>
      <c r="AE36" s="260" t="str">
        <f t="shared" si="8"/>
        <v>Yes</v>
      </c>
      <c r="AH36" s="310"/>
    </row>
    <row r="37" spans="1:34" s="19" customFormat="1" ht="12.75">
      <c r="A37" s="69" t="s">
        <v>89</v>
      </c>
      <c r="B37" s="10">
        <v>10258</v>
      </c>
      <c r="C37" s="42" t="s">
        <v>38</v>
      </c>
      <c r="D37" s="10">
        <v>10258</v>
      </c>
      <c r="E37" s="43">
        <v>483</v>
      </c>
      <c r="F37" s="8">
        <f>VLOOKUP('Retained Provisional CHWM Calcs'!B37,CHWM_published!B39:AR174,43,FALSE)</f>
        <v>38.518</v>
      </c>
      <c r="G37" s="9">
        <f>VLOOKUP('Retained Provisional CHWM Calcs'!$B37,CHWM_published!$B$12:$AR$147,40,FALSE)</f>
        <v>0.404</v>
      </c>
      <c r="H37" s="9">
        <f>VLOOKUP('Retained Provisional CHWM Calcs'!$B37,CHWM_published!$B$12:$AR$147,33,FALSE)</f>
        <v>0.3860000000000028</v>
      </c>
      <c r="I37" s="22" t="s">
        <v>106</v>
      </c>
      <c r="J37" s="25">
        <v>45.919</v>
      </c>
      <c r="K37" s="17">
        <v>0</v>
      </c>
      <c r="L37" s="17">
        <v>0.613</v>
      </c>
      <c r="M37" s="17">
        <v>-2.54</v>
      </c>
      <c r="N37" s="17">
        <v>2.239</v>
      </c>
      <c r="O37" s="17">
        <f t="shared" si="0"/>
        <v>46.230999999999995</v>
      </c>
      <c r="P37" s="17">
        <f>VLOOKUP(B37,CHWM_published!B39:AL174,37,FALSE)</f>
        <v>0.62</v>
      </c>
      <c r="Q37" s="17">
        <v>0.37</v>
      </c>
      <c r="R37" s="17">
        <f t="shared" si="1"/>
        <v>47.22099999999999</v>
      </c>
      <c r="S37" s="17">
        <f>VLOOKUP('Retained Provisional CHWM Calcs'!$B37,CHWM_published!$B$12:$AR$147,28,FALSE)</f>
        <v>46.717</v>
      </c>
      <c r="T37" s="17">
        <f t="shared" si="2"/>
        <v>0.5039999999999907</v>
      </c>
      <c r="U37" s="22">
        <f t="shared" si="3"/>
        <v>0.3860000000000028</v>
      </c>
      <c r="V37" s="25"/>
      <c r="W37" s="17"/>
      <c r="X37" s="17"/>
      <c r="Y37" s="22"/>
      <c r="Z37" s="25">
        <f t="shared" si="4"/>
        <v>0.3860000000000028</v>
      </c>
      <c r="AA37" s="17">
        <f>VLOOKUP('Retained Provisional CHWM Calcs'!$B37,CHWM_published!$B$12:$AR$147,35,FALSE)</f>
        <v>36.827999999999996</v>
      </c>
      <c r="AB37" s="9">
        <f t="shared" si="5"/>
        <v>0.404</v>
      </c>
      <c r="AC37" s="195">
        <f t="shared" si="6"/>
        <v>38.518</v>
      </c>
      <c r="AD37" s="8">
        <f t="shared" si="7"/>
        <v>38.11</v>
      </c>
      <c r="AE37" s="201" t="str">
        <f t="shared" si="8"/>
        <v>No</v>
      </c>
      <c r="AH37" s="310"/>
    </row>
    <row r="38" spans="1:34" s="19" customFormat="1" ht="12.75">
      <c r="A38" s="70" t="s">
        <v>90</v>
      </c>
      <c r="B38" s="34">
        <v>10286</v>
      </c>
      <c r="C38" s="35" t="s">
        <v>39</v>
      </c>
      <c r="D38" s="34">
        <v>10286</v>
      </c>
      <c r="E38" s="36">
        <v>266</v>
      </c>
      <c r="F38" s="44">
        <f>VLOOKUP('Retained Provisional CHWM Calcs'!B38,CHWM_published!B40:AR175,43,FALSE)</f>
        <v>49.678</v>
      </c>
      <c r="G38" s="45">
        <f>VLOOKUP('Retained Provisional CHWM Calcs'!$B38,CHWM_published!$B$12:$AR$147,40,FALSE)</f>
        <v>3.758</v>
      </c>
      <c r="H38" s="45">
        <f>VLOOKUP('Retained Provisional CHWM Calcs'!$B38,CHWM_published!$B$12:$AR$147,33,FALSE)</f>
        <v>3.602000000000004</v>
      </c>
      <c r="I38" s="48" t="s">
        <v>106</v>
      </c>
      <c r="J38" s="46">
        <v>70.072</v>
      </c>
      <c r="K38" s="47">
        <v>0</v>
      </c>
      <c r="L38" s="47">
        <v>-1.312</v>
      </c>
      <c r="M38" s="47">
        <v>-7.494</v>
      </c>
      <c r="N38" s="47">
        <v>8.237</v>
      </c>
      <c r="O38" s="47">
        <f t="shared" si="0"/>
        <v>69.503</v>
      </c>
      <c r="P38" s="47">
        <f>VLOOKUP(B38,CHWM_published!B40:AL175,37,FALSE)</f>
        <v>0.678</v>
      </c>
      <c r="Q38" s="47">
        <v>0.785</v>
      </c>
      <c r="R38" s="47">
        <f t="shared" si="1"/>
        <v>70.966</v>
      </c>
      <c r="S38" s="47">
        <f>VLOOKUP('Retained Provisional CHWM Calcs'!$B38,CHWM_published!$B$12:$AR$147,28,FALSE)</f>
        <v>70.318</v>
      </c>
      <c r="T38" s="47">
        <f t="shared" si="2"/>
        <v>0.6479999999999961</v>
      </c>
      <c r="U38" s="48">
        <f t="shared" si="3"/>
        <v>0.6479999999999961</v>
      </c>
      <c r="V38" s="46"/>
      <c r="W38" s="47"/>
      <c r="X38" s="47"/>
      <c r="Y38" s="48"/>
      <c r="Z38" s="46">
        <f t="shared" si="4"/>
        <v>0.6479999999999961</v>
      </c>
      <c r="AA38" s="47">
        <f>VLOOKUP('Retained Provisional CHWM Calcs'!$B38,CHWM_published!$B$12:$AR$147,35,FALSE)</f>
        <v>47.61399999999999</v>
      </c>
      <c r="AB38" s="45">
        <f t="shared" si="5"/>
        <v>0.676</v>
      </c>
      <c r="AC38" s="196">
        <f t="shared" si="6"/>
        <v>46.596</v>
      </c>
      <c r="AD38" s="44">
        <f t="shared" si="7"/>
        <v>46.103</v>
      </c>
      <c r="AE38" s="260" t="str">
        <f t="shared" si="8"/>
        <v>Yes</v>
      </c>
      <c r="AH38" s="310"/>
    </row>
    <row r="39" spans="1:34" s="19" customFormat="1" ht="12.75">
      <c r="A39" s="69" t="s">
        <v>91</v>
      </c>
      <c r="B39" s="10">
        <v>10288</v>
      </c>
      <c r="C39" s="42" t="s">
        <v>40</v>
      </c>
      <c r="D39" s="10">
        <v>10288</v>
      </c>
      <c r="E39" s="43">
        <v>376</v>
      </c>
      <c r="F39" s="8">
        <f>VLOOKUP('Retained Provisional CHWM Calcs'!B39,CHWM_published!B41:AR176,43,FALSE)</f>
        <v>25.103</v>
      </c>
      <c r="G39" s="9">
        <f>VLOOKUP('Retained Provisional CHWM Calcs'!$B39,CHWM_published!$B$12:$AR$147,40,FALSE)</f>
        <v>0.263</v>
      </c>
      <c r="H39" s="9">
        <f>VLOOKUP('Retained Provisional CHWM Calcs'!$B39,CHWM_published!$B$12:$AR$147,33,FALSE)</f>
        <v>0.2510000000000012</v>
      </c>
      <c r="I39" s="22" t="s">
        <v>106</v>
      </c>
      <c r="J39" s="25">
        <v>24.31</v>
      </c>
      <c r="K39" s="17">
        <v>0</v>
      </c>
      <c r="L39" s="17">
        <v>0.289</v>
      </c>
      <c r="M39" s="17">
        <v>0</v>
      </c>
      <c r="N39" s="17">
        <v>0</v>
      </c>
      <c r="O39" s="17">
        <f t="shared" si="0"/>
        <v>24.599</v>
      </c>
      <c r="P39" s="17">
        <f>VLOOKUP(B39,CHWM_published!B41:AL176,37,FALSE)</f>
        <v>0.456</v>
      </c>
      <c r="Q39" s="17">
        <v>0.302</v>
      </c>
      <c r="R39" s="17">
        <f t="shared" si="1"/>
        <v>25.357</v>
      </c>
      <c r="S39" s="17">
        <f>VLOOKUP('Retained Provisional CHWM Calcs'!$B39,CHWM_published!$B$12:$AR$147,28,FALSE)</f>
        <v>24.157</v>
      </c>
      <c r="T39" s="17">
        <f t="shared" si="2"/>
        <v>1.1999999999999993</v>
      </c>
      <c r="U39" s="22">
        <f t="shared" si="3"/>
        <v>0.2510000000000012</v>
      </c>
      <c r="V39" s="25"/>
      <c r="W39" s="17"/>
      <c r="X39" s="17"/>
      <c r="Y39" s="22"/>
      <c r="Z39" s="25">
        <f t="shared" si="4"/>
        <v>0.2510000000000012</v>
      </c>
      <c r="AA39" s="17">
        <f>VLOOKUP('Retained Provisional CHWM Calcs'!$B39,CHWM_published!$B$12:$AR$147,35,FALSE)</f>
        <v>23.952</v>
      </c>
      <c r="AB39" s="9">
        <f t="shared" si="5"/>
        <v>0.263</v>
      </c>
      <c r="AC39" s="195">
        <f t="shared" si="6"/>
        <v>25.103</v>
      </c>
      <c r="AD39" s="8">
        <f t="shared" si="7"/>
        <v>24.837</v>
      </c>
      <c r="AE39" s="201" t="str">
        <f t="shared" si="8"/>
        <v>No</v>
      </c>
      <c r="AH39" s="310"/>
    </row>
    <row r="40" spans="1:34" s="19" customFormat="1" ht="12.75">
      <c r="A40" s="70" t="s">
        <v>92</v>
      </c>
      <c r="B40" s="34">
        <v>10291</v>
      </c>
      <c r="C40" s="35" t="s">
        <v>41</v>
      </c>
      <c r="D40" s="34">
        <v>10291</v>
      </c>
      <c r="E40" s="36">
        <v>371</v>
      </c>
      <c r="F40" s="44">
        <f>VLOOKUP('Retained Provisional CHWM Calcs'!B40,CHWM_published!B42:AR177,43,FALSE)</f>
        <v>82.488</v>
      </c>
      <c r="G40" s="45">
        <f>VLOOKUP('Retained Provisional CHWM Calcs'!$B40,CHWM_published!$B$12:$AR$147,40,FALSE)</f>
        <v>4.156</v>
      </c>
      <c r="H40" s="45">
        <f>VLOOKUP('Retained Provisional CHWM Calcs'!$B40,CHWM_published!$B$12:$AR$147,33,FALSE)</f>
        <v>3.986000000000004</v>
      </c>
      <c r="I40" s="48" t="s">
        <v>106</v>
      </c>
      <c r="J40" s="46">
        <v>78.198</v>
      </c>
      <c r="K40" s="47">
        <v>0</v>
      </c>
      <c r="L40" s="47">
        <v>-0.83</v>
      </c>
      <c r="M40" s="47">
        <v>-7.21</v>
      </c>
      <c r="N40" s="47">
        <v>5.764</v>
      </c>
      <c r="O40" s="47">
        <f t="shared" si="0"/>
        <v>75.922</v>
      </c>
      <c r="P40" s="47">
        <f>VLOOKUP(B40,CHWM_published!B42:AL177,37,FALSE)</f>
        <v>1.065</v>
      </c>
      <c r="Q40" s="47">
        <v>1.158</v>
      </c>
      <c r="R40" s="47">
        <f t="shared" si="1"/>
        <v>78.145</v>
      </c>
      <c r="S40" s="47">
        <f>VLOOKUP('Retained Provisional CHWM Calcs'!$B40,CHWM_published!$B$12:$AR$147,28,FALSE)</f>
        <v>76.197</v>
      </c>
      <c r="T40" s="47">
        <f t="shared" si="2"/>
        <v>1.9479999999999933</v>
      </c>
      <c r="U40" s="48">
        <f t="shared" si="3"/>
        <v>1.9479999999999933</v>
      </c>
      <c r="V40" s="46"/>
      <c r="W40" s="47"/>
      <c r="X40" s="47"/>
      <c r="Y40" s="48"/>
      <c r="Z40" s="46">
        <f t="shared" si="4"/>
        <v>1.9479999999999933</v>
      </c>
      <c r="AA40" s="47">
        <f>VLOOKUP('Retained Provisional CHWM Calcs'!$B40,CHWM_published!$B$12:$AR$147,35,FALSE)</f>
        <v>79.11800000000001</v>
      </c>
      <c r="AB40" s="45">
        <f t="shared" si="5"/>
        <v>2.031</v>
      </c>
      <c r="AC40" s="196">
        <f t="shared" si="6"/>
        <v>80.363</v>
      </c>
      <c r="AD40" s="44">
        <f t="shared" si="7"/>
        <v>79.512</v>
      </c>
      <c r="AE40" s="260" t="str">
        <f t="shared" si="8"/>
        <v>Yes</v>
      </c>
      <c r="AH40" s="310"/>
    </row>
    <row r="41" spans="1:34" s="19" customFormat="1" ht="12.75">
      <c r="A41" s="69" t="s">
        <v>93</v>
      </c>
      <c r="B41" s="10">
        <v>10304</v>
      </c>
      <c r="C41" s="42" t="s">
        <v>43</v>
      </c>
      <c r="D41" s="10">
        <v>10304</v>
      </c>
      <c r="E41" s="43">
        <v>375</v>
      </c>
      <c r="F41" s="8">
        <f>VLOOKUP('Retained Provisional CHWM Calcs'!B41,CHWM_published!B43:AR178,43,FALSE)</f>
        <v>14.278</v>
      </c>
      <c r="G41" s="9">
        <f>VLOOKUP('Retained Provisional CHWM Calcs'!$B41,CHWM_published!$B$12:$AR$147,40,FALSE)</f>
        <v>0.027</v>
      </c>
      <c r="H41" s="9">
        <f>VLOOKUP('Retained Provisional CHWM Calcs'!$B41,CHWM_published!$B$12:$AR$147,33,FALSE)</f>
        <v>0.0259999999999998</v>
      </c>
      <c r="I41" s="22" t="s">
        <v>106</v>
      </c>
      <c r="J41" s="25">
        <v>13.669</v>
      </c>
      <c r="K41" s="17">
        <v>0</v>
      </c>
      <c r="L41" s="17">
        <v>0.119</v>
      </c>
      <c r="M41" s="17">
        <v>0</v>
      </c>
      <c r="N41" s="17">
        <v>0</v>
      </c>
      <c r="O41" s="17">
        <f t="shared" si="0"/>
        <v>13.788</v>
      </c>
      <c r="P41" s="17">
        <f>VLOOKUP(B41,CHWM_published!B43:AL178,37,FALSE)</f>
        <v>0.106</v>
      </c>
      <c r="Q41" s="17">
        <v>0.163</v>
      </c>
      <c r="R41" s="17">
        <f t="shared" si="1"/>
        <v>14.057</v>
      </c>
      <c r="S41" s="17">
        <f>VLOOKUP('Retained Provisional CHWM Calcs'!$B41,CHWM_published!$B$12:$AR$147,28,FALSE)</f>
        <v>13.849</v>
      </c>
      <c r="T41" s="17">
        <f t="shared" si="2"/>
        <v>0.20800000000000018</v>
      </c>
      <c r="U41" s="22">
        <f t="shared" si="3"/>
        <v>0.0259999999999998</v>
      </c>
      <c r="V41" s="25"/>
      <c r="W41" s="17"/>
      <c r="X41" s="17"/>
      <c r="Y41" s="22"/>
      <c r="Z41" s="25">
        <f t="shared" si="4"/>
        <v>0.0259999999999998</v>
      </c>
      <c r="AA41" s="17">
        <f>VLOOKUP('Retained Provisional CHWM Calcs'!$B41,CHWM_published!$B$12:$AR$147,35,FALSE)</f>
        <v>13.769</v>
      </c>
      <c r="AB41" s="9">
        <f t="shared" si="5"/>
        <v>0.027</v>
      </c>
      <c r="AC41" s="195">
        <f t="shared" si="6"/>
        <v>14.278</v>
      </c>
      <c r="AD41" s="8">
        <f t="shared" si="7"/>
        <v>14.127</v>
      </c>
      <c r="AE41" s="201" t="str">
        <f t="shared" si="8"/>
        <v>No</v>
      </c>
      <c r="AH41" s="310"/>
    </row>
    <row r="42" spans="1:34" s="19" customFormat="1" ht="12.75">
      <c r="A42" s="70" t="s">
        <v>94</v>
      </c>
      <c r="B42" s="34">
        <v>10306</v>
      </c>
      <c r="C42" s="35" t="s">
        <v>44</v>
      </c>
      <c r="D42" s="34">
        <v>10306</v>
      </c>
      <c r="E42" s="36">
        <v>273</v>
      </c>
      <c r="F42" s="44">
        <f>VLOOKUP('Retained Provisional CHWM Calcs'!B42,CHWM_published!B44:AR179,43,FALSE)</f>
        <v>29.444</v>
      </c>
      <c r="G42" s="45">
        <f>VLOOKUP('Retained Provisional CHWM Calcs'!$B42,CHWM_published!$B$12:$AR$147,40,FALSE)</f>
        <v>3.291</v>
      </c>
      <c r="H42" s="45">
        <f>VLOOKUP('Retained Provisional CHWM Calcs'!$B42,CHWM_published!$B$12:$AR$147,33,FALSE)</f>
        <v>3.1670000000000016</v>
      </c>
      <c r="I42" s="48" t="s">
        <v>106</v>
      </c>
      <c r="J42" s="46">
        <v>115.816</v>
      </c>
      <c r="K42" s="47">
        <v>-64.936</v>
      </c>
      <c r="L42" s="47">
        <v>-0.158</v>
      </c>
      <c r="M42" s="47">
        <v>0</v>
      </c>
      <c r="N42" s="47">
        <v>0</v>
      </c>
      <c r="O42" s="47">
        <f t="shared" si="0"/>
        <v>50.721999999999994</v>
      </c>
      <c r="P42" s="47">
        <f>VLOOKUP(B42,CHWM_published!B44:AL179,37,FALSE)</f>
        <v>0.278</v>
      </c>
      <c r="Q42" s="47">
        <v>1.362</v>
      </c>
      <c r="R42" s="47">
        <f t="shared" si="1"/>
        <v>52.361999999999995</v>
      </c>
      <c r="S42" s="47">
        <f>VLOOKUP('Retained Provisional CHWM Calcs'!$B42,CHWM_published!$B$12:$AR$147,28,FALSE)</f>
        <v>52.824</v>
      </c>
      <c r="T42" s="47">
        <f t="shared" si="2"/>
        <v>-0.4620000000000033</v>
      </c>
      <c r="U42" s="48">
        <f t="shared" si="3"/>
        <v>0</v>
      </c>
      <c r="V42" s="46"/>
      <c r="W42" s="47"/>
      <c r="X42" s="47"/>
      <c r="Y42" s="48"/>
      <c r="Z42" s="46">
        <f t="shared" si="4"/>
        <v>0</v>
      </c>
      <c r="AA42" s="47">
        <f>VLOOKUP('Retained Provisional CHWM Calcs'!$B42,CHWM_published!$B$12:$AR$147,35,FALSE)</f>
        <v>28.338</v>
      </c>
      <c r="AB42" s="45">
        <f t="shared" si="5"/>
        <v>0</v>
      </c>
      <c r="AC42" s="196">
        <f t="shared" si="6"/>
        <v>26.153</v>
      </c>
      <c r="AD42" s="44">
        <f t="shared" si="7"/>
        <v>25.876</v>
      </c>
      <c r="AE42" s="260" t="str">
        <f t="shared" si="8"/>
        <v>Yes</v>
      </c>
      <c r="AH42" s="310"/>
    </row>
    <row r="43" spans="1:34" s="19" customFormat="1" ht="12.75">
      <c r="A43" s="69" t="s">
        <v>95</v>
      </c>
      <c r="B43" s="10">
        <v>10086</v>
      </c>
      <c r="C43" s="42" t="s">
        <v>45</v>
      </c>
      <c r="D43" s="10">
        <v>10086</v>
      </c>
      <c r="E43" s="43">
        <v>167</v>
      </c>
      <c r="F43" s="8">
        <f>VLOOKUP('Retained Provisional CHWM Calcs'!B43,CHWM_published!B45:AR180,43,FALSE)</f>
        <v>4.004</v>
      </c>
      <c r="G43" s="9">
        <f>VLOOKUP('Retained Provisional CHWM Calcs'!$B43,CHWM_published!$B$12:$AR$147,40,FALSE)</f>
        <v>0.01</v>
      </c>
      <c r="H43" s="9">
        <f>VLOOKUP('Retained Provisional CHWM Calcs'!$B43,CHWM_published!$B$12:$AR$147,33,FALSE)</f>
        <v>0.009999999999999787</v>
      </c>
      <c r="I43" s="22" t="s">
        <v>106</v>
      </c>
      <c r="J43" s="25">
        <v>3.887</v>
      </c>
      <c r="K43" s="17">
        <v>0</v>
      </c>
      <c r="L43" s="17">
        <v>0.038</v>
      </c>
      <c r="M43" s="17">
        <v>0</v>
      </c>
      <c r="N43" s="17">
        <v>0</v>
      </c>
      <c r="O43" s="17">
        <f t="shared" si="0"/>
        <v>3.925</v>
      </c>
      <c r="P43" s="17">
        <f>VLOOKUP(B43,CHWM_published!B45:AL180,37,FALSE)</f>
        <v>0.057</v>
      </c>
      <c r="Q43" s="17">
        <v>0.09</v>
      </c>
      <c r="R43" s="17">
        <f t="shared" si="1"/>
        <v>4.072</v>
      </c>
      <c r="S43" s="17">
        <f>VLOOKUP('Retained Provisional CHWM Calcs'!$B43,CHWM_published!$B$12:$AR$147,28,FALSE)</f>
        <v>3.882</v>
      </c>
      <c r="T43" s="17">
        <f t="shared" si="2"/>
        <v>0.18999999999999995</v>
      </c>
      <c r="U43" s="22">
        <f t="shared" si="3"/>
        <v>0.009999999999999787</v>
      </c>
      <c r="V43" s="25"/>
      <c r="W43" s="17"/>
      <c r="X43" s="17"/>
      <c r="Y43" s="22"/>
      <c r="Z43" s="25">
        <f t="shared" si="4"/>
        <v>0.009999999999999787</v>
      </c>
      <c r="AA43" s="17">
        <f>VLOOKUP('Retained Provisional CHWM Calcs'!$B43,CHWM_published!$B$12:$AR$147,35,FALSE)</f>
        <v>3.8349999999999995</v>
      </c>
      <c r="AB43" s="9">
        <f t="shared" si="5"/>
        <v>0.01</v>
      </c>
      <c r="AC43" s="195">
        <f t="shared" si="6"/>
        <v>4.004</v>
      </c>
      <c r="AD43" s="8">
        <f t="shared" si="7"/>
        <v>3.962</v>
      </c>
      <c r="AE43" s="201" t="str">
        <f t="shared" si="8"/>
        <v>No</v>
      </c>
      <c r="AH43" s="310"/>
    </row>
    <row r="44" spans="1:34" s="19" customFormat="1" ht="12.75">
      <c r="A44" s="70" t="s">
        <v>96</v>
      </c>
      <c r="B44" s="34">
        <v>10331</v>
      </c>
      <c r="C44" s="35" t="s">
        <v>46</v>
      </c>
      <c r="D44" s="34">
        <v>10331</v>
      </c>
      <c r="E44" s="36">
        <v>379</v>
      </c>
      <c r="F44" s="44">
        <f>VLOOKUP('Retained Provisional CHWM Calcs'!B44,CHWM_published!B46:AR181,43,FALSE)</f>
        <v>38.633</v>
      </c>
      <c r="G44" s="45">
        <f>VLOOKUP('Retained Provisional CHWM Calcs'!$B44,CHWM_published!$B$12:$AR$147,40,FALSE)</f>
        <v>4.973</v>
      </c>
      <c r="H44" s="45">
        <f>VLOOKUP('Retained Provisional CHWM Calcs'!$B44,CHWM_published!$B$12:$AR$147,33,FALSE)</f>
        <v>4.811</v>
      </c>
      <c r="I44" s="48" t="s">
        <v>106</v>
      </c>
      <c r="J44" s="46">
        <v>36.874</v>
      </c>
      <c r="K44" s="47">
        <v>0</v>
      </c>
      <c r="L44" s="47">
        <v>-0.079</v>
      </c>
      <c r="M44" s="47">
        <v>-22.248</v>
      </c>
      <c r="N44" s="47">
        <v>20.423</v>
      </c>
      <c r="O44" s="47">
        <f t="shared" si="0"/>
        <v>34.97</v>
      </c>
      <c r="P44" s="47">
        <f>VLOOKUP(B44,CHWM_published!B46:AL181,37,FALSE)</f>
        <v>0.165</v>
      </c>
      <c r="Q44" s="47">
        <v>0.965</v>
      </c>
      <c r="R44" s="47">
        <f t="shared" si="1"/>
        <v>36.1</v>
      </c>
      <c r="S44" s="47">
        <f>VLOOKUP('Retained Provisional CHWM Calcs'!$B44,CHWM_published!$B$12:$AR$147,28,FALSE)</f>
        <v>32.726</v>
      </c>
      <c r="T44" s="47">
        <f t="shared" si="2"/>
        <v>3.3740000000000023</v>
      </c>
      <c r="U44" s="48">
        <f t="shared" si="3"/>
        <v>3.3740000000000023</v>
      </c>
      <c r="V44" s="46"/>
      <c r="W44" s="47"/>
      <c r="X44" s="47"/>
      <c r="Y44" s="48"/>
      <c r="Z44" s="46">
        <f t="shared" si="4"/>
        <v>3.3740000000000023</v>
      </c>
      <c r="AA44" s="47">
        <f>VLOOKUP('Retained Provisional CHWM Calcs'!$B44,CHWM_published!$B$12:$AR$147,35,FALSE)</f>
        <v>37.372</v>
      </c>
      <c r="AB44" s="45">
        <f t="shared" si="5"/>
        <v>3.488</v>
      </c>
      <c r="AC44" s="196">
        <f t="shared" si="6"/>
        <v>37.148</v>
      </c>
      <c r="AD44" s="44">
        <f t="shared" si="7"/>
        <v>36.755</v>
      </c>
      <c r="AE44" s="260" t="str">
        <f t="shared" si="8"/>
        <v>Yes</v>
      </c>
      <c r="AH44" s="310"/>
    </row>
    <row r="45" spans="1:34" s="19" customFormat="1" ht="12.75">
      <c r="A45" s="69" t="s">
        <v>97</v>
      </c>
      <c r="B45" s="10">
        <v>10342</v>
      </c>
      <c r="C45" s="42" t="s">
        <v>47</v>
      </c>
      <c r="D45" s="10">
        <v>10342</v>
      </c>
      <c r="E45" s="43">
        <v>383</v>
      </c>
      <c r="F45" s="8">
        <f>VLOOKUP('Retained Provisional CHWM Calcs'!B45,CHWM_published!B47:AR182,43,FALSE)</f>
        <v>39.976</v>
      </c>
      <c r="G45" s="9">
        <f>VLOOKUP('Retained Provisional CHWM Calcs'!$B45,CHWM_published!$B$12:$AR$147,40,FALSE)</f>
        <v>0.708</v>
      </c>
      <c r="H45" s="9">
        <f>VLOOKUP('Retained Provisional CHWM Calcs'!$B45,CHWM_published!$B$12:$AR$147,33,FALSE)</f>
        <v>0.6749999999999972</v>
      </c>
      <c r="I45" s="22" t="s">
        <v>106</v>
      </c>
      <c r="J45" s="25">
        <v>37.013</v>
      </c>
      <c r="K45" s="17">
        <v>0</v>
      </c>
      <c r="L45" s="17">
        <v>-0.261</v>
      </c>
      <c r="M45" s="17">
        <v>0</v>
      </c>
      <c r="N45" s="17">
        <v>0</v>
      </c>
      <c r="O45" s="17">
        <f t="shared" si="0"/>
        <v>36.751999999999995</v>
      </c>
      <c r="P45" s="17">
        <f>VLOOKUP(B45,CHWM_published!B47:AL182,37,FALSE)</f>
        <v>0.782</v>
      </c>
      <c r="Q45" s="17">
        <v>0.497</v>
      </c>
      <c r="R45" s="17">
        <f t="shared" si="1"/>
        <v>38.03099999999999</v>
      </c>
      <c r="S45" s="17">
        <f>VLOOKUP('Retained Provisional CHWM Calcs'!$B45,CHWM_published!$B$12:$AR$147,28,FALSE)</f>
        <v>38.197</v>
      </c>
      <c r="T45" s="17">
        <f t="shared" si="2"/>
        <v>-0.16600000000001103</v>
      </c>
      <c r="U45" s="22">
        <f t="shared" si="3"/>
        <v>0</v>
      </c>
      <c r="V45" s="25"/>
      <c r="W45" s="17"/>
      <c r="X45" s="17"/>
      <c r="Y45" s="22"/>
      <c r="Z45" s="25">
        <f t="shared" si="4"/>
        <v>0</v>
      </c>
      <c r="AA45" s="17">
        <f>VLOOKUP('Retained Provisional CHWM Calcs'!$B45,CHWM_published!$B$12:$AR$147,35,FALSE)</f>
        <v>38.089999999999996</v>
      </c>
      <c r="AB45" s="9">
        <f t="shared" si="5"/>
        <v>0</v>
      </c>
      <c r="AC45" s="195">
        <f t="shared" si="6"/>
        <v>39.268</v>
      </c>
      <c r="AD45" s="8">
        <f t="shared" si="7"/>
        <v>38.852</v>
      </c>
      <c r="AE45" s="201" t="str">
        <f t="shared" si="8"/>
        <v>Yes</v>
      </c>
      <c r="AH45" s="310"/>
    </row>
    <row r="46" spans="1:34" s="19" customFormat="1" ht="12.75">
      <c r="A46" s="70" t="s">
        <v>98</v>
      </c>
      <c r="B46" s="34">
        <v>10094</v>
      </c>
      <c r="C46" s="35" t="s">
        <v>50</v>
      </c>
      <c r="D46" s="34">
        <v>10094</v>
      </c>
      <c r="E46" s="36">
        <v>181</v>
      </c>
      <c r="F46" s="44">
        <f>VLOOKUP('Retained Provisional CHWM Calcs'!B46,CHWM_published!B48:AR183,43,FALSE)</f>
        <v>3.103</v>
      </c>
      <c r="G46" s="45">
        <f>VLOOKUP('Retained Provisional CHWM Calcs'!$B46,CHWM_published!$B$12:$AR$147,40,FALSE)</f>
        <v>0.085</v>
      </c>
      <c r="H46" s="45">
        <f>VLOOKUP('Retained Provisional CHWM Calcs'!$B46,CHWM_published!$B$12:$AR$147,33,FALSE)</f>
        <v>0.08099999999999996</v>
      </c>
      <c r="I46" s="48" t="s">
        <v>106</v>
      </c>
      <c r="J46" s="46">
        <v>2.957</v>
      </c>
      <c r="K46" s="47">
        <v>0</v>
      </c>
      <c r="L46" s="47">
        <v>-0.021</v>
      </c>
      <c r="M46" s="47">
        <v>0</v>
      </c>
      <c r="N46" s="47">
        <v>0</v>
      </c>
      <c r="O46" s="47">
        <f t="shared" si="0"/>
        <v>2.936</v>
      </c>
      <c r="P46" s="47">
        <f>VLOOKUP(B46,CHWM_published!B48:AL183,37,FALSE)</f>
        <v>0.054</v>
      </c>
      <c r="Q46" s="47">
        <v>0.007</v>
      </c>
      <c r="R46" s="47">
        <f t="shared" si="1"/>
        <v>2.997</v>
      </c>
      <c r="S46" s="47">
        <f>VLOOKUP('Retained Provisional CHWM Calcs'!$B46,CHWM_published!$B$12:$AR$147,28,FALSE)</f>
        <v>2.936</v>
      </c>
      <c r="T46" s="47">
        <f t="shared" si="2"/>
        <v>0.06099999999999994</v>
      </c>
      <c r="U46" s="48">
        <f t="shared" si="3"/>
        <v>0.06099999999999994</v>
      </c>
      <c r="V46" s="46"/>
      <c r="W46" s="47"/>
      <c r="X46" s="47"/>
      <c r="Y46" s="48"/>
      <c r="Z46" s="46">
        <f t="shared" si="4"/>
        <v>0.06099999999999994</v>
      </c>
      <c r="AA46" s="47">
        <f>VLOOKUP('Retained Provisional CHWM Calcs'!$B46,CHWM_published!$B$12:$AR$147,35,FALSE)</f>
        <v>2.963</v>
      </c>
      <c r="AB46" s="45">
        <f t="shared" si="5"/>
        <v>0.064</v>
      </c>
      <c r="AC46" s="196">
        <f t="shared" si="6"/>
        <v>3.0820000000000003</v>
      </c>
      <c r="AD46" s="44">
        <f t="shared" si="7"/>
        <v>3.049</v>
      </c>
      <c r="AE46" s="260" t="str">
        <f t="shared" si="8"/>
        <v>Yes</v>
      </c>
      <c r="AH46" s="310"/>
    </row>
    <row r="47" spans="1:34" s="19" customFormat="1" ht="12.75">
      <c r="A47" s="69" t="s">
        <v>99</v>
      </c>
      <c r="B47" s="10">
        <v>10448</v>
      </c>
      <c r="C47" s="42" t="s">
        <v>52</v>
      </c>
      <c r="D47" s="10">
        <v>10448</v>
      </c>
      <c r="E47" s="43">
        <v>397</v>
      </c>
      <c r="F47" s="8">
        <f>VLOOKUP('Retained Provisional CHWM Calcs'!B47,CHWM_published!B49:AR184,43,FALSE)</f>
        <v>8.735</v>
      </c>
      <c r="G47" s="9">
        <f>VLOOKUP('Retained Provisional CHWM Calcs'!$B47,CHWM_published!$B$12:$AR$147,40,FALSE)</f>
        <v>0.127</v>
      </c>
      <c r="H47" s="9">
        <f>VLOOKUP('Retained Provisional CHWM Calcs'!$B47,CHWM_published!$B$12:$AR$147,33,FALSE)</f>
        <v>0.12299999999999933</v>
      </c>
      <c r="I47" s="22" t="s">
        <v>106</v>
      </c>
      <c r="J47" s="25">
        <v>8.176</v>
      </c>
      <c r="K47" s="17">
        <v>0</v>
      </c>
      <c r="L47" s="17">
        <v>0.006</v>
      </c>
      <c r="M47" s="17">
        <v>0</v>
      </c>
      <c r="N47" s="17">
        <v>0</v>
      </c>
      <c r="O47" s="17">
        <f t="shared" si="0"/>
        <v>8.182</v>
      </c>
      <c r="P47" s="17">
        <f>VLOOKUP(B47,CHWM_published!B49:AL184,37,FALSE)</f>
        <v>0.042</v>
      </c>
      <c r="Q47" s="17">
        <v>0.052</v>
      </c>
      <c r="R47" s="17">
        <f t="shared" si="1"/>
        <v>8.276</v>
      </c>
      <c r="S47" s="17">
        <f>VLOOKUP('Retained Provisional CHWM Calcs'!$B47,CHWM_published!$B$12:$AR$147,28,FALSE)</f>
        <v>8.364</v>
      </c>
      <c r="T47" s="17">
        <f t="shared" si="2"/>
        <v>-0.08800000000000097</v>
      </c>
      <c r="U47" s="22">
        <f t="shared" si="3"/>
        <v>0</v>
      </c>
      <c r="V47" s="25"/>
      <c r="W47" s="17"/>
      <c r="X47" s="17"/>
      <c r="Y47" s="22"/>
      <c r="Z47" s="25">
        <f t="shared" si="4"/>
        <v>0</v>
      </c>
      <c r="AA47" s="17">
        <f>VLOOKUP('Retained Provisional CHWM Calcs'!$B47,CHWM_published!$B$12:$AR$147,35,FALSE)</f>
        <v>8.444999999999999</v>
      </c>
      <c r="AB47" s="9">
        <f t="shared" si="5"/>
        <v>0</v>
      </c>
      <c r="AC47" s="195">
        <f t="shared" si="6"/>
        <v>8.607999999999999</v>
      </c>
      <c r="AD47" s="8">
        <f t="shared" si="7"/>
        <v>8.517</v>
      </c>
      <c r="AE47" s="201" t="str">
        <f t="shared" si="8"/>
        <v>Yes</v>
      </c>
      <c r="AH47" s="310"/>
    </row>
    <row r="48" spans="1:34" s="19" customFormat="1" ht="12.75">
      <c r="A48" s="70" t="s">
        <v>100</v>
      </c>
      <c r="B48" s="49">
        <v>10502</v>
      </c>
      <c r="C48" s="50" t="s">
        <v>57</v>
      </c>
      <c r="D48" s="49">
        <v>10502</v>
      </c>
      <c r="E48" s="36">
        <v>482</v>
      </c>
      <c r="F48" s="44">
        <v>10.07</v>
      </c>
      <c r="G48" s="45">
        <v>0.032</v>
      </c>
      <c r="H48" s="45">
        <v>0.030999999999999917</v>
      </c>
      <c r="I48" s="48" t="s">
        <v>106</v>
      </c>
      <c r="J48" s="46">
        <v>6.401</v>
      </c>
      <c r="K48" s="47">
        <v>0</v>
      </c>
      <c r="L48" s="47">
        <v>-0.017</v>
      </c>
      <c r="M48" s="47">
        <v>0</v>
      </c>
      <c r="N48" s="47">
        <v>0</v>
      </c>
      <c r="O48" s="47">
        <f t="shared" si="0"/>
        <v>6.3839999999999995</v>
      </c>
      <c r="P48" s="47">
        <f>VLOOKUP(B48,CHWM_published!B50:AL185,37,FALSE)</f>
        <v>0.054</v>
      </c>
      <c r="Q48" s="47">
        <v>0.018</v>
      </c>
      <c r="R48" s="47">
        <f t="shared" si="1"/>
        <v>6.4559999999999995</v>
      </c>
      <c r="S48" s="47">
        <f>4.124+1.969+0.228</f>
        <v>6.321</v>
      </c>
      <c r="T48" s="47">
        <f t="shared" si="2"/>
        <v>0.1349999999999998</v>
      </c>
      <c r="U48" s="48">
        <f>IF(T48&gt;=H48,H48,MAX(0,T48))</f>
        <v>0.030999999999999917</v>
      </c>
      <c r="V48" s="46"/>
      <c r="W48" s="47"/>
      <c r="X48" s="47"/>
      <c r="Y48" s="48"/>
      <c r="Z48" s="46">
        <f t="shared" si="4"/>
        <v>0.030999999999999917</v>
      </c>
      <c r="AA48" s="47">
        <f>4.07+1.793+ROUND(0.228*(64.791/67.956),3)</f>
        <v>6.08</v>
      </c>
      <c r="AB48" s="45">
        <f>MIN(ROUND(Z48*(F48/AA48),3),G48)</f>
        <v>0.032</v>
      </c>
      <c r="AC48" s="196">
        <f t="shared" si="6"/>
        <v>10.07</v>
      </c>
      <c r="AD48" s="44">
        <f t="shared" si="7"/>
        <v>9.963</v>
      </c>
      <c r="AE48" s="260" t="str">
        <f t="shared" si="8"/>
        <v>No</v>
      </c>
      <c r="AH48" s="310"/>
    </row>
    <row r="49" spans="1:34" s="19" customFormat="1" ht="12.75">
      <c r="A49" s="69" t="s">
        <v>101</v>
      </c>
      <c r="B49" s="10">
        <v>10105</v>
      </c>
      <c r="C49" s="42" t="s">
        <v>10</v>
      </c>
      <c r="D49" s="10">
        <v>10105</v>
      </c>
      <c r="E49" s="43">
        <v>219</v>
      </c>
      <c r="F49" s="8">
        <f>VLOOKUP('Retained Provisional CHWM Calcs'!B49,CHWM_published!B12:AR147,43,FALSE)</f>
        <v>94.974</v>
      </c>
      <c r="G49" s="9">
        <f>VLOOKUP('Retained Provisional CHWM Calcs'!$B49,CHWM_published!$B$12:$AR$147,40,FALSE)</f>
        <v>1.904</v>
      </c>
      <c r="H49" s="9">
        <f>VLOOKUP('Retained Provisional CHWM Calcs'!$B49,CHWM_published!$B$12:$AR$147,33,FALSE)</f>
        <v>1.828</v>
      </c>
      <c r="I49" s="22" t="s">
        <v>107</v>
      </c>
      <c r="J49" s="25"/>
      <c r="K49" s="17"/>
      <c r="L49" s="17"/>
      <c r="M49" s="17"/>
      <c r="N49" s="17"/>
      <c r="O49" s="17"/>
      <c r="P49" s="10"/>
      <c r="Q49" s="10"/>
      <c r="R49" s="10"/>
      <c r="S49" s="17"/>
      <c r="T49" s="10"/>
      <c r="U49" s="51"/>
      <c r="V49" s="21">
        <v>1.431</v>
      </c>
      <c r="W49" s="10">
        <v>0.324</v>
      </c>
      <c r="X49" s="10">
        <f>V49-W49</f>
        <v>1.107</v>
      </c>
      <c r="Y49" s="51">
        <f>IF(X49&gt;=H49,H49,MAX(0,X49))</f>
        <v>1.107</v>
      </c>
      <c r="Z49" s="25">
        <f t="shared" si="4"/>
        <v>1.107</v>
      </c>
      <c r="AA49" s="17">
        <f>VLOOKUP('Retained Provisional CHWM Calcs'!$B49,CHWM_published!$B$12:$AR$147,35,FALSE)</f>
        <v>91.2</v>
      </c>
      <c r="AB49" s="9">
        <f t="shared" si="5"/>
        <v>1.153</v>
      </c>
      <c r="AC49" s="195">
        <f t="shared" si="6"/>
        <v>94.223</v>
      </c>
      <c r="AD49" s="8">
        <f t="shared" si="7"/>
        <v>93.225</v>
      </c>
      <c r="AE49" s="201" t="str">
        <f t="shared" si="8"/>
        <v>Yes</v>
      </c>
      <c r="AH49" s="310"/>
    </row>
    <row r="50" spans="1:34" s="19" customFormat="1" ht="13.5" thickBot="1">
      <c r="A50" s="71" t="s">
        <v>102</v>
      </c>
      <c r="B50" s="52">
        <v>10079</v>
      </c>
      <c r="C50" s="53" t="s">
        <v>36</v>
      </c>
      <c r="D50" s="52">
        <v>10079</v>
      </c>
      <c r="E50" s="54">
        <v>155</v>
      </c>
      <c r="F50" s="55">
        <f>VLOOKUP('Retained Provisional CHWM Calcs'!B50,CHWM_published!B13:AR148,43,FALSE)</f>
        <v>105.779</v>
      </c>
      <c r="G50" s="56">
        <f>VLOOKUP('Retained Provisional CHWM Calcs'!$B50,CHWM_published!$B$12:$AR$147,40,FALSE)</f>
        <v>19.903</v>
      </c>
      <c r="H50" s="56">
        <f>VLOOKUP('Retained Provisional CHWM Calcs'!$B50,CHWM_published!$B$12:$AR$147,33,FALSE)</f>
        <v>18.684</v>
      </c>
      <c r="I50" s="204" t="s">
        <v>107</v>
      </c>
      <c r="J50" s="57"/>
      <c r="K50" s="58"/>
      <c r="L50" s="58"/>
      <c r="M50" s="58"/>
      <c r="N50" s="58"/>
      <c r="O50" s="58"/>
      <c r="P50" s="52"/>
      <c r="Q50" s="52"/>
      <c r="R50" s="52"/>
      <c r="S50" s="58"/>
      <c r="T50" s="52"/>
      <c r="U50" s="59"/>
      <c r="V50" s="60">
        <v>38.064</v>
      </c>
      <c r="W50" s="52">
        <v>34.668</v>
      </c>
      <c r="X50" s="52">
        <f>V50-W50</f>
        <v>3.396000000000001</v>
      </c>
      <c r="Y50" s="59">
        <f>IF(X50&gt;=H50,H50,MAX(0,X50))</f>
        <v>3.396000000000001</v>
      </c>
      <c r="Z50" s="57">
        <f t="shared" si="4"/>
        <v>3.396000000000001</v>
      </c>
      <c r="AA50" s="58">
        <f>VLOOKUP('Retained Provisional CHWM Calcs'!$B50,CHWM_published!$B$12:$AR$147,35,FALSE)</f>
        <v>99.302</v>
      </c>
      <c r="AB50" s="56">
        <f t="shared" si="5"/>
        <v>3.618</v>
      </c>
      <c r="AC50" s="197">
        <f>F50-(G50-AB50)</f>
        <v>89.494</v>
      </c>
      <c r="AD50" s="55">
        <f t="shared" si="7"/>
        <v>88.546</v>
      </c>
      <c r="AE50" s="263" t="str">
        <f t="shared" si="8"/>
        <v>Yes</v>
      </c>
      <c r="AH50" s="310"/>
    </row>
    <row r="51" spans="1:31" s="19" customFormat="1" ht="13.5" thickTop="1">
      <c r="A51" s="68" t="s">
        <v>103</v>
      </c>
      <c r="B51" s="61"/>
      <c r="C51" s="62"/>
      <c r="D51" s="62"/>
      <c r="E51" s="62"/>
      <c r="F51" s="62"/>
      <c r="G51" s="14"/>
      <c r="H51" s="14"/>
      <c r="I51" s="4"/>
      <c r="J51" s="4"/>
      <c r="K51" s="4"/>
      <c r="L51" s="4"/>
      <c r="M51" s="4"/>
      <c r="N51" s="4"/>
      <c r="O51" s="4"/>
      <c r="P51" s="62"/>
      <c r="Q51" s="62"/>
      <c r="R51" s="62"/>
      <c r="S51" s="62"/>
      <c r="T51" s="62"/>
      <c r="U51" s="62"/>
      <c r="V51" s="62"/>
      <c r="W51" s="62"/>
      <c r="X51" s="62"/>
      <c r="Y51" s="62"/>
      <c r="Z51" s="62"/>
      <c r="AA51" s="62"/>
      <c r="AE51" s="192"/>
    </row>
    <row r="52" spans="1:31" s="19" customFormat="1" ht="12.75">
      <c r="A52" s="68" t="s">
        <v>104</v>
      </c>
      <c r="B52" s="61"/>
      <c r="C52" s="62" t="s">
        <v>53</v>
      </c>
      <c r="D52" s="62"/>
      <c r="E52" s="62"/>
      <c r="F52" s="62"/>
      <c r="G52" s="6">
        <f>SUM(G10:G50)</f>
        <v>80.61699999999999</v>
      </c>
      <c r="H52" s="6">
        <f>SUM(H10:H50)</f>
        <v>76.72700000000013</v>
      </c>
      <c r="J52" s="6"/>
      <c r="K52" s="6"/>
      <c r="L52" s="6"/>
      <c r="M52" s="6"/>
      <c r="N52" s="6"/>
      <c r="O52" s="6"/>
      <c r="P52" s="62"/>
      <c r="Q52" s="62"/>
      <c r="R52" s="62"/>
      <c r="S52" s="62"/>
      <c r="T52" s="62"/>
      <c r="U52" s="63">
        <f>SUM(U10:U50)</f>
        <v>37.039000000000115</v>
      </c>
      <c r="V52" s="63"/>
      <c r="W52" s="63"/>
      <c r="X52" s="63"/>
      <c r="Y52" s="63">
        <f>SUM(Y10:Y50)</f>
        <v>4.503000000000001</v>
      </c>
      <c r="Z52" s="63">
        <f>SUM(Z10:Z50)</f>
        <v>41.542000000000115</v>
      </c>
      <c r="AA52" s="63"/>
      <c r="AB52" s="64">
        <f>SUM(AB10:AB50)</f>
        <v>43.605</v>
      </c>
      <c r="AC52" s="64"/>
      <c r="AE52" s="192"/>
    </row>
    <row r="53" spans="1:31" s="19" customFormat="1" ht="12.75">
      <c r="A53" s="31"/>
      <c r="B53" s="61"/>
      <c r="C53" s="62"/>
      <c r="D53" s="62"/>
      <c r="E53" s="62"/>
      <c r="F53" s="62"/>
      <c r="H53" s="7" t="s">
        <v>116</v>
      </c>
      <c r="I53" s="18">
        <f>COUNTIF(I10:I50,"Path 2")</f>
        <v>39</v>
      </c>
      <c r="J53" s="5"/>
      <c r="K53" s="5"/>
      <c r="L53" s="5"/>
      <c r="M53" s="5"/>
      <c r="N53" s="5"/>
      <c r="O53" s="5"/>
      <c r="P53" s="62"/>
      <c r="Q53" s="62"/>
      <c r="R53" s="62"/>
      <c r="S53" s="62"/>
      <c r="T53" s="62"/>
      <c r="U53" s="62"/>
      <c r="V53" s="62"/>
      <c r="W53" s="62"/>
      <c r="X53" s="62"/>
      <c r="Y53" s="62"/>
      <c r="Z53" s="62"/>
      <c r="AA53" s="62"/>
      <c r="AB53" s="72"/>
      <c r="AE53" s="192"/>
    </row>
    <row r="54" spans="1:31" s="19" customFormat="1" ht="12.75">
      <c r="A54" s="31"/>
      <c r="B54" s="14"/>
      <c r="C54" s="14"/>
      <c r="D54" s="14"/>
      <c r="E54" s="14"/>
      <c r="F54" s="14"/>
      <c r="H54" s="7" t="s">
        <v>117</v>
      </c>
      <c r="I54" s="18">
        <f>COUNTIF(I10:I50,"path 1")</f>
        <v>2</v>
      </c>
      <c r="J54" s="13"/>
      <c r="K54" s="13"/>
      <c r="L54" s="13"/>
      <c r="M54" s="13"/>
      <c r="N54" s="13"/>
      <c r="O54" s="13"/>
      <c r="P54" s="14"/>
      <c r="Q54" s="14"/>
      <c r="R54" s="14"/>
      <c r="S54" s="14"/>
      <c r="T54" s="14"/>
      <c r="U54" s="14"/>
      <c r="V54" s="14"/>
      <c r="W54" s="14"/>
      <c r="X54" s="14"/>
      <c r="Y54" s="14"/>
      <c r="Z54" s="14"/>
      <c r="AA54" s="14"/>
      <c r="AE54" s="192"/>
    </row>
    <row r="55" spans="1:31" s="19" customFormat="1" ht="12.75">
      <c r="A55" s="31"/>
      <c r="B55" s="14"/>
      <c r="C55" s="14"/>
      <c r="D55" s="14"/>
      <c r="E55" s="14"/>
      <c r="F55" s="14"/>
      <c r="G55" s="7"/>
      <c r="H55" s="7"/>
      <c r="I55" s="18"/>
      <c r="J55" s="13"/>
      <c r="K55" s="13"/>
      <c r="L55" s="13"/>
      <c r="M55" s="13"/>
      <c r="N55" s="13"/>
      <c r="O55" s="13"/>
      <c r="P55" s="14"/>
      <c r="Q55" s="14"/>
      <c r="R55" s="14"/>
      <c r="S55" s="14"/>
      <c r="T55" s="14"/>
      <c r="U55" s="14"/>
      <c r="V55" s="14"/>
      <c r="W55" s="14"/>
      <c r="X55" s="14"/>
      <c r="Y55" s="14"/>
      <c r="Z55" s="14"/>
      <c r="AA55" s="14"/>
      <c r="AC55" s="3"/>
      <c r="AD55" s="199" t="s">
        <v>431</v>
      </c>
      <c r="AE55" s="192"/>
    </row>
    <row r="56" spans="1:31" s="19" customFormat="1" ht="12.75">
      <c r="A56" s="31"/>
      <c r="B56" s="15" t="s">
        <v>105</v>
      </c>
      <c r="C56" s="14"/>
      <c r="D56" s="14"/>
      <c r="E56" s="14"/>
      <c r="F56" s="14"/>
      <c r="G56" s="14"/>
      <c r="H56" s="14"/>
      <c r="I56" s="12"/>
      <c r="J56" s="12"/>
      <c r="K56" s="12"/>
      <c r="L56" s="12"/>
      <c r="M56" s="12"/>
      <c r="N56" s="12"/>
      <c r="O56" s="12"/>
      <c r="P56" s="14"/>
      <c r="Q56" s="14"/>
      <c r="R56" s="14"/>
      <c r="S56" s="14"/>
      <c r="T56" s="14"/>
      <c r="U56" s="14"/>
      <c r="V56" s="14"/>
      <c r="W56" s="14"/>
      <c r="X56" s="14"/>
      <c r="Y56" s="14"/>
      <c r="Z56" s="14"/>
      <c r="AA56" s="14"/>
      <c r="AC56" s="198" t="s">
        <v>432</v>
      </c>
      <c r="AD56" s="19">
        <v>7192.039</v>
      </c>
      <c r="AE56" s="192"/>
    </row>
    <row r="57" spans="1:31" s="19" customFormat="1" ht="12.75">
      <c r="A57" s="31"/>
      <c r="B57" s="14" t="s">
        <v>115</v>
      </c>
      <c r="C57" s="14"/>
      <c r="D57" s="14"/>
      <c r="E57" s="14"/>
      <c r="F57" s="14"/>
      <c r="G57" s="14"/>
      <c r="H57" s="14"/>
      <c r="I57" s="12"/>
      <c r="J57" s="12"/>
      <c r="K57" s="12"/>
      <c r="L57" s="12"/>
      <c r="M57" s="12"/>
      <c r="N57" s="12"/>
      <c r="O57" s="12"/>
      <c r="P57" s="14"/>
      <c r="Q57" s="14"/>
      <c r="R57" s="14"/>
      <c r="S57" s="14"/>
      <c r="T57" s="14"/>
      <c r="U57" s="14"/>
      <c r="V57" s="14"/>
      <c r="W57" s="14"/>
      <c r="X57" s="14"/>
      <c r="Y57" s="14"/>
      <c r="Z57" s="14"/>
      <c r="AA57" s="14"/>
      <c r="AC57" s="198" t="s">
        <v>433</v>
      </c>
      <c r="AD57" s="19">
        <v>7115.871</v>
      </c>
      <c r="AE57" s="192"/>
    </row>
    <row r="58" spans="1:31" s="19" customFormat="1" ht="12.75">
      <c r="A58" s="31"/>
      <c r="B58" s="14" t="s">
        <v>139</v>
      </c>
      <c r="C58" s="14"/>
      <c r="D58" s="14"/>
      <c r="E58" s="14"/>
      <c r="F58" s="14"/>
      <c r="G58" s="14"/>
      <c r="H58" s="14"/>
      <c r="I58" s="12"/>
      <c r="J58" s="12"/>
      <c r="K58" s="12"/>
      <c r="L58" s="12"/>
      <c r="M58" s="12"/>
      <c r="N58" s="12"/>
      <c r="O58" s="12"/>
      <c r="P58" s="14"/>
      <c r="Q58" s="14"/>
      <c r="R58" s="14"/>
      <c r="S58" s="14"/>
      <c r="T58" s="14"/>
      <c r="U58" s="14"/>
      <c r="V58" s="14"/>
      <c r="W58" s="14"/>
      <c r="X58" s="14"/>
      <c r="Y58" s="14"/>
      <c r="Z58" s="14"/>
      <c r="AA58" s="14"/>
      <c r="AE58" s="192"/>
    </row>
    <row r="59" spans="1:31" s="19" customFormat="1" ht="12.75">
      <c r="A59" s="31"/>
      <c r="B59" s="20" t="s">
        <v>444</v>
      </c>
      <c r="C59" s="14"/>
      <c r="D59" s="14"/>
      <c r="E59" s="73"/>
      <c r="G59" s="14"/>
      <c r="H59" s="14"/>
      <c r="I59" s="12"/>
      <c r="J59" s="12"/>
      <c r="K59" s="12"/>
      <c r="L59" s="12"/>
      <c r="M59" s="12"/>
      <c r="N59" s="12"/>
      <c r="O59" s="12"/>
      <c r="P59" s="14"/>
      <c r="Q59" s="14"/>
      <c r="R59" s="14"/>
      <c r="S59" s="14"/>
      <c r="T59" s="14"/>
      <c r="U59" s="14"/>
      <c r="V59" s="14"/>
      <c r="W59" s="14"/>
      <c r="X59" s="14"/>
      <c r="Y59" s="14"/>
      <c r="Z59" s="14"/>
      <c r="AA59" s="14"/>
      <c r="AE59" s="192"/>
    </row>
    <row r="60" ht="12.75">
      <c r="B60" s="14" t="s">
        <v>428</v>
      </c>
    </row>
    <row r="61" ht="12.75">
      <c r="B61" s="14" t="s">
        <v>429</v>
      </c>
    </row>
    <row r="62" ht="12.75">
      <c r="B62" s="14" t="s">
        <v>445</v>
      </c>
    </row>
    <row r="63" ht="12.75">
      <c r="B63" s="14" t="s">
        <v>430</v>
      </c>
    </row>
    <row r="64" spans="1:31" s="65" customFormat="1" ht="12.75">
      <c r="A64" s="12"/>
      <c r="B64" s="14" t="s">
        <v>140</v>
      </c>
      <c r="I64" s="12"/>
      <c r="J64" s="12"/>
      <c r="K64" s="12"/>
      <c r="L64" s="12"/>
      <c r="M64" s="12"/>
      <c r="N64" s="12"/>
      <c r="O64" s="12"/>
      <c r="AB64" s="66"/>
      <c r="AC64" s="66"/>
      <c r="AD64" s="66"/>
      <c r="AE64" s="192"/>
    </row>
    <row r="65" ht="12.75">
      <c r="B65" s="14" t="s">
        <v>443</v>
      </c>
    </row>
  </sheetData>
  <mergeCells count="6">
    <mergeCell ref="A2:C2"/>
    <mergeCell ref="AD7:AE7"/>
    <mergeCell ref="F7:I7"/>
    <mergeCell ref="V7:Y7"/>
    <mergeCell ref="Z7:AC7"/>
    <mergeCell ref="J7:U7"/>
  </mergeCells>
  <printOptions/>
  <pageMargins left="0.75" right="0.75" top="1" bottom="1" header="0.5" footer="0.5"/>
  <pageSetup horizontalDpi="600" verticalDpi="600" orientation="portrait" r:id="rId1"/>
  <ignoredErrors>
    <ignoredError sqref="AA6:AC6 Y6:Z6 H6:X6 B6 C6:G6 A7:A5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workbookViewId="0" topLeftCell="A1">
      <pane xSplit="7" ySplit="6" topLeftCell="H7" activePane="bottomRight" state="frozen"/>
      <selection pane="topRight" activeCell="H1" sqref="H1"/>
      <selection pane="bottomLeft" activeCell="A7" sqref="A7"/>
      <selection pane="bottomRight" activeCell="A1" sqref="A1"/>
    </sheetView>
  </sheetViews>
  <sheetFormatPr defaultColWidth="9.140625" defaultRowHeight="12.75"/>
  <cols>
    <col min="1" max="1" width="4.421875" style="288" customWidth="1"/>
    <col min="2" max="2" width="17.8515625" style="288" bestFit="1" customWidth="1"/>
    <col min="3" max="3" width="24.00390625" style="288" customWidth="1"/>
    <col min="4" max="4" width="9.28125" style="288" bestFit="1" customWidth="1"/>
    <col min="5" max="5" width="12.140625" style="288" customWidth="1"/>
    <col min="6" max="6" width="9.140625" style="288" customWidth="1"/>
    <col min="7" max="7" width="12.140625" style="288" customWidth="1"/>
    <col min="8" max="8" width="2.28125" style="288" customWidth="1"/>
    <col min="9" max="9" width="12.140625" style="288" bestFit="1" customWidth="1"/>
    <col min="10" max="10" width="1.7109375" style="288" customWidth="1"/>
    <col min="11" max="22" width="9.7109375" style="288" customWidth="1"/>
    <col min="23" max="23" width="4.140625" style="288" customWidth="1"/>
    <col min="24" max="35" width="9.7109375" style="288" customWidth="1"/>
    <col min="36" max="36" width="5.7109375" style="288" customWidth="1"/>
    <col min="37" max="16384" width="9.140625" style="288" customWidth="1"/>
  </cols>
  <sheetData>
    <row r="1" ht="21">
      <c r="B1" s="289" t="s">
        <v>499</v>
      </c>
    </row>
    <row r="2" spans="2:35" ht="18.75">
      <c r="B2" s="290" t="s">
        <v>458</v>
      </c>
      <c r="Z2" s="291"/>
      <c r="AI2" s="313" t="s">
        <v>500</v>
      </c>
    </row>
    <row r="4" spans="2:7" s="293" customFormat="1" ht="25.5">
      <c r="B4" s="293" t="s">
        <v>0</v>
      </c>
      <c r="C4" s="293" t="s">
        <v>55</v>
      </c>
      <c r="D4" s="293" t="s">
        <v>459</v>
      </c>
      <c r="E4" s="293" t="s">
        <v>460</v>
      </c>
      <c r="G4" s="293" t="s">
        <v>111</v>
      </c>
    </row>
    <row r="5" spans="5:24" ht="15">
      <c r="E5" s="288" t="s">
        <v>461</v>
      </c>
      <c r="F5" s="288" t="s">
        <v>462</v>
      </c>
      <c r="G5" s="288" t="s">
        <v>461</v>
      </c>
      <c r="I5" s="288" t="s">
        <v>463</v>
      </c>
      <c r="K5" s="294" t="s">
        <v>464</v>
      </c>
      <c r="X5" s="294" t="s">
        <v>465</v>
      </c>
    </row>
    <row r="6" spans="2:35" ht="15">
      <c r="B6" s="288" t="s">
        <v>246</v>
      </c>
      <c r="C6" s="295" t="s">
        <v>246</v>
      </c>
      <c r="D6" s="288" t="s">
        <v>2</v>
      </c>
      <c r="E6" s="288" t="s">
        <v>2</v>
      </c>
      <c r="F6" s="288" t="s">
        <v>246</v>
      </c>
      <c r="G6" s="288" t="s">
        <v>2</v>
      </c>
      <c r="K6" s="296" t="s">
        <v>466</v>
      </c>
      <c r="L6" s="296" t="s">
        <v>467</v>
      </c>
      <c r="M6" s="296" t="s">
        <v>468</v>
      </c>
      <c r="N6" s="296" t="s">
        <v>469</v>
      </c>
      <c r="O6" s="296" t="s">
        <v>470</v>
      </c>
      <c r="P6" s="296" t="s">
        <v>471</v>
      </c>
      <c r="Q6" s="296" t="s">
        <v>472</v>
      </c>
      <c r="R6" s="296" t="s">
        <v>473</v>
      </c>
      <c r="S6" s="296" t="s">
        <v>474</v>
      </c>
      <c r="T6" s="296" t="s">
        <v>475</v>
      </c>
      <c r="U6" s="296" t="s">
        <v>476</v>
      </c>
      <c r="V6" s="296" t="s">
        <v>477</v>
      </c>
      <c r="X6" s="296" t="s">
        <v>466</v>
      </c>
      <c r="Y6" s="296" t="s">
        <v>467</v>
      </c>
      <c r="Z6" s="296" t="s">
        <v>468</v>
      </c>
      <c r="AA6" s="296" t="s">
        <v>469</v>
      </c>
      <c r="AB6" s="296" t="s">
        <v>470</v>
      </c>
      <c r="AC6" s="296" t="s">
        <v>471</v>
      </c>
      <c r="AD6" s="296" t="s">
        <v>472</v>
      </c>
      <c r="AE6" s="296" t="s">
        <v>473</v>
      </c>
      <c r="AF6" s="296" t="s">
        <v>474</v>
      </c>
      <c r="AG6" s="296" t="s">
        <v>475</v>
      </c>
      <c r="AH6" s="296" t="s">
        <v>476</v>
      </c>
      <c r="AI6" s="296" t="s">
        <v>477</v>
      </c>
    </row>
    <row r="7" spans="1:39" ht="15">
      <c r="A7" s="288">
        <v>1</v>
      </c>
      <c r="B7" s="288">
        <v>10105</v>
      </c>
      <c r="C7" s="295" t="s">
        <v>10</v>
      </c>
      <c r="D7" s="297">
        <v>94.974</v>
      </c>
      <c r="E7" s="288">
        <v>1.904</v>
      </c>
      <c r="F7" s="288" t="s">
        <v>107</v>
      </c>
      <c r="G7" s="288">
        <v>94.223</v>
      </c>
      <c r="I7" s="288" t="s">
        <v>478</v>
      </c>
      <c r="K7" s="298">
        <v>1178</v>
      </c>
      <c r="L7" s="298">
        <v>165</v>
      </c>
      <c r="M7" s="298">
        <v>1303</v>
      </c>
      <c r="N7" s="298">
        <v>2421</v>
      </c>
      <c r="O7" s="298">
        <v>871</v>
      </c>
      <c r="P7" s="298">
        <v>1834</v>
      </c>
      <c r="Q7" s="298">
        <v>2461</v>
      </c>
      <c r="R7" s="298">
        <v>4573</v>
      </c>
      <c r="S7" s="298">
        <v>7498</v>
      </c>
      <c r="T7" s="298">
        <v>0</v>
      </c>
      <c r="U7" s="298">
        <v>0</v>
      </c>
      <c r="V7" s="298">
        <v>0</v>
      </c>
      <c r="X7" s="298">
        <f>ROUND($G7/($D7-$E7)*K7,0)</f>
        <v>1193</v>
      </c>
      <c r="Y7" s="298">
        <f aca="true" t="shared" si="0" ref="Y7:AI8">ROUND($G7/($D7-$E7)*L7,0)</f>
        <v>167</v>
      </c>
      <c r="Z7" s="298">
        <f t="shared" si="0"/>
        <v>1319</v>
      </c>
      <c r="AA7" s="298">
        <f t="shared" si="0"/>
        <v>2451</v>
      </c>
      <c r="AB7" s="298">
        <f t="shared" si="0"/>
        <v>882</v>
      </c>
      <c r="AC7" s="298">
        <f t="shared" si="0"/>
        <v>1857</v>
      </c>
      <c r="AD7" s="298">
        <f t="shared" si="0"/>
        <v>2491</v>
      </c>
      <c r="AE7" s="298">
        <f t="shared" si="0"/>
        <v>4630</v>
      </c>
      <c r="AF7" s="298">
        <f t="shared" si="0"/>
        <v>7591</v>
      </c>
      <c r="AG7" s="298">
        <f t="shared" si="0"/>
        <v>0</v>
      </c>
      <c r="AH7" s="298">
        <f t="shared" si="0"/>
        <v>0</v>
      </c>
      <c r="AI7" s="298">
        <f t="shared" si="0"/>
        <v>0</v>
      </c>
      <c r="AK7" s="309"/>
      <c r="AM7" s="309"/>
    </row>
    <row r="8" spans="1:39" ht="15">
      <c r="A8" s="288">
        <v>2</v>
      </c>
      <c r="B8" s="288">
        <v>10079</v>
      </c>
      <c r="C8" s="295" t="s">
        <v>36</v>
      </c>
      <c r="D8" s="297">
        <v>105.779</v>
      </c>
      <c r="E8" s="288">
        <v>19.903</v>
      </c>
      <c r="F8" s="288" t="s">
        <v>107</v>
      </c>
      <c r="G8" s="288">
        <v>89.494</v>
      </c>
      <c r="K8" s="298">
        <v>24358</v>
      </c>
      <c r="L8" s="298">
        <v>24267</v>
      </c>
      <c r="M8" s="298">
        <v>34463</v>
      </c>
      <c r="N8" s="298">
        <v>31977</v>
      </c>
      <c r="O8" s="298">
        <v>46306</v>
      </c>
      <c r="P8" s="298">
        <v>26617</v>
      </c>
      <c r="Q8" s="298">
        <v>31289</v>
      </c>
      <c r="R8" s="298">
        <v>15900</v>
      </c>
      <c r="S8" s="298">
        <v>14452</v>
      </c>
      <c r="T8" s="298">
        <v>25674</v>
      </c>
      <c r="U8" s="298">
        <v>23118</v>
      </c>
      <c r="V8" s="298">
        <v>24846</v>
      </c>
      <c r="X8" s="298">
        <f>ROUND($G8/($D8-$E8)*K8,0)</f>
        <v>25384</v>
      </c>
      <c r="Y8" s="298">
        <f t="shared" si="0"/>
        <v>25289</v>
      </c>
      <c r="Z8" s="298">
        <f t="shared" si="0"/>
        <v>35915</v>
      </c>
      <c r="AA8" s="298">
        <f t="shared" si="0"/>
        <v>33324</v>
      </c>
      <c r="AB8" s="298">
        <f t="shared" si="0"/>
        <v>48257</v>
      </c>
      <c r="AC8" s="298">
        <f t="shared" si="0"/>
        <v>27738</v>
      </c>
      <c r="AD8" s="298">
        <f t="shared" si="0"/>
        <v>32607</v>
      </c>
      <c r="AE8" s="298">
        <f t="shared" si="0"/>
        <v>16570</v>
      </c>
      <c r="AF8" s="298">
        <f t="shared" si="0"/>
        <v>15061</v>
      </c>
      <c r="AG8" s="298">
        <f t="shared" si="0"/>
        <v>26756</v>
      </c>
      <c r="AH8" s="298">
        <f t="shared" si="0"/>
        <v>24092</v>
      </c>
      <c r="AI8" s="298">
        <f t="shared" si="0"/>
        <v>25893</v>
      </c>
      <c r="AK8" s="309"/>
      <c r="AM8" s="309"/>
    </row>
    <row r="9" spans="3:39" ht="15">
      <c r="C9" s="295"/>
      <c r="D9" s="297"/>
      <c r="X9" s="298"/>
      <c r="Y9" s="298"/>
      <c r="Z9" s="298"/>
      <c r="AA9" s="298"/>
      <c r="AB9" s="298"/>
      <c r="AC9" s="298"/>
      <c r="AD9" s="298"/>
      <c r="AE9" s="298"/>
      <c r="AF9" s="298"/>
      <c r="AG9" s="298"/>
      <c r="AH9" s="298"/>
      <c r="AI9" s="298"/>
      <c r="AK9" s="309"/>
      <c r="AM9" s="309"/>
    </row>
    <row r="10" spans="1:39" ht="15">
      <c r="A10" s="288">
        <v>3</v>
      </c>
      <c r="B10" s="288">
        <v>10057</v>
      </c>
      <c r="C10" s="295" t="s">
        <v>3</v>
      </c>
      <c r="D10" s="297">
        <v>21.383</v>
      </c>
      <c r="E10" s="288">
        <v>0.769</v>
      </c>
      <c r="F10" s="288" t="s">
        <v>106</v>
      </c>
      <c r="G10" s="288">
        <v>21.383</v>
      </c>
      <c r="K10" s="298">
        <v>4980</v>
      </c>
      <c r="L10" s="298">
        <v>6219</v>
      </c>
      <c r="M10" s="298">
        <v>5658</v>
      </c>
      <c r="N10" s="298">
        <v>4911</v>
      </c>
      <c r="O10" s="298">
        <v>5414</v>
      </c>
      <c r="P10" s="298">
        <v>5075</v>
      </c>
      <c r="Q10" s="298">
        <v>4484</v>
      </c>
      <c r="R10" s="298">
        <v>5773</v>
      </c>
      <c r="S10" s="298">
        <v>7738</v>
      </c>
      <c r="T10" s="298">
        <v>9203</v>
      </c>
      <c r="U10" s="298">
        <v>8333</v>
      </c>
      <c r="V10" s="298">
        <v>5535</v>
      </c>
      <c r="X10" s="298">
        <f>ROUND($G10/($D10-$E10)*K10,0)</f>
        <v>5166</v>
      </c>
      <c r="Y10" s="298">
        <f aca="true" t="shared" si="1" ref="Y10:Y11">ROUND($G10/($D10-$E10)*L10,0)</f>
        <v>6451</v>
      </c>
      <c r="Z10" s="298">
        <f aca="true" t="shared" si="2" ref="Z10:Z11">ROUND($G10/($D10-$E10)*M10,0)</f>
        <v>5869</v>
      </c>
      <c r="AA10" s="298">
        <f aca="true" t="shared" si="3" ref="AA10:AA11">ROUND($G10/($D10-$E10)*N10,0)</f>
        <v>5094</v>
      </c>
      <c r="AB10" s="298">
        <f aca="true" t="shared" si="4" ref="AB10:AB11">ROUND($G10/($D10-$E10)*O10,0)</f>
        <v>5616</v>
      </c>
      <c r="AC10" s="298">
        <f aca="true" t="shared" si="5" ref="AC10:AC11">ROUND($G10/($D10-$E10)*P10,0)</f>
        <v>5264</v>
      </c>
      <c r="AD10" s="298">
        <f aca="true" t="shared" si="6" ref="AD10:AD11">ROUND($G10/($D10-$E10)*Q10,0)</f>
        <v>4651</v>
      </c>
      <c r="AE10" s="298">
        <f aca="true" t="shared" si="7" ref="AE10:AE11">ROUND($G10/($D10-$E10)*R10,0)</f>
        <v>5988</v>
      </c>
      <c r="AF10" s="298">
        <f aca="true" t="shared" si="8" ref="AF10:AF11">ROUND($G10/($D10-$E10)*S10,0)</f>
        <v>8027</v>
      </c>
      <c r="AG10" s="298">
        <f aca="true" t="shared" si="9" ref="AG10:AG11">ROUND($G10/($D10-$E10)*T10,0)</f>
        <v>9546</v>
      </c>
      <c r="AH10" s="298">
        <f aca="true" t="shared" si="10" ref="AH10:AH11">ROUND($G10/($D10-$E10)*U10,0)</f>
        <v>8644</v>
      </c>
      <c r="AI10" s="298">
        <f aca="true" t="shared" si="11" ref="AI10:AI11">ROUND($G10/($D10-$E10)*V10,0)</f>
        <v>5741</v>
      </c>
      <c r="AK10" s="309"/>
      <c r="AM10" s="309"/>
    </row>
    <row r="11" spans="1:39" ht="15">
      <c r="A11" s="288">
        <v>4</v>
      </c>
      <c r="B11" s="288">
        <v>10015</v>
      </c>
      <c r="C11" s="295" t="s">
        <v>4</v>
      </c>
      <c r="D11" s="297">
        <v>0.61</v>
      </c>
      <c r="E11" s="288">
        <v>0.028</v>
      </c>
      <c r="F11" s="288" t="s">
        <v>106</v>
      </c>
      <c r="G11" s="288">
        <v>0.582</v>
      </c>
      <c r="K11" s="298">
        <v>914</v>
      </c>
      <c r="L11" s="298">
        <v>1084</v>
      </c>
      <c r="M11" s="298">
        <v>942</v>
      </c>
      <c r="N11" s="298">
        <v>875</v>
      </c>
      <c r="O11" s="298">
        <v>846</v>
      </c>
      <c r="P11" s="298">
        <v>763</v>
      </c>
      <c r="Q11" s="298">
        <v>617</v>
      </c>
      <c r="R11" s="298">
        <v>897</v>
      </c>
      <c r="S11" s="298">
        <v>1271</v>
      </c>
      <c r="T11" s="298">
        <v>1015</v>
      </c>
      <c r="U11" s="298">
        <v>1404</v>
      </c>
      <c r="V11" s="298">
        <v>1037</v>
      </c>
      <c r="X11" s="298">
        <f>ROUND($G11/($D11-$E11)*K11,0)</f>
        <v>914</v>
      </c>
      <c r="Y11" s="298">
        <f t="shared" si="1"/>
        <v>1084</v>
      </c>
      <c r="Z11" s="298">
        <f t="shared" si="2"/>
        <v>942</v>
      </c>
      <c r="AA11" s="298">
        <f t="shared" si="3"/>
        <v>875</v>
      </c>
      <c r="AB11" s="298">
        <f t="shared" si="4"/>
        <v>846</v>
      </c>
      <c r="AC11" s="298">
        <f t="shared" si="5"/>
        <v>763</v>
      </c>
      <c r="AD11" s="298">
        <f t="shared" si="6"/>
        <v>617</v>
      </c>
      <c r="AE11" s="298">
        <f t="shared" si="7"/>
        <v>897</v>
      </c>
      <c r="AF11" s="298">
        <f t="shared" si="8"/>
        <v>1271</v>
      </c>
      <c r="AG11" s="298">
        <f t="shared" si="9"/>
        <v>1015</v>
      </c>
      <c r="AH11" s="298">
        <f t="shared" si="10"/>
        <v>1404</v>
      </c>
      <c r="AI11" s="298">
        <f t="shared" si="11"/>
        <v>1037</v>
      </c>
      <c r="AK11" s="309"/>
      <c r="AM11" s="309"/>
    </row>
    <row r="12" spans="1:39" ht="15">
      <c r="A12" s="288">
        <v>5</v>
      </c>
      <c r="B12" s="288">
        <v>10029</v>
      </c>
      <c r="C12" s="295" t="s">
        <v>6</v>
      </c>
      <c r="D12" s="297">
        <v>17.879</v>
      </c>
      <c r="E12" s="288">
        <v>1.263</v>
      </c>
      <c r="F12" s="288" t="s">
        <v>106</v>
      </c>
      <c r="G12" s="288">
        <v>17.879</v>
      </c>
      <c r="K12" s="298">
        <v>5463</v>
      </c>
      <c r="L12" s="298">
        <v>5327</v>
      </c>
      <c r="M12" s="298">
        <v>6538</v>
      </c>
      <c r="N12" s="298">
        <v>5053</v>
      </c>
      <c r="O12" s="298">
        <v>5859</v>
      </c>
      <c r="P12" s="298">
        <v>4899</v>
      </c>
      <c r="Q12" s="298">
        <v>6019</v>
      </c>
      <c r="R12" s="298">
        <v>4402</v>
      </c>
      <c r="S12" s="298">
        <v>2681</v>
      </c>
      <c r="T12" s="298">
        <v>2734</v>
      </c>
      <c r="U12" s="298">
        <v>1745</v>
      </c>
      <c r="V12" s="298">
        <v>3656</v>
      </c>
      <c r="X12" s="298">
        <f aca="true" t="shared" si="12" ref="X12:X47">ROUND($G12/($D12-$E12)*K12,0)</f>
        <v>5878</v>
      </c>
      <c r="Y12" s="298">
        <f aca="true" t="shared" si="13" ref="Y12:Y47">ROUND($G12/($D12-$E12)*L12,0)</f>
        <v>5732</v>
      </c>
      <c r="Z12" s="298">
        <f aca="true" t="shared" si="14" ref="Z12:Z47">ROUND($G12/($D12-$E12)*M12,0)</f>
        <v>7035</v>
      </c>
      <c r="AA12" s="298">
        <f aca="true" t="shared" si="15" ref="AA12:AA47">ROUND($G12/($D12-$E12)*N12,0)</f>
        <v>5437</v>
      </c>
      <c r="AB12" s="298">
        <f aca="true" t="shared" si="16" ref="AB12:AB47">ROUND($G12/($D12-$E12)*O12,0)</f>
        <v>6304</v>
      </c>
      <c r="AC12" s="298">
        <f aca="true" t="shared" si="17" ref="AC12:AC47">ROUND($G12/($D12-$E12)*P12,0)</f>
        <v>5271</v>
      </c>
      <c r="AD12" s="298">
        <f aca="true" t="shared" si="18" ref="AD12:AD47">ROUND($G12/($D12-$E12)*Q12,0)</f>
        <v>6477</v>
      </c>
      <c r="AE12" s="298">
        <f aca="true" t="shared" si="19" ref="AE12:AE47">ROUND($G12/($D12-$E12)*R12,0)</f>
        <v>4737</v>
      </c>
      <c r="AF12" s="298">
        <f aca="true" t="shared" si="20" ref="AF12:AF47">ROUND($G12/($D12-$E12)*S12,0)</f>
        <v>2885</v>
      </c>
      <c r="AG12" s="298">
        <f aca="true" t="shared" si="21" ref="AG12:AG47">ROUND($G12/($D12-$E12)*T12,0)</f>
        <v>2942</v>
      </c>
      <c r="AH12" s="298">
        <f aca="true" t="shared" si="22" ref="AH12:AH47">ROUND($G12/($D12-$E12)*U12,0)</f>
        <v>1878</v>
      </c>
      <c r="AI12" s="298">
        <f aca="true" t="shared" si="23" ref="AI12:AI47">ROUND($G12/($D12-$E12)*V12,0)</f>
        <v>3934</v>
      </c>
      <c r="AK12" s="309"/>
      <c r="AM12" s="309"/>
    </row>
    <row r="13" spans="1:39" ht="15">
      <c r="A13" s="288">
        <v>6</v>
      </c>
      <c r="B13" s="288">
        <v>10065</v>
      </c>
      <c r="C13" s="295" t="s">
        <v>7</v>
      </c>
      <c r="D13" s="297">
        <v>2.638</v>
      </c>
      <c r="E13" s="288">
        <v>0.225</v>
      </c>
      <c r="F13" s="288" t="s">
        <v>106</v>
      </c>
      <c r="G13" s="288">
        <v>2.413</v>
      </c>
      <c r="K13" s="298">
        <v>443</v>
      </c>
      <c r="L13" s="298">
        <v>640</v>
      </c>
      <c r="M13" s="298">
        <v>446</v>
      </c>
      <c r="N13" s="298">
        <v>639</v>
      </c>
      <c r="O13" s="298">
        <v>606</v>
      </c>
      <c r="P13" s="298">
        <v>463</v>
      </c>
      <c r="Q13" s="298">
        <v>395</v>
      </c>
      <c r="R13" s="298">
        <v>267</v>
      </c>
      <c r="S13" s="298">
        <v>162</v>
      </c>
      <c r="T13" s="298">
        <v>323</v>
      </c>
      <c r="U13" s="298">
        <v>194</v>
      </c>
      <c r="V13" s="298">
        <v>129</v>
      </c>
      <c r="X13" s="298">
        <f t="shared" si="12"/>
        <v>443</v>
      </c>
      <c r="Y13" s="298">
        <f t="shared" si="13"/>
        <v>640</v>
      </c>
      <c r="Z13" s="298">
        <f t="shared" si="14"/>
        <v>446</v>
      </c>
      <c r="AA13" s="298">
        <f t="shared" si="15"/>
        <v>639</v>
      </c>
      <c r="AB13" s="298">
        <f t="shared" si="16"/>
        <v>606</v>
      </c>
      <c r="AC13" s="298">
        <f t="shared" si="17"/>
        <v>463</v>
      </c>
      <c r="AD13" s="298">
        <f t="shared" si="18"/>
        <v>395</v>
      </c>
      <c r="AE13" s="298">
        <f t="shared" si="19"/>
        <v>267</v>
      </c>
      <c r="AF13" s="298">
        <f t="shared" si="20"/>
        <v>162</v>
      </c>
      <c r="AG13" s="298">
        <f t="shared" si="21"/>
        <v>323</v>
      </c>
      <c r="AH13" s="298">
        <f t="shared" si="22"/>
        <v>194</v>
      </c>
      <c r="AI13" s="298">
        <f t="shared" si="23"/>
        <v>129</v>
      </c>
      <c r="AK13" s="309"/>
      <c r="AM13" s="309"/>
    </row>
    <row r="14" spans="1:39" ht="15">
      <c r="A14" s="288">
        <v>7</v>
      </c>
      <c r="B14" s="288">
        <v>10068</v>
      </c>
      <c r="C14" s="295" t="s">
        <v>8</v>
      </c>
      <c r="D14" s="297">
        <v>2.887</v>
      </c>
      <c r="E14" s="288">
        <v>0.076</v>
      </c>
      <c r="F14" s="288" t="s">
        <v>106</v>
      </c>
      <c r="G14" s="288">
        <v>2.811</v>
      </c>
      <c r="K14" s="298">
        <v>1196</v>
      </c>
      <c r="L14" s="298">
        <v>609</v>
      </c>
      <c r="M14" s="298">
        <v>396</v>
      </c>
      <c r="N14" s="298">
        <v>546</v>
      </c>
      <c r="O14" s="298">
        <v>480</v>
      </c>
      <c r="P14" s="298">
        <v>482</v>
      </c>
      <c r="Q14" s="298">
        <v>500</v>
      </c>
      <c r="R14" s="298">
        <v>338</v>
      </c>
      <c r="S14" s="298">
        <v>493</v>
      </c>
      <c r="T14" s="298">
        <v>449</v>
      </c>
      <c r="U14" s="298">
        <v>414</v>
      </c>
      <c r="V14" s="298">
        <v>335</v>
      </c>
      <c r="X14" s="298">
        <f t="shared" si="12"/>
        <v>1196</v>
      </c>
      <c r="Y14" s="298">
        <f t="shared" si="13"/>
        <v>609</v>
      </c>
      <c r="Z14" s="298">
        <f t="shared" si="14"/>
        <v>396</v>
      </c>
      <c r="AA14" s="298">
        <f t="shared" si="15"/>
        <v>546</v>
      </c>
      <c r="AB14" s="298">
        <f t="shared" si="16"/>
        <v>480</v>
      </c>
      <c r="AC14" s="298">
        <f t="shared" si="17"/>
        <v>482</v>
      </c>
      <c r="AD14" s="298">
        <f t="shared" si="18"/>
        <v>500</v>
      </c>
      <c r="AE14" s="298">
        <f t="shared" si="19"/>
        <v>338</v>
      </c>
      <c r="AF14" s="298">
        <f t="shared" si="20"/>
        <v>493</v>
      </c>
      <c r="AG14" s="298">
        <f t="shared" si="21"/>
        <v>449</v>
      </c>
      <c r="AH14" s="298">
        <f t="shared" si="22"/>
        <v>414</v>
      </c>
      <c r="AI14" s="298">
        <f t="shared" si="23"/>
        <v>335</v>
      </c>
      <c r="AK14" s="309"/>
      <c r="AM14" s="309"/>
    </row>
    <row r="15" spans="1:39" ht="15">
      <c r="A15" s="288">
        <v>8</v>
      </c>
      <c r="B15" s="288">
        <v>10103</v>
      </c>
      <c r="C15" s="295" t="s">
        <v>479</v>
      </c>
      <c r="D15" s="297">
        <v>323.245</v>
      </c>
      <c r="E15" s="288">
        <v>9.533</v>
      </c>
      <c r="F15" s="288" t="s">
        <v>106</v>
      </c>
      <c r="G15" s="288">
        <v>323.245</v>
      </c>
      <c r="I15" s="288" t="s">
        <v>478</v>
      </c>
      <c r="K15" s="298">
        <v>143138</v>
      </c>
      <c r="L15" s="298">
        <v>172267</v>
      </c>
      <c r="M15" s="298">
        <v>133986</v>
      </c>
      <c r="N15" s="298">
        <v>162731</v>
      </c>
      <c r="O15" s="298">
        <v>176523</v>
      </c>
      <c r="P15" s="298">
        <v>121331</v>
      </c>
      <c r="Q15" s="298">
        <v>138100</v>
      </c>
      <c r="R15" s="298">
        <v>86182</v>
      </c>
      <c r="S15" s="298">
        <v>117412</v>
      </c>
      <c r="T15" s="298">
        <v>159374</v>
      </c>
      <c r="U15" s="298">
        <v>130114</v>
      </c>
      <c r="V15" s="298">
        <v>77155</v>
      </c>
      <c r="X15" s="298">
        <f t="shared" si="12"/>
        <v>147488</v>
      </c>
      <c r="Y15" s="298">
        <f t="shared" si="13"/>
        <v>177502</v>
      </c>
      <c r="Z15" s="298">
        <f t="shared" si="14"/>
        <v>138058</v>
      </c>
      <c r="AA15" s="298">
        <f t="shared" si="15"/>
        <v>167676</v>
      </c>
      <c r="AB15" s="298">
        <f t="shared" si="16"/>
        <v>181887</v>
      </c>
      <c r="AC15" s="298">
        <f t="shared" si="17"/>
        <v>125018</v>
      </c>
      <c r="AD15" s="298">
        <f t="shared" si="18"/>
        <v>142297</v>
      </c>
      <c r="AE15" s="298">
        <f t="shared" si="19"/>
        <v>88801</v>
      </c>
      <c r="AF15" s="298">
        <f t="shared" si="20"/>
        <v>120980</v>
      </c>
      <c r="AG15" s="298">
        <f t="shared" si="21"/>
        <v>164217</v>
      </c>
      <c r="AH15" s="298">
        <f t="shared" si="22"/>
        <v>134068</v>
      </c>
      <c r="AI15" s="298">
        <f t="shared" si="23"/>
        <v>79500</v>
      </c>
      <c r="AK15" s="309"/>
      <c r="AM15" s="309"/>
    </row>
    <row r="16" spans="1:39" ht="15">
      <c r="A16" s="288">
        <v>9</v>
      </c>
      <c r="B16" s="288">
        <v>10106</v>
      </c>
      <c r="C16" s="295" t="s">
        <v>11</v>
      </c>
      <c r="D16" s="297">
        <v>24.523</v>
      </c>
      <c r="E16" s="288">
        <v>1.658</v>
      </c>
      <c r="F16" s="288" t="s">
        <v>106</v>
      </c>
      <c r="G16" s="288">
        <v>24.235</v>
      </c>
      <c r="K16" s="298">
        <v>7710</v>
      </c>
      <c r="L16" s="298">
        <v>7451</v>
      </c>
      <c r="M16" s="298">
        <v>7658</v>
      </c>
      <c r="N16" s="298">
        <v>7463</v>
      </c>
      <c r="O16" s="298">
        <v>9296</v>
      </c>
      <c r="P16" s="298">
        <v>7715</v>
      </c>
      <c r="Q16" s="298">
        <v>6811</v>
      </c>
      <c r="R16" s="298">
        <v>5719</v>
      </c>
      <c r="S16" s="298">
        <v>3021</v>
      </c>
      <c r="T16" s="298">
        <v>2979</v>
      </c>
      <c r="U16" s="298">
        <v>3227</v>
      </c>
      <c r="V16" s="298">
        <v>4174</v>
      </c>
      <c r="X16" s="298">
        <f t="shared" si="12"/>
        <v>8172</v>
      </c>
      <c r="Y16" s="298">
        <f t="shared" si="13"/>
        <v>7897</v>
      </c>
      <c r="Z16" s="298">
        <f t="shared" si="14"/>
        <v>8117</v>
      </c>
      <c r="AA16" s="298">
        <f t="shared" si="15"/>
        <v>7910</v>
      </c>
      <c r="AB16" s="298">
        <f t="shared" si="16"/>
        <v>9853</v>
      </c>
      <c r="AC16" s="298">
        <f t="shared" si="17"/>
        <v>8177</v>
      </c>
      <c r="AD16" s="298">
        <f t="shared" si="18"/>
        <v>7219</v>
      </c>
      <c r="AE16" s="298">
        <f t="shared" si="19"/>
        <v>6062</v>
      </c>
      <c r="AF16" s="298">
        <f t="shared" si="20"/>
        <v>3202</v>
      </c>
      <c r="AG16" s="298">
        <f t="shared" si="21"/>
        <v>3157</v>
      </c>
      <c r="AH16" s="298">
        <f t="shared" si="22"/>
        <v>3420</v>
      </c>
      <c r="AI16" s="298">
        <f t="shared" si="23"/>
        <v>4424</v>
      </c>
      <c r="AK16" s="309"/>
      <c r="AM16" s="309"/>
    </row>
    <row r="17" spans="1:39" ht="15">
      <c r="A17" s="288">
        <v>10</v>
      </c>
      <c r="B17" s="288">
        <v>10112</v>
      </c>
      <c r="C17" s="295" t="s">
        <v>12</v>
      </c>
      <c r="D17" s="297">
        <v>61.254</v>
      </c>
      <c r="E17" s="288">
        <v>5.595</v>
      </c>
      <c r="F17" s="288" t="s">
        <v>106</v>
      </c>
      <c r="G17" s="288">
        <v>59.119</v>
      </c>
      <c r="K17" s="298">
        <v>7518</v>
      </c>
      <c r="L17" s="298">
        <v>11507</v>
      </c>
      <c r="M17" s="298">
        <v>6841</v>
      </c>
      <c r="N17" s="298">
        <v>7745</v>
      </c>
      <c r="O17" s="298">
        <v>12279</v>
      </c>
      <c r="P17" s="298">
        <v>15232</v>
      </c>
      <c r="Q17" s="298">
        <v>8247</v>
      </c>
      <c r="R17" s="298">
        <v>4324</v>
      </c>
      <c r="S17" s="298">
        <v>5531</v>
      </c>
      <c r="T17" s="298">
        <v>7349</v>
      </c>
      <c r="U17" s="298">
        <v>4744</v>
      </c>
      <c r="V17" s="298">
        <v>3493</v>
      </c>
      <c r="X17" s="298">
        <f t="shared" si="12"/>
        <v>7985</v>
      </c>
      <c r="Y17" s="298">
        <f t="shared" si="13"/>
        <v>12222</v>
      </c>
      <c r="Z17" s="298">
        <f t="shared" si="14"/>
        <v>7266</v>
      </c>
      <c r="AA17" s="298">
        <f t="shared" si="15"/>
        <v>8226</v>
      </c>
      <c r="AB17" s="298">
        <f t="shared" si="16"/>
        <v>13042</v>
      </c>
      <c r="AC17" s="298">
        <f t="shared" si="17"/>
        <v>16179</v>
      </c>
      <c r="AD17" s="298">
        <f t="shared" si="18"/>
        <v>8760</v>
      </c>
      <c r="AE17" s="298">
        <f t="shared" si="19"/>
        <v>4593</v>
      </c>
      <c r="AF17" s="298">
        <f t="shared" si="20"/>
        <v>5875</v>
      </c>
      <c r="AG17" s="298">
        <f t="shared" si="21"/>
        <v>7806</v>
      </c>
      <c r="AH17" s="298">
        <f t="shared" si="22"/>
        <v>5039</v>
      </c>
      <c r="AI17" s="298">
        <f t="shared" si="23"/>
        <v>3710</v>
      </c>
      <c r="AK17" s="309"/>
      <c r="AM17" s="309"/>
    </row>
    <row r="18" spans="1:39" ht="15">
      <c r="A18" s="288">
        <v>11</v>
      </c>
      <c r="B18" s="288">
        <v>10121</v>
      </c>
      <c r="C18" s="295" t="s">
        <v>13</v>
      </c>
      <c r="D18" s="297">
        <v>41.485</v>
      </c>
      <c r="E18" s="288">
        <v>0.095</v>
      </c>
      <c r="F18" s="288" t="s">
        <v>106</v>
      </c>
      <c r="G18" s="288">
        <v>41.485</v>
      </c>
      <c r="K18" s="298">
        <v>17621</v>
      </c>
      <c r="L18" s="298">
        <v>21923</v>
      </c>
      <c r="M18" s="298">
        <v>17514</v>
      </c>
      <c r="N18" s="298">
        <v>16184</v>
      </c>
      <c r="O18" s="298">
        <v>22440</v>
      </c>
      <c r="P18" s="298">
        <v>17474</v>
      </c>
      <c r="Q18" s="298">
        <v>23717</v>
      </c>
      <c r="R18" s="298">
        <v>12428</v>
      </c>
      <c r="S18" s="298">
        <v>6704</v>
      </c>
      <c r="T18" s="298">
        <v>2063</v>
      </c>
      <c r="U18" s="298">
        <v>4455</v>
      </c>
      <c r="V18" s="298">
        <v>8539</v>
      </c>
      <c r="X18" s="298">
        <f t="shared" si="12"/>
        <v>17661</v>
      </c>
      <c r="Y18" s="298">
        <f t="shared" si="13"/>
        <v>21973</v>
      </c>
      <c r="Z18" s="298">
        <f t="shared" si="14"/>
        <v>17554</v>
      </c>
      <c r="AA18" s="298">
        <f t="shared" si="15"/>
        <v>16221</v>
      </c>
      <c r="AB18" s="298">
        <f t="shared" si="16"/>
        <v>22492</v>
      </c>
      <c r="AC18" s="298">
        <f t="shared" si="17"/>
        <v>17514</v>
      </c>
      <c r="AD18" s="298">
        <f t="shared" si="18"/>
        <v>23771</v>
      </c>
      <c r="AE18" s="298">
        <f t="shared" si="19"/>
        <v>12457</v>
      </c>
      <c r="AF18" s="298">
        <f t="shared" si="20"/>
        <v>6719</v>
      </c>
      <c r="AG18" s="298">
        <f t="shared" si="21"/>
        <v>2068</v>
      </c>
      <c r="AH18" s="298">
        <f t="shared" si="22"/>
        <v>4465</v>
      </c>
      <c r="AI18" s="298">
        <f t="shared" si="23"/>
        <v>8559</v>
      </c>
      <c r="AK18" s="309"/>
      <c r="AM18" s="309"/>
    </row>
    <row r="19" spans="1:39" ht="15">
      <c r="A19" s="288">
        <v>12</v>
      </c>
      <c r="B19" s="288">
        <v>10378</v>
      </c>
      <c r="C19" s="295" t="s">
        <v>14</v>
      </c>
      <c r="D19" s="297">
        <v>2.055</v>
      </c>
      <c r="E19" s="288">
        <v>0.03</v>
      </c>
      <c r="F19" s="288" t="s">
        <v>106</v>
      </c>
      <c r="G19" s="288">
        <v>2.051</v>
      </c>
      <c r="K19" s="298">
        <v>982</v>
      </c>
      <c r="L19" s="298">
        <v>1178</v>
      </c>
      <c r="M19" s="298">
        <v>522</v>
      </c>
      <c r="N19" s="298">
        <v>773</v>
      </c>
      <c r="O19" s="298">
        <v>1000</v>
      </c>
      <c r="P19" s="298">
        <v>953</v>
      </c>
      <c r="Q19" s="298">
        <v>848</v>
      </c>
      <c r="R19" s="298">
        <v>426</v>
      </c>
      <c r="S19" s="298">
        <v>343</v>
      </c>
      <c r="T19" s="298">
        <v>337</v>
      </c>
      <c r="U19" s="298">
        <v>377</v>
      </c>
      <c r="V19" s="298">
        <v>189</v>
      </c>
      <c r="X19" s="298">
        <f t="shared" si="12"/>
        <v>995</v>
      </c>
      <c r="Y19" s="298">
        <f t="shared" si="13"/>
        <v>1193</v>
      </c>
      <c r="Z19" s="298">
        <f t="shared" si="14"/>
        <v>529</v>
      </c>
      <c r="AA19" s="298">
        <f t="shared" si="15"/>
        <v>783</v>
      </c>
      <c r="AB19" s="298">
        <f t="shared" si="16"/>
        <v>1013</v>
      </c>
      <c r="AC19" s="298">
        <f t="shared" si="17"/>
        <v>965</v>
      </c>
      <c r="AD19" s="298">
        <f t="shared" si="18"/>
        <v>859</v>
      </c>
      <c r="AE19" s="298">
        <f t="shared" si="19"/>
        <v>431</v>
      </c>
      <c r="AF19" s="298">
        <f t="shared" si="20"/>
        <v>347</v>
      </c>
      <c r="AG19" s="298">
        <f t="shared" si="21"/>
        <v>341</v>
      </c>
      <c r="AH19" s="298">
        <f t="shared" si="22"/>
        <v>382</v>
      </c>
      <c r="AI19" s="298">
        <f t="shared" si="23"/>
        <v>191</v>
      </c>
      <c r="AK19" s="309"/>
      <c r="AM19" s="309"/>
    </row>
    <row r="20" spans="1:39" ht="15">
      <c r="A20" s="288">
        <v>13</v>
      </c>
      <c r="B20" s="288">
        <v>10070</v>
      </c>
      <c r="C20" s="295" t="s">
        <v>16</v>
      </c>
      <c r="D20" s="297">
        <v>0.364</v>
      </c>
      <c r="E20" s="288">
        <v>0.007</v>
      </c>
      <c r="F20" s="288" t="s">
        <v>106</v>
      </c>
      <c r="G20" s="288">
        <v>0.364</v>
      </c>
      <c r="K20" s="298">
        <v>128</v>
      </c>
      <c r="L20" s="298">
        <v>159</v>
      </c>
      <c r="M20" s="298">
        <v>116</v>
      </c>
      <c r="N20" s="298">
        <v>118</v>
      </c>
      <c r="O20" s="298">
        <v>150</v>
      </c>
      <c r="P20" s="298">
        <v>134</v>
      </c>
      <c r="Q20" s="298">
        <v>145</v>
      </c>
      <c r="R20" s="298">
        <v>150</v>
      </c>
      <c r="S20" s="298">
        <v>99</v>
      </c>
      <c r="T20" s="298">
        <v>108</v>
      </c>
      <c r="U20" s="298">
        <v>111</v>
      </c>
      <c r="V20" s="298">
        <v>104</v>
      </c>
      <c r="X20" s="298">
        <f t="shared" si="12"/>
        <v>131</v>
      </c>
      <c r="Y20" s="298">
        <f t="shared" si="13"/>
        <v>162</v>
      </c>
      <c r="Z20" s="298">
        <f t="shared" si="14"/>
        <v>118</v>
      </c>
      <c r="AA20" s="298">
        <f t="shared" si="15"/>
        <v>120</v>
      </c>
      <c r="AB20" s="298">
        <f t="shared" si="16"/>
        <v>153</v>
      </c>
      <c r="AC20" s="298">
        <f t="shared" si="17"/>
        <v>137</v>
      </c>
      <c r="AD20" s="298">
        <f t="shared" si="18"/>
        <v>148</v>
      </c>
      <c r="AE20" s="298">
        <f t="shared" si="19"/>
        <v>153</v>
      </c>
      <c r="AF20" s="298">
        <f t="shared" si="20"/>
        <v>101</v>
      </c>
      <c r="AG20" s="298">
        <f t="shared" si="21"/>
        <v>110</v>
      </c>
      <c r="AH20" s="298">
        <f t="shared" si="22"/>
        <v>113</v>
      </c>
      <c r="AI20" s="298">
        <f t="shared" si="23"/>
        <v>106</v>
      </c>
      <c r="AK20" s="309"/>
      <c r="AM20" s="309"/>
    </row>
    <row r="21" spans="1:39" ht="15">
      <c r="A21" s="288">
        <v>14</v>
      </c>
      <c r="B21" s="288">
        <v>10136</v>
      </c>
      <c r="C21" s="295" t="s">
        <v>17</v>
      </c>
      <c r="D21" s="297">
        <v>19.291</v>
      </c>
      <c r="E21" s="288">
        <v>0.625</v>
      </c>
      <c r="F21" s="288" t="s">
        <v>106</v>
      </c>
      <c r="G21" s="288">
        <v>18.814</v>
      </c>
      <c r="K21" s="298">
        <v>8178</v>
      </c>
      <c r="L21" s="298">
        <v>6914</v>
      </c>
      <c r="M21" s="298">
        <v>6785</v>
      </c>
      <c r="N21" s="298">
        <v>6446</v>
      </c>
      <c r="O21" s="298">
        <v>10550</v>
      </c>
      <c r="P21" s="298">
        <v>9109</v>
      </c>
      <c r="Q21" s="298">
        <v>8628</v>
      </c>
      <c r="R21" s="298">
        <v>6231</v>
      </c>
      <c r="S21" s="298">
        <v>4100</v>
      </c>
      <c r="T21" s="298">
        <v>4404</v>
      </c>
      <c r="U21" s="298">
        <v>3224</v>
      </c>
      <c r="V21" s="298">
        <v>3788</v>
      </c>
      <c r="X21" s="298">
        <f t="shared" si="12"/>
        <v>8243</v>
      </c>
      <c r="Y21" s="298">
        <f t="shared" si="13"/>
        <v>6969</v>
      </c>
      <c r="Z21" s="298">
        <f t="shared" si="14"/>
        <v>6839</v>
      </c>
      <c r="AA21" s="298">
        <f t="shared" si="15"/>
        <v>6497</v>
      </c>
      <c r="AB21" s="298">
        <f t="shared" si="16"/>
        <v>10634</v>
      </c>
      <c r="AC21" s="298">
        <f t="shared" si="17"/>
        <v>9181</v>
      </c>
      <c r="AD21" s="298">
        <f t="shared" si="18"/>
        <v>8696</v>
      </c>
      <c r="AE21" s="298">
        <f t="shared" si="19"/>
        <v>6280</v>
      </c>
      <c r="AF21" s="298">
        <f t="shared" si="20"/>
        <v>4133</v>
      </c>
      <c r="AG21" s="298">
        <f t="shared" si="21"/>
        <v>4439</v>
      </c>
      <c r="AH21" s="298">
        <f t="shared" si="22"/>
        <v>3250</v>
      </c>
      <c r="AI21" s="298">
        <f t="shared" si="23"/>
        <v>3818</v>
      </c>
      <c r="AK21" s="309"/>
      <c r="AM21" s="309"/>
    </row>
    <row r="22" spans="1:39" ht="15">
      <c r="A22" s="288">
        <v>15</v>
      </c>
      <c r="B22" s="288">
        <v>10071</v>
      </c>
      <c r="C22" s="295" t="s">
        <v>18</v>
      </c>
      <c r="D22" s="297">
        <v>2.479</v>
      </c>
      <c r="E22" s="288">
        <v>0.59</v>
      </c>
      <c r="F22" s="288" t="s">
        <v>106</v>
      </c>
      <c r="G22" s="288">
        <v>1.943</v>
      </c>
      <c r="K22" s="298">
        <v>826</v>
      </c>
      <c r="L22" s="298">
        <v>852</v>
      </c>
      <c r="M22" s="298">
        <v>627</v>
      </c>
      <c r="N22" s="298">
        <v>658</v>
      </c>
      <c r="O22" s="298">
        <v>881</v>
      </c>
      <c r="P22" s="298">
        <v>668</v>
      </c>
      <c r="Q22" s="298">
        <v>668</v>
      </c>
      <c r="R22" s="298">
        <v>682</v>
      </c>
      <c r="S22" s="298">
        <v>371</v>
      </c>
      <c r="T22" s="298">
        <v>395</v>
      </c>
      <c r="U22" s="298">
        <v>295</v>
      </c>
      <c r="V22" s="298">
        <v>503</v>
      </c>
      <c r="X22" s="298">
        <f t="shared" si="12"/>
        <v>850</v>
      </c>
      <c r="Y22" s="298">
        <f t="shared" si="13"/>
        <v>876</v>
      </c>
      <c r="Z22" s="298">
        <f t="shared" si="14"/>
        <v>645</v>
      </c>
      <c r="AA22" s="298">
        <f t="shared" si="15"/>
        <v>677</v>
      </c>
      <c r="AB22" s="298">
        <f t="shared" si="16"/>
        <v>906</v>
      </c>
      <c r="AC22" s="298">
        <f t="shared" si="17"/>
        <v>687</v>
      </c>
      <c r="AD22" s="298">
        <f t="shared" si="18"/>
        <v>687</v>
      </c>
      <c r="AE22" s="298">
        <f t="shared" si="19"/>
        <v>701</v>
      </c>
      <c r="AF22" s="298">
        <f t="shared" si="20"/>
        <v>382</v>
      </c>
      <c r="AG22" s="298">
        <f t="shared" si="21"/>
        <v>406</v>
      </c>
      <c r="AH22" s="298">
        <f t="shared" si="22"/>
        <v>303</v>
      </c>
      <c r="AI22" s="298">
        <f t="shared" si="23"/>
        <v>517</v>
      </c>
      <c r="AK22" s="309"/>
      <c r="AM22" s="309"/>
    </row>
    <row r="23" spans="1:39" ht="15">
      <c r="A23" s="288">
        <v>16</v>
      </c>
      <c r="B23" s="288">
        <v>10072</v>
      </c>
      <c r="C23" s="295" t="s">
        <v>19</v>
      </c>
      <c r="D23" s="297">
        <v>24.34</v>
      </c>
      <c r="E23" s="288">
        <v>0.129</v>
      </c>
      <c r="F23" s="288" t="s">
        <v>106</v>
      </c>
      <c r="G23" s="288">
        <v>24.34</v>
      </c>
      <c r="K23" s="298">
        <v>4567</v>
      </c>
      <c r="L23" s="298">
        <v>5809</v>
      </c>
      <c r="M23" s="298">
        <v>3308</v>
      </c>
      <c r="N23" s="298">
        <v>3875</v>
      </c>
      <c r="O23" s="298">
        <v>3772</v>
      </c>
      <c r="P23" s="298">
        <v>4110</v>
      </c>
      <c r="Q23" s="298">
        <v>3157</v>
      </c>
      <c r="R23" s="298">
        <v>3020</v>
      </c>
      <c r="S23" s="298">
        <v>5239</v>
      </c>
      <c r="T23" s="298">
        <v>7405</v>
      </c>
      <c r="U23" s="298">
        <v>4542</v>
      </c>
      <c r="V23" s="298">
        <v>3548</v>
      </c>
      <c r="X23" s="298">
        <f t="shared" si="12"/>
        <v>4591</v>
      </c>
      <c r="Y23" s="298">
        <f t="shared" si="13"/>
        <v>5840</v>
      </c>
      <c r="Z23" s="298">
        <f t="shared" si="14"/>
        <v>3326</v>
      </c>
      <c r="AA23" s="298">
        <f t="shared" si="15"/>
        <v>3896</v>
      </c>
      <c r="AB23" s="298">
        <f t="shared" si="16"/>
        <v>3792</v>
      </c>
      <c r="AC23" s="298">
        <f t="shared" si="17"/>
        <v>4132</v>
      </c>
      <c r="AD23" s="298">
        <f t="shared" si="18"/>
        <v>3174</v>
      </c>
      <c r="AE23" s="298">
        <f t="shared" si="19"/>
        <v>3036</v>
      </c>
      <c r="AF23" s="298">
        <f t="shared" si="20"/>
        <v>5267</v>
      </c>
      <c r="AG23" s="298">
        <f t="shared" si="21"/>
        <v>7444</v>
      </c>
      <c r="AH23" s="298">
        <f t="shared" si="22"/>
        <v>4566</v>
      </c>
      <c r="AI23" s="298">
        <f t="shared" si="23"/>
        <v>3567</v>
      </c>
      <c r="AK23" s="309"/>
      <c r="AM23" s="309"/>
    </row>
    <row r="24" spans="1:39" ht="15">
      <c r="A24" s="288">
        <v>17</v>
      </c>
      <c r="B24" s="288">
        <v>10157</v>
      </c>
      <c r="C24" s="295" t="s">
        <v>20</v>
      </c>
      <c r="D24" s="297">
        <v>53.228</v>
      </c>
      <c r="E24" s="288">
        <v>2.525</v>
      </c>
      <c r="F24" s="288" t="s">
        <v>106</v>
      </c>
      <c r="G24" s="288">
        <v>50.703</v>
      </c>
      <c r="I24" s="288" t="s">
        <v>478</v>
      </c>
      <c r="K24" s="298">
        <v>14395</v>
      </c>
      <c r="L24" s="298">
        <v>18848</v>
      </c>
      <c r="M24" s="298">
        <v>16533</v>
      </c>
      <c r="N24" s="298">
        <v>15973</v>
      </c>
      <c r="O24" s="298">
        <v>32912</v>
      </c>
      <c r="P24" s="298">
        <v>18765</v>
      </c>
      <c r="Q24" s="298">
        <v>23232</v>
      </c>
      <c r="R24" s="298">
        <v>23222</v>
      </c>
      <c r="S24" s="298">
        <v>5644</v>
      </c>
      <c r="T24" s="298">
        <v>8586</v>
      </c>
      <c r="U24" s="298">
        <v>4038</v>
      </c>
      <c r="V24" s="298">
        <v>8686</v>
      </c>
      <c r="X24" s="298">
        <f t="shared" si="12"/>
        <v>14395</v>
      </c>
      <c r="Y24" s="298">
        <f t="shared" si="13"/>
        <v>18848</v>
      </c>
      <c r="Z24" s="298">
        <f t="shared" si="14"/>
        <v>16533</v>
      </c>
      <c r="AA24" s="298">
        <f t="shared" si="15"/>
        <v>15973</v>
      </c>
      <c r="AB24" s="298">
        <f t="shared" si="16"/>
        <v>32912</v>
      </c>
      <c r="AC24" s="298">
        <f t="shared" si="17"/>
        <v>18765</v>
      </c>
      <c r="AD24" s="298">
        <f t="shared" si="18"/>
        <v>23232</v>
      </c>
      <c r="AE24" s="298">
        <f t="shared" si="19"/>
        <v>23222</v>
      </c>
      <c r="AF24" s="298">
        <f t="shared" si="20"/>
        <v>5644</v>
      </c>
      <c r="AG24" s="298">
        <f t="shared" si="21"/>
        <v>8586</v>
      </c>
      <c r="AH24" s="298">
        <f t="shared" si="22"/>
        <v>4038</v>
      </c>
      <c r="AI24" s="298">
        <f t="shared" si="23"/>
        <v>8686</v>
      </c>
      <c r="AK24" s="309"/>
      <c r="AM24" s="309"/>
    </row>
    <row r="25" spans="1:39" ht="15">
      <c r="A25" s="288">
        <v>18</v>
      </c>
      <c r="B25" s="288">
        <v>10158</v>
      </c>
      <c r="C25" s="295" t="s">
        <v>21</v>
      </c>
      <c r="D25" s="297">
        <v>2.91</v>
      </c>
      <c r="E25" s="288">
        <v>0.077</v>
      </c>
      <c r="F25" s="288" t="s">
        <v>106</v>
      </c>
      <c r="G25" s="288">
        <v>2.833</v>
      </c>
      <c r="K25" s="298">
        <v>959</v>
      </c>
      <c r="L25" s="298">
        <v>1113</v>
      </c>
      <c r="M25" s="298">
        <v>538</v>
      </c>
      <c r="N25" s="298">
        <v>654</v>
      </c>
      <c r="O25" s="298">
        <v>991</v>
      </c>
      <c r="P25" s="298">
        <v>777</v>
      </c>
      <c r="Q25" s="298">
        <v>753</v>
      </c>
      <c r="R25" s="298">
        <v>314</v>
      </c>
      <c r="S25" s="298">
        <v>412</v>
      </c>
      <c r="T25" s="298">
        <v>373</v>
      </c>
      <c r="U25" s="298">
        <v>374</v>
      </c>
      <c r="V25" s="298">
        <v>589</v>
      </c>
      <c r="X25" s="298">
        <f t="shared" si="12"/>
        <v>959</v>
      </c>
      <c r="Y25" s="298">
        <f t="shared" si="13"/>
        <v>1113</v>
      </c>
      <c r="Z25" s="298">
        <f t="shared" si="14"/>
        <v>538</v>
      </c>
      <c r="AA25" s="298">
        <f t="shared" si="15"/>
        <v>654</v>
      </c>
      <c r="AB25" s="298">
        <f t="shared" si="16"/>
        <v>991</v>
      </c>
      <c r="AC25" s="298">
        <f t="shared" si="17"/>
        <v>777</v>
      </c>
      <c r="AD25" s="298">
        <f t="shared" si="18"/>
        <v>753</v>
      </c>
      <c r="AE25" s="298">
        <f t="shared" si="19"/>
        <v>314</v>
      </c>
      <c r="AF25" s="298">
        <f t="shared" si="20"/>
        <v>412</v>
      </c>
      <c r="AG25" s="298">
        <f t="shared" si="21"/>
        <v>373</v>
      </c>
      <c r="AH25" s="298">
        <f t="shared" si="22"/>
        <v>374</v>
      </c>
      <c r="AI25" s="298">
        <f t="shared" si="23"/>
        <v>589</v>
      </c>
      <c r="AK25" s="309"/>
      <c r="AM25" s="309"/>
    </row>
    <row r="26" spans="1:39" ht="15">
      <c r="A26" s="288">
        <v>19</v>
      </c>
      <c r="B26" s="288">
        <v>10170</v>
      </c>
      <c r="C26" s="295" t="s">
        <v>480</v>
      </c>
      <c r="D26" s="297">
        <v>254.843</v>
      </c>
      <c r="E26" s="288">
        <v>4.482</v>
      </c>
      <c r="F26" s="288" t="s">
        <v>106</v>
      </c>
      <c r="G26" s="288">
        <v>254.843</v>
      </c>
      <c r="I26" s="288" t="s">
        <v>478</v>
      </c>
      <c r="K26" s="298">
        <v>66565</v>
      </c>
      <c r="L26" s="298">
        <v>54613</v>
      </c>
      <c r="M26" s="298">
        <v>50749</v>
      </c>
      <c r="N26" s="298">
        <v>76412</v>
      </c>
      <c r="O26" s="298">
        <v>84738</v>
      </c>
      <c r="P26" s="298">
        <v>62524</v>
      </c>
      <c r="Q26" s="298">
        <v>58046</v>
      </c>
      <c r="R26" s="298">
        <v>34916</v>
      </c>
      <c r="S26" s="298">
        <v>29959</v>
      </c>
      <c r="T26" s="298">
        <v>51718</v>
      </c>
      <c r="U26" s="298">
        <v>31428</v>
      </c>
      <c r="V26" s="298">
        <v>28889</v>
      </c>
      <c r="X26" s="298">
        <f t="shared" si="12"/>
        <v>67757</v>
      </c>
      <c r="Y26" s="298">
        <f t="shared" si="13"/>
        <v>55591</v>
      </c>
      <c r="Z26" s="298">
        <f t="shared" si="14"/>
        <v>51658</v>
      </c>
      <c r="AA26" s="298">
        <f t="shared" si="15"/>
        <v>77780</v>
      </c>
      <c r="AB26" s="298">
        <f t="shared" si="16"/>
        <v>86255</v>
      </c>
      <c r="AC26" s="298">
        <f t="shared" si="17"/>
        <v>63643</v>
      </c>
      <c r="AD26" s="298">
        <f t="shared" si="18"/>
        <v>59085</v>
      </c>
      <c r="AE26" s="298">
        <f t="shared" si="19"/>
        <v>35541</v>
      </c>
      <c r="AF26" s="298">
        <f t="shared" si="20"/>
        <v>30495</v>
      </c>
      <c r="AG26" s="298">
        <f t="shared" si="21"/>
        <v>52644</v>
      </c>
      <c r="AH26" s="298">
        <f t="shared" si="22"/>
        <v>31991</v>
      </c>
      <c r="AI26" s="298">
        <f t="shared" si="23"/>
        <v>29406</v>
      </c>
      <c r="AK26" s="309"/>
      <c r="AM26" s="309"/>
    </row>
    <row r="27" spans="1:39" ht="15">
      <c r="A27" s="288">
        <v>20</v>
      </c>
      <c r="B27" s="288">
        <v>10172</v>
      </c>
      <c r="C27" s="295" t="s">
        <v>23</v>
      </c>
      <c r="D27" s="297">
        <v>7.402</v>
      </c>
      <c r="E27" s="288">
        <v>1.209</v>
      </c>
      <c r="F27" s="288" t="s">
        <v>106</v>
      </c>
      <c r="G27" s="288">
        <v>6.193</v>
      </c>
      <c r="K27" s="298">
        <v>472</v>
      </c>
      <c r="L27" s="298">
        <v>539</v>
      </c>
      <c r="M27" s="298">
        <v>349</v>
      </c>
      <c r="N27" s="298">
        <v>280</v>
      </c>
      <c r="O27" s="298">
        <v>461</v>
      </c>
      <c r="P27" s="298">
        <v>410</v>
      </c>
      <c r="Q27" s="298">
        <v>574</v>
      </c>
      <c r="R27" s="298">
        <v>1078</v>
      </c>
      <c r="S27" s="298">
        <v>1580</v>
      </c>
      <c r="T27" s="298">
        <v>1323</v>
      </c>
      <c r="U27" s="298">
        <v>1372</v>
      </c>
      <c r="V27" s="298">
        <v>1300</v>
      </c>
      <c r="X27" s="298">
        <f t="shared" si="12"/>
        <v>472</v>
      </c>
      <c r="Y27" s="298">
        <f t="shared" si="13"/>
        <v>539</v>
      </c>
      <c r="Z27" s="298">
        <f t="shared" si="14"/>
        <v>349</v>
      </c>
      <c r="AA27" s="298">
        <f t="shared" si="15"/>
        <v>280</v>
      </c>
      <c r="AB27" s="298">
        <f t="shared" si="16"/>
        <v>461</v>
      </c>
      <c r="AC27" s="298">
        <f t="shared" si="17"/>
        <v>410</v>
      </c>
      <c r="AD27" s="298">
        <f t="shared" si="18"/>
        <v>574</v>
      </c>
      <c r="AE27" s="298">
        <f t="shared" si="19"/>
        <v>1078</v>
      </c>
      <c r="AF27" s="298">
        <f t="shared" si="20"/>
        <v>1580</v>
      </c>
      <c r="AG27" s="298">
        <f t="shared" si="21"/>
        <v>1323</v>
      </c>
      <c r="AH27" s="298">
        <f t="shared" si="22"/>
        <v>1372</v>
      </c>
      <c r="AI27" s="298">
        <f t="shared" si="23"/>
        <v>1300</v>
      </c>
      <c r="AK27" s="309"/>
      <c r="AM27" s="309"/>
    </row>
    <row r="28" spans="1:39" ht="15">
      <c r="A28" s="288">
        <v>21</v>
      </c>
      <c r="B28" s="288">
        <v>10179</v>
      </c>
      <c r="C28" s="295" t="s">
        <v>24</v>
      </c>
      <c r="D28" s="297">
        <v>169.311</v>
      </c>
      <c r="E28" s="288">
        <v>4.194</v>
      </c>
      <c r="F28" s="288" t="s">
        <v>106</v>
      </c>
      <c r="G28" s="288">
        <v>169.311</v>
      </c>
      <c r="K28" s="298">
        <v>27779</v>
      </c>
      <c r="L28" s="298">
        <v>36922</v>
      </c>
      <c r="M28" s="298">
        <v>32759</v>
      </c>
      <c r="N28" s="298">
        <v>26217</v>
      </c>
      <c r="O28" s="298">
        <v>38850</v>
      </c>
      <c r="P28" s="298">
        <v>29329</v>
      </c>
      <c r="Q28" s="298">
        <v>23985</v>
      </c>
      <c r="R28" s="298">
        <v>14823</v>
      </c>
      <c r="S28" s="298">
        <v>8913</v>
      </c>
      <c r="T28" s="298">
        <v>11621</v>
      </c>
      <c r="U28" s="298">
        <v>12148</v>
      </c>
      <c r="V28" s="298">
        <v>14708</v>
      </c>
      <c r="X28" s="298">
        <f t="shared" si="12"/>
        <v>28485</v>
      </c>
      <c r="Y28" s="298">
        <f t="shared" si="13"/>
        <v>37860</v>
      </c>
      <c r="Z28" s="298">
        <f t="shared" si="14"/>
        <v>33591</v>
      </c>
      <c r="AA28" s="298">
        <f t="shared" si="15"/>
        <v>26883</v>
      </c>
      <c r="AB28" s="298">
        <f t="shared" si="16"/>
        <v>39837</v>
      </c>
      <c r="AC28" s="298">
        <f t="shared" si="17"/>
        <v>30074</v>
      </c>
      <c r="AD28" s="298">
        <f t="shared" si="18"/>
        <v>24594</v>
      </c>
      <c r="AE28" s="298">
        <f t="shared" si="19"/>
        <v>15200</v>
      </c>
      <c r="AF28" s="298">
        <f t="shared" si="20"/>
        <v>9139</v>
      </c>
      <c r="AG28" s="298">
        <f t="shared" si="21"/>
        <v>11916</v>
      </c>
      <c r="AH28" s="298">
        <f t="shared" si="22"/>
        <v>12457</v>
      </c>
      <c r="AI28" s="298">
        <f t="shared" si="23"/>
        <v>15082</v>
      </c>
      <c r="AK28" s="309"/>
      <c r="AM28" s="309"/>
    </row>
    <row r="29" spans="1:39" ht="15">
      <c r="A29" s="288">
        <v>22</v>
      </c>
      <c r="B29" s="288">
        <v>10074</v>
      </c>
      <c r="C29" s="295" t="s">
        <v>25</v>
      </c>
      <c r="D29" s="297">
        <v>27.275</v>
      </c>
      <c r="E29" s="288">
        <v>1.731</v>
      </c>
      <c r="F29" s="288" t="s">
        <v>106</v>
      </c>
      <c r="G29" s="288">
        <v>27.08</v>
      </c>
      <c r="K29" s="298">
        <v>6976</v>
      </c>
      <c r="L29" s="298">
        <v>7600</v>
      </c>
      <c r="M29" s="298">
        <v>7257</v>
      </c>
      <c r="N29" s="298">
        <v>7479</v>
      </c>
      <c r="O29" s="298">
        <v>9349</v>
      </c>
      <c r="P29" s="298">
        <v>7003</v>
      </c>
      <c r="Q29" s="298">
        <v>8155</v>
      </c>
      <c r="R29" s="298">
        <v>4570</v>
      </c>
      <c r="S29" s="298">
        <v>4180</v>
      </c>
      <c r="T29" s="298">
        <v>5756</v>
      </c>
      <c r="U29" s="298">
        <v>4406</v>
      </c>
      <c r="V29" s="298">
        <v>2902</v>
      </c>
      <c r="X29" s="298">
        <f t="shared" si="12"/>
        <v>7395</v>
      </c>
      <c r="Y29" s="298">
        <f t="shared" si="13"/>
        <v>8057</v>
      </c>
      <c r="Z29" s="298">
        <f t="shared" si="14"/>
        <v>7693</v>
      </c>
      <c r="AA29" s="298">
        <f t="shared" si="15"/>
        <v>7929</v>
      </c>
      <c r="AB29" s="298">
        <f t="shared" si="16"/>
        <v>9911</v>
      </c>
      <c r="AC29" s="298">
        <f t="shared" si="17"/>
        <v>7424</v>
      </c>
      <c r="AD29" s="298">
        <f t="shared" si="18"/>
        <v>8645</v>
      </c>
      <c r="AE29" s="298">
        <f t="shared" si="19"/>
        <v>4845</v>
      </c>
      <c r="AF29" s="298">
        <f t="shared" si="20"/>
        <v>4431</v>
      </c>
      <c r="AG29" s="298">
        <f t="shared" si="21"/>
        <v>6102</v>
      </c>
      <c r="AH29" s="298">
        <f t="shared" si="22"/>
        <v>4671</v>
      </c>
      <c r="AI29" s="298">
        <f t="shared" si="23"/>
        <v>3077</v>
      </c>
      <c r="AK29" s="309"/>
      <c r="AM29" s="309"/>
    </row>
    <row r="30" spans="1:39" ht="15">
      <c r="A30" s="288">
        <v>23</v>
      </c>
      <c r="B30" s="288">
        <v>10191</v>
      </c>
      <c r="C30" s="295" t="s">
        <v>27</v>
      </c>
      <c r="D30" s="297">
        <v>133.174</v>
      </c>
      <c r="E30" s="288">
        <v>4.535</v>
      </c>
      <c r="F30" s="288" t="s">
        <v>106</v>
      </c>
      <c r="G30" s="288">
        <v>133.174</v>
      </c>
      <c r="I30" s="288" t="s">
        <v>478</v>
      </c>
      <c r="K30" s="298">
        <v>34368</v>
      </c>
      <c r="L30" s="298">
        <v>38889</v>
      </c>
      <c r="M30" s="298">
        <v>22201</v>
      </c>
      <c r="N30" s="298">
        <v>30020</v>
      </c>
      <c r="O30" s="298">
        <v>35986</v>
      </c>
      <c r="P30" s="298">
        <v>28759</v>
      </c>
      <c r="Q30" s="298">
        <v>32630</v>
      </c>
      <c r="R30" s="298">
        <v>21401</v>
      </c>
      <c r="S30" s="298">
        <v>7927</v>
      </c>
      <c r="T30" s="298">
        <v>2819</v>
      </c>
      <c r="U30" s="298">
        <v>2867</v>
      </c>
      <c r="V30" s="298">
        <v>13521</v>
      </c>
      <c r="X30" s="298">
        <f t="shared" si="12"/>
        <v>35580</v>
      </c>
      <c r="Y30" s="298">
        <f t="shared" si="13"/>
        <v>40260</v>
      </c>
      <c r="Z30" s="298">
        <f t="shared" si="14"/>
        <v>22984</v>
      </c>
      <c r="AA30" s="298">
        <f t="shared" si="15"/>
        <v>31078</v>
      </c>
      <c r="AB30" s="298">
        <f t="shared" si="16"/>
        <v>37255</v>
      </c>
      <c r="AC30" s="298">
        <f t="shared" si="17"/>
        <v>29773</v>
      </c>
      <c r="AD30" s="298">
        <f t="shared" si="18"/>
        <v>33780</v>
      </c>
      <c r="AE30" s="298">
        <f t="shared" si="19"/>
        <v>22155</v>
      </c>
      <c r="AF30" s="298">
        <f t="shared" si="20"/>
        <v>8206</v>
      </c>
      <c r="AG30" s="298">
        <f t="shared" si="21"/>
        <v>2918</v>
      </c>
      <c r="AH30" s="298">
        <f t="shared" si="22"/>
        <v>2968</v>
      </c>
      <c r="AI30" s="298">
        <f t="shared" si="23"/>
        <v>13998</v>
      </c>
      <c r="AK30" s="309"/>
      <c r="AM30" s="309"/>
    </row>
    <row r="31" spans="1:39" ht="15">
      <c r="A31" s="288">
        <v>24</v>
      </c>
      <c r="B31" s="288">
        <v>10235</v>
      </c>
      <c r="C31" s="295" t="s">
        <v>30</v>
      </c>
      <c r="D31" s="297">
        <v>33.839</v>
      </c>
      <c r="E31" s="288">
        <v>0.232</v>
      </c>
      <c r="F31" s="288" t="s">
        <v>106</v>
      </c>
      <c r="G31" s="288">
        <v>33.607</v>
      </c>
      <c r="K31" s="298">
        <v>6102</v>
      </c>
      <c r="L31" s="298">
        <v>8816</v>
      </c>
      <c r="M31" s="298">
        <v>4990</v>
      </c>
      <c r="N31" s="298">
        <v>6165</v>
      </c>
      <c r="O31" s="298">
        <v>6987</v>
      </c>
      <c r="P31" s="298">
        <v>5499</v>
      </c>
      <c r="Q31" s="298">
        <v>5438</v>
      </c>
      <c r="R31" s="298">
        <v>2864</v>
      </c>
      <c r="S31" s="298">
        <v>2825</v>
      </c>
      <c r="T31" s="298">
        <v>4576</v>
      </c>
      <c r="U31" s="298">
        <v>3084</v>
      </c>
      <c r="V31" s="298">
        <v>1854</v>
      </c>
      <c r="X31" s="298">
        <f t="shared" si="12"/>
        <v>6102</v>
      </c>
      <c r="Y31" s="298">
        <f t="shared" si="13"/>
        <v>8816</v>
      </c>
      <c r="Z31" s="298">
        <f t="shared" si="14"/>
        <v>4990</v>
      </c>
      <c r="AA31" s="298">
        <f t="shared" si="15"/>
        <v>6165</v>
      </c>
      <c r="AB31" s="298">
        <f t="shared" si="16"/>
        <v>6987</v>
      </c>
      <c r="AC31" s="298">
        <f t="shared" si="17"/>
        <v>5499</v>
      </c>
      <c r="AD31" s="298">
        <f t="shared" si="18"/>
        <v>5438</v>
      </c>
      <c r="AE31" s="298">
        <f t="shared" si="19"/>
        <v>2864</v>
      </c>
      <c r="AF31" s="298">
        <f t="shared" si="20"/>
        <v>2825</v>
      </c>
      <c r="AG31" s="298">
        <f t="shared" si="21"/>
        <v>4576</v>
      </c>
      <c r="AH31" s="298">
        <f t="shared" si="22"/>
        <v>3084</v>
      </c>
      <c r="AI31" s="298">
        <f t="shared" si="23"/>
        <v>1854</v>
      </c>
      <c r="AK31" s="309"/>
      <c r="AM31" s="309"/>
    </row>
    <row r="32" spans="1:39" ht="15">
      <c r="A32" s="288">
        <v>25</v>
      </c>
      <c r="B32" s="288">
        <v>10239</v>
      </c>
      <c r="C32" s="295" t="s">
        <v>32</v>
      </c>
      <c r="D32" s="297">
        <v>14.789</v>
      </c>
      <c r="E32" s="288">
        <v>0.611</v>
      </c>
      <c r="F32" s="288" t="s">
        <v>106</v>
      </c>
      <c r="G32" s="288">
        <v>14.209</v>
      </c>
      <c r="K32" s="298">
        <v>5240</v>
      </c>
      <c r="L32" s="298">
        <v>5219</v>
      </c>
      <c r="M32" s="298">
        <v>4184</v>
      </c>
      <c r="N32" s="298">
        <v>5910</v>
      </c>
      <c r="O32" s="298">
        <v>5934</v>
      </c>
      <c r="P32" s="298">
        <v>5760</v>
      </c>
      <c r="Q32" s="298">
        <v>4295</v>
      </c>
      <c r="R32" s="298">
        <v>3766</v>
      </c>
      <c r="S32" s="298">
        <v>2087</v>
      </c>
      <c r="T32" s="298">
        <v>1145</v>
      </c>
      <c r="U32" s="298">
        <v>1001</v>
      </c>
      <c r="V32" s="298">
        <v>3799</v>
      </c>
      <c r="X32" s="298">
        <f t="shared" si="12"/>
        <v>5251</v>
      </c>
      <c r="Y32" s="298">
        <f t="shared" si="13"/>
        <v>5230</v>
      </c>
      <c r="Z32" s="298">
        <f t="shared" si="14"/>
        <v>4193</v>
      </c>
      <c r="AA32" s="298">
        <f t="shared" si="15"/>
        <v>5923</v>
      </c>
      <c r="AB32" s="298">
        <f t="shared" si="16"/>
        <v>5947</v>
      </c>
      <c r="AC32" s="298">
        <f t="shared" si="17"/>
        <v>5773</v>
      </c>
      <c r="AD32" s="298">
        <f t="shared" si="18"/>
        <v>4304</v>
      </c>
      <c r="AE32" s="298">
        <f t="shared" si="19"/>
        <v>3774</v>
      </c>
      <c r="AF32" s="298">
        <f t="shared" si="20"/>
        <v>2092</v>
      </c>
      <c r="AG32" s="298">
        <f t="shared" si="21"/>
        <v>1148</v>
      </c>
      <c r="AH32" s="298">
        <f t="shared" si="22"/>
        <v>1003</v>
      </c>
      <c r="AI32" s="298">
        <f t="shared" si="23"/>
        <v>3807</v>
      </c>
      <c r="AK32" s="309"/>
      <c r="AM32" s="309"/>
    </row>
    <row r="33" spans="1:39" ht="15">
      <c r="A33" s="288">
        <v>26</v>
      </c>
      <c r="B33" s="288">
        <v>10246</v>
      </c>
      <c r="C33" s="295" t="s">
        <v>33</v>
      </c>
      <c r="D33" s="297">
        <v>9.121</v>
      </c>
      <c r="E33" s="288">
        <v>0.003</v>
      </c>
      <c r="F33" s="288" t="s">
        <v>106</v>
      </c>
      <c r="G33" s="288">
        <v>9.121</v>
      </c>
      <c r="K33" s="298">
        <v>4144</v>
      </c>
      <c r="L33" s="298">
        <v>4369</v>
      </c>
      <c r="M33" s="298">
        <v>2697</v>
      </c>
      <c r="N33" s="298">
        <v>3548</v>
      </c>
      <c r="O33" s="298">
        <v>4208</v>
      </c>
      <c r="P33" s="298">
        <v>3539</v>
      </c>
      <c r="Q33" s="298">
        <v>3804</v>
      </c>
      <c r="R33" s="298">
        <v>2762</v>
      </c>
      <c r="S33" s="298">
        <v>870</v>
      </c>
      <c r="T33" s="298">
        <v>1236</v>
      </c>
      <c r="U33" s="298">
        <v>579</v>
      </c>
      <c r="V33" s="298">
        <v>2149</v>
      </c>
      <c r="X33" s="298">
        <f t="shared" si="12"/>
        <v>4145</v>
      </c>
      <c r="Y33" s="298">
        <f t="shared" si="13"/>
        <v>4370</v>
      </c>
      <c r="Z33" s="298">
        <f t="shared" si="14"/>
        <v>2698</v>
      </c>
      <c r="AA33" s="298">
        <f t="shared" si="15"/>
        <v>3549</v>
      </c>
      <c r="AB33" s="298">
        <f t="shared" si="16"/>
        <v>4209</v>
      </c>
      <c r="AC33" s="298">
        <f t="shared" si="17"/>
        <v>3540</v>
      </c>
      <c r="AD33" s="298">
        <f t="shared" si="18"/>
        <v>3805</v>
      </c>
      <c r="AE33" s="298">
        <f t="shared" si="19"/>
        <v>2763</v>
      </c>
      <c r="AF33" s="298">
        <f t="shared" si="20"/>
        <v>870</v>
      </c>
      <c r="AG33" s="298">
        <f t="shared" si="21"/>
        <v>1236</v>
      </c>
      <c r="AH33" s="298">
        <f t="shared" si="22"/>
        <v>579</v>
      </c>
      <c r="AI33" s="298">
        <f t="shared" si="23"/>
        <v>2150</v>
      </c>
      <c r="AK33" s="309"/>
      <c r="AM33" s="309"/>
    </row>
    <row r="34" spans="1:39" ht="15">
      <c r="A34" s="288">
        <v>27</v>
      </c>
      <c r="B34" s="288">
        <v>10247</v>
      </c>
      <c r="C34" s="295" t="s">
        <v>34</v>
      </c>
      <c r="D34" s="297">
        <v>81.121</v>
      </c>
      <c r="E34" s="288">
        <v>0.192</v>
      </c>
      <c r="F34" s="288" t="s">
        <v>106</v>
      </c>
      <c r="G34" s="288">
        <v>81.121</v>
      </c>
      <c r="K34" s="298">
        <v>32082</v>
      </c>
      <c r="L34" s="298">
        <v>32067</v>
      </c>
      <c r="M34" s="298">
        <v>19192</v>
      </c>
      <c r="N34" s="298">
        <v>26062</v>
      </c>
      <c r="O34" s="298">
        <v>30548</v>
      </c>
      <c r="P34" s="298">
        <v>28336</v>
      </c>
      <c r="Q34" s="298">
        <v>29491</v>
      </c>
      <c r="R34" s="298">
        <v>20874</v>
      </c>
      <c r="S34" s="298">
        <v>7129</v>
      </c>
      <c r="T34" s="298">
        <v>5819</v>
      </c>
      <c r="U34" s="298">
        <v>1813</v>
      </c>
      <c r="V34" s="298">
        <v>13366</v>
      </c>
      <c r="X34" s="298">
        <f t="shared" si="12"/>
        <v>32158</v>
      </c>
      <c r="Y34" s="298">
        <f t="shared" si="13"/>
        <v>32143</v>
      </c>
      <c r="Z34" s="298">
        <f t="shared" si="14"/>
        <v>19238</v>
      </c>
      <c r="AA34" s="298">
        <f t="shared" si="15"/>
        <v>26124</v>
      </c>
      <c r="AB34" s="298">
        <f t="shared" si="16"/>
        <v>30620</v>
      </c>
      <c r="AC34" s="298">
        <f t="shared" si="17"/>
        <v>28403</v>
      </c>
      <c r="AD34" s="298">
        <f t="shared" si="18"/>
        <v>29561</v>
      </c>
      <c r="AE34" s="298">
        <f t="shared" si="19"/>
        <v>20924</v>
      </c>
      <c r="AF34" s="298">
        <f t="shared" si="20"/>
        <v>7146</v>
      </c>
      <c r="AG34" s="298">
        <f t="shared" si="21"/>
        <v>5833</v>
      </c>
      <c r="AH34" s="298">
        <f t="shared" si="22"/>
        <v>1817</v>
      </c>
      <c r="AI34" s="298">
        <f t="shared" si="23"/>
        <v>13398</v>
      </c>
      <c r="AK34" s="309"/>
      <c r="AM34" s="309"/>
    </row>
    <row r="35" spans="1:39" ht="15">
      <c r="A35" s="288">
        <v>28</v>
      </c>
      <c r="B35" s="288">
        <v>10078</v>
      </c>
      <c r="C35" s="295" t="s">
        <v>35</v>
      </c>
      <c r="D35" s="297">
        <v>4.236</v>
      </c>
      <c r="E35" s="288">
        <v>0.463</v>
      </c>
      <c r="F35" s="288" t="s">
        <v>106</v>
      </c>
      <c r="G35" s="288">
        <v>3.7729999999999997</v>
      </c>
      <c r="K35" s="298">
        <v>1262</v>
      </c>
      <c r="L35" s="298">
        <v>1089</v>
      </c>
      <c r="M35" s="298">
        <v>1150</v>
      </c>
      <c r="N35" s="298">
        <v>974</v>
      </c>
      <c r="O35" s="298">
        <v>1653</v>
      </c>
      <c r="P35" s="298">
        <v>1434</v>
      </c>
      <c r="Q35" s="298">
        <v>1044</v>
      </c>
      <c r="R35" s="298">
        <v>980</v>
      </c>
      <c r="S35" s="298">
        <v>766</v>
      </c>
      <c r="T35" s="298">
        <v>895</v>
      </c>
      <c r="U35" s="298">
        <v>285</v>
      </c>
      <c r="V35" s="298">
        <v>946</v>
      </c>
      <c r="X35" s="298">
        <f t="shared" si="12"/>
        <v>1262</v>
      </c>
      <c r="Y35" s="298">
        <f t="shared" si="13"/>
        <v>1089</v>
      </c>
      <c r="Z35" s="298">
        <f t="shared" si="14"/>
        <v>1150</v>
      </c>
      <c r="AA35" s="298">
        <f t="shared" si="15"/>
        <v>974</v>
      </c>
      <c r="AB35" s="298">
        <f t="shared" si="16"/>
        <v>1653</v>
      </c>
      <c r="AC35" s="298">
        <f t="shared" si="17"/>
        <v>1434</v>
      </c>
      <c r="AD35" s="298">
        <f t="shared" si="18"/>
        <v>1044</v>
      </c>
      <c r="AE35" s="298">
        <f t="shared" si="19"/>
        <v>980</v>
      </c>
      <c r="AF35" s="298">
        <f t="shared" si="20"/>
        <v>766</v>
      </c>
      <c r="AG35" s="298">
        <f t="shared" si="21"/>
        <v>895</v>
      </c>
      <c r="AH35" s="298">
        <f t="shared" si="22"/>
        <v>285</v>
      </c>
      <c r="AI35" s="298">
        <f t="shared" si="23"/>
        <v>946</v>
      </c>
      <c r="AK35" s="309"/>
      <c r="AM35" s="309"/>
    </row>
    <row r="36" spans="1:39" ht="15">
      <c r="A36" s="288">
        <v>29</v>
      </c>
      <c r="B36" s="288">
        <v>10081</v>
      </c>
      <c r="C36" s="295" t="s">
        <v>37</v>
      </c>
      <c r="D36" s="297">
        <v>10.698</v>
      </c>
      <c r="E36" s="288">
        <v>0.099</v>
      </c>
      <c r="F36" s="288" t="s">
        <v>106</v>
      </c>
      <c r="G36" s="288">
        <v>10.611</v>
      </c>
      <c r="K36" s="298">
        <v>5117</v>
      </c>
      <c r="L36" s="298">
        <v>5495</v>
      </c>
      <c r="M36" s="298">
        <v>3659</v>
      </c>
      <c r="N36" s="298">
        <v>5604</v>
      </c>
      <c r="O36" s="298">
        <v>6206</v>
      </c>
      <c r="P36" s="298">
        <v>4615</v>
      </c>
      <c r="Q36" s="298">
        <v>5207</v>
      </c>
      <c r="R36" s="298">
        <v>2546</v>
      </c>
      <c r="S36" s="298">
        <v>3701</v>
      </c>
      <c r="T36" s="298">
        <v>2928</v>
      </c>
      <c r="U36" s="298">
        <v>3522</v>
      </c>
      <c r="V36" s="298">
        <v>2393</v>
      </c>
      <c r="X36" s="298">
        <f t="shared" si="12"/>
        <v>5123</v>
      </c>
      <c r="Y36" s="298">
        <f t="shared" si="13"/>
        <v>5501</v>
      </c>
      <c r="Z36" s="298">
        <f t="shared" si="14"/>
        <v>3663</v>
      </c>
      <c r="AA36" s="298">
        <f t="shared" si="15"/>
        <v>5610</v>
      </c>
      <c r="AB36" s="298">
        <f t="shared" si="16"/>
        <v>6213</v>
      </c>
      <c r="AC36" s="298">
        <f t="shared" si="17"/>
        <v>4620</v>
      </c>
      <c r="AD36" s="298">
        <f t="shared" si="18"/>
        <v>5213</v>
      </c>
      <c r="AE36" s="298">
        <f t="shared" si="19"/>
        <v>2549</v>
      </c>
      <c r="AF36" s="298">
        <f t="shared" si="20"/>
        <v>3705</v>
      </c>
      <c r="AG36" s="298">
        <f t="shared" si="21"/>
        <v>2931</v>
      </c>
      <c r="AH36" s="298">
        <f t="shared" si="22"/>
        <v>3526</v>
      </c>
      <c r="AI36" s="298">
        <f t="shared" si="23"/>
        <v>2396</v>
      </c>
      <c r="AK36" s="309"/>
      <c r="AM36" s="309"/>
    </row>
    <row r="37" spans="1:39" ht="15">
      <c r="A37" s="288">
        <v>30</v>
      </c>
      <c r="B37" s="288">
        <v>10258</v>
      </c>
      <c r="C37" s="295" t="s">
        <v>481</v>
      </c>
      <c r="D37" s="297">
        <v>38.518</v>
      </c>
      <c r="E37" s="288">
        <v>0.404</v>
      </c>
      <c r="F37" s="288" t="s">
        <v>106</v>
      </c>
      <c r="G37" s="288">
        <v>38.518</v>
      </c>
      <c r="K37" s="298">
        <v>14718</v>
      </c>
      <c r="L37" s="298">
        <v>15866</v>
      </c>
      <c r="M37" s="298">
        <v>13172</v>
      </c>
      <c r="N37" s="298">
        <v>14802</v>
      </c>
      <c r="O37" s="298">
        <v>19072</v>
      </c>
      <c r="P37" s="298">
        <v>14968</v>
      </c>
      <c r="Q37" s="298">
        <v>14339</v>
      </c>
      <c r="R37" s="298">
        <v>13876</v>
      </c>
      <c r="S37" s="298">
        <v>5240</v>
      </c>
      <c r="T37" s="298">
        <v>2885</v>
      </c>
      <c r="U37" s="298">
        <v>3705</v>
      </c>
      <c r="V37" s="298">
        <v>6413</v>
      </c>
      <c r="X37" s="298">
        <f t="shared" si="12"/>
        <v>14874</v>
      </c>
      <c r="Y37" s="298">
        <f t="shared" si="13"/>
        <v>16034</v>
      </c>
      <c r="Z37" s="298">
        <f t="shared" si="14"/>
        <v>13312</v>
      </c>
      <c r="AA37" s="298">
        <f t="shared" si="15"/>
        <v>14959</v>
      </c>
      <c r="AB37" s="298">
        <f t="shared" si="16"/>
        <v>19274</v>
      </c>
      <c r="AC37" s="298">
        <f t="shared" si="17"/>
        <v>15127</v>
      </c>
      <c r="AD37" s="298">
        <f t="shared" si="18"/>
        <v>14491</v>
      </c>
      <c r="AE37" s="298">
        <f t="shared" si="19"/>
        <v>14023</v>
      </c>
      <c r="AF37" s="298">
        <f t="shared" si="20"/>
        <v>5296</v>
      </c>
      <c r="AG37" s="298">
        <f t="shared" si="21"/>
        <v>2916</v>
      </c>
      <c r="AH37" s="298">
        <f t="shared" si="22"/>
        <v>3744</v>
      </c>
      <c r="AI37" s="298">
        <f t="shared" si="23"/>
        <v>6481</v>
      </c>
      <c r="AK37" s="309"/>
      <c r="AM37" s="309"/>
    </row>
    <row r="38" spans="1:39" ht="15">
      <c r="A38" s="288">
        <v>31</v>
      </c>
      <c r="B38" s="288">
        <v>10286</v>
      </c>
      <c r="C38" s="295" t="s">
        <v>482</v>
      </c>
      <c r="D38" s="297">
        <v>49.678</v>
      </c>
      <c r="E38" s="288">
        <v>3.758</v>
      </c>
      <c r="F38" s="288" t="s">
        <v>106</v>
      </c>
      <c r="G38" s="288">
        <v>46.596</v>
      </c>
      <c r="I38" s="288" t="s">
        <v>478</v>
      </c>
      <c r="K38" s="298">
        <v>33604</v>
      </c>
      <c r="L38" s="298">
        <v>31227</v>
      </c>
      <c r="M38" s="298">
        <v>20658</v>
      </c>
      <c r="N38" s="298">
        <v>30484</v>
      </c>
      <c r="O38" s="298">
        <v>30303</v>
      </c>
      <c r="P38" s="298">
        <v>32098</v>
      </c>
      <c r="Q38" s="298">
        <v>26071</v>
      </c>
      <c r="R38" s="298">
        <v>14448</v>
      </c>
      <c r="S38" s="298">
        <v>11661</v>
      </c>
      <c r="T38" s="298">
        <v>11797</v>
      </c>
      <c r="U38" s="298">
        <v>9724</v>
      </c>
      <c r="V38" s="298">
        <v>10029</v>
      </c>
      <c r="X38" s="298">
        <f t="shared" si="12"/>
        <v>34099</v>
      </c>
      <c r="Y38" s="298">
        <f t="shared" si="13"/>
        <v>31687</v>
      </c>
      <c r="Z38" s="298">
        <f t="shared" si="14"/>
        <v>20962</v>
      </c>
      <c r="AA38" s="298">
        <f t="shared" si="15"/>
        <v>30933</v>
      </c>
      <c r="AB38" s="298">
        <f t="shared" si="16"/>
        <v>30749</v>
      </c>
      <c r="AC38" s="298">
        <f t="shared" si="17"/>
        <v>32571</v>
      </c>
      <c r="AD38" s="298">
        <f t="shared" si="18"/>
        <v>26455</v>
      </c>
      <c r="AE38" s="298">
        <f t="shared" si="19"/>
        <v>14661</v>
      </c>
      <c r="AF38" s="298">
        <f t="shared" si="20"/>
        <v>11833</v>
      </c>
      <c r="AG38" s="298">
        <f t="shared" si="21"/>
        <v>11971</v>
      </c>
      <c r="AH38" s="298">
        <f t="shared" si="22"/>
        <v>9867</v>
      </c>
      <c r="AI38" s="298">
        <f t="shared" si="23"/>
        <v>10177</v>
      </c>
      <c r="AK38" s="309"/>
      <c r="AM38" s="309"/>
    </row>
    <row r="39" spans="1:39" ht="15">
      <c r="A39" s="288">
        <v>32</v>
      </c>
      <c r="B39" s="288">
        <v>10288</v>
      </c>
      <c r="C39" s="295" t="s">
        <v>40</v>
      </c>
      <c r="D39" s="297">
        <v>25.103</v>
      </c>
      <c r="E39" s="288">
        <v>0.263</v>
      </c>
      <c r="F39" s="288" t="s">
        <v>106</v>
      </c>
      <c r="G39" s="288">
        <v>25.103</v>
      </c>
      <c r="K39" s="298">
        <v>8518</v>
      </c>
      <c r="L39" s="298">
        <v>11278</v>
      </c>
      <c r="M39" s="298">
        <v>5747</v>
      </c>
      <c r="N39" s="298">
        <v>10446</v>
      </c>
      <c r="O39" s="298">
        <v>9774</v>
      </c>
      <c r="P39" s="298">
        <v>8954</v>
      </c>
      <c r="Q39" s="298">
        <v>8249</v>
      </c>
      <c r="R39" s="298">
        <v>5602</v>
      </c>
      <c r="S39" s="298">
        <v>2933</v>
      </c>
      <c r="T39" s="298">
        <v>3008</v>
      </c>
      <c r="U39" s="298">
        <v>1521</v>
      </c>
      <c r="V39" s="298">
        <v>3686</v>
      </c>
      <c r="X39" s="298">
        <f t="shared" si="12"/>
        <v>8608</v>
      </c>
      <c r="Y39" s="298">
        <f t="shared" si="13"/>
        <v>11397</v>
      </c>
      <c r="Z39" s="298">
        <f t="shared" si="14"/>
        <v>5808</v>
      </c>
      <c r="AA39" s="298">
        <f t="shared" si="15"/>
        <v>10557</v>
      </c>
      <c r="AB39" s="298">
        <f t="shared" si="16"/>
        <v>9877</v>
      </c>
      <c r="AC39" s="298">
        <f t="shared" si="17"/>
        <v>9049</v>
      </c>
      <c r="AD39" s="298">
        <f t="shared" si="18"/>
        <v>8336</v>
      </c>
      <c r="AE39" s="298">
        <f t="shared" si="19"/>
        <v>5661</v>
      </c>
      <c r="AF39" s="298">
        <f t="shared" si="20"/>
        <v>2964</v>
      </c>
      <c r="AG39" s="298">
        <f t="shared" si="21"/>
        <v>3040</v>
      </c>
      <c r="AH39" s="298">
        <f t="shared" si="22"/>
        <v>1537</v>
      </c>
      <c r="AI39" s="298">
        <f t="shared" si="23"/>
        <v>3725</v>
      </c>
      <c r="AK39" s="309"/>
      <c r="AM39" s="309"/>
    </row>
    <row r="40" spans="1:39" ht="15">
      <c r="A40" s="288">
        <v>33</v>
      </c>
      <c r="B40" s="288">
        <v>10291</v>
      </c>
      <c r="C40" s="295" t="s">
        <v>483</v>
      </c>
      <c r="D40" s="297">
        <v>82.488</v>
      </c>
      <c r="E40" s="288">
        <v>4.156</v>
      </c>
      <c r="F40" s="288" t="s">
        <v>106</v>
      </c>
      <c r="G40" s="288">
        <v>80.363</v>
      </c>
      <c r="K40" s="298">
        <v>13120</v>
      </c>
      <c r="L40" s="298">
        <v>19901</v>
      </c>
      <c r="M40" s="298">
        <v>13141</v>
      </c>
      <c r="N40" s="298">
        <v>12468</v>
      </c>
      <c r="O40" s="298">
        <v>17088</v>
      </c>
      <c r="P40" s="298">
        <v>12544</v>
      </c>
      <c r="Q40" s="298">
        <v>10821</v>
      </c>
      <c r="R40" s="298">
        <v>8363</v>
      </c>
      <c r="S40" s="298">
        <v>9590</v>
      </c>
      <c r="T40" s="298">
        <v>10352</v>
      </c>
      <c r="U40" s="298">
        <v>8579</v>
      </c>
      <c r="V40" s="298">
        <v>7768</v>
      </c>
      <c r="X40" s="298">
        <f t="shared" si="12"/>
        <v>13460</v>
      </c>
      <c r="Y40" s="298">
        <f t="shared" si="13"/>
        <v>20417</v>
      </c>
      <c r="Z40" s="298">
        <f t="shared" si="14"/>
        <v>13482</v>
      </c>
      <c r="AA40" s="298">
        <f t="shared" si="15"/>
        <v>12791</v>
      </c>
      <c r="AB40" s="298">
        <f t="shared" si="16"/>
        <v>17531</v>
      </c>
      <c r="AC40" s="298">
        <f t="shared" si="17"/>
        <v>12869</v>
      </c>
      <c r="AD40" s="298">
        <f t="shared" si="18"/>
        <v>11102</v>
      </c>
      <c r="AE40" s="298">
        <f t="shared" si="19"/>
        <v>8580</v>
      </c>
      <c r="AF40" s="298">
        <f t="shared" si="20"/>
        <v>9839</v>
      </c>
      <c r="AG40" s="298">
        <f t="shared" si="21"/>
        <v>10620</v>
      </c>
      <c r="AH40" s="298">
        <f t="shared" si="22"/>
        <v>8801</v>
      </c>
      <c r="AI40" s="298">
        <f t="shared" si="23"/>
        <v>7969</v>
      </c>
      <c r="AK40" s="309"/>
      <c r="AM40" s="309"/>
    </row>
    <row r="41" spans="1:39" ht="15">
      <c r="A41" s="288">
        <v>34</v>
      </c>
      <c r="B41" s="288">
        <v>10304</v>
      </c>
      <c r="C41" s="295" t="s">
        <v>43</v>
      </c>
      <c r="D41" s="297">
        <v>14.278</v>
      </c>
      <c r="E41" s="288">
        <v>0.027</v>
      </c>
      <c r="F41" s="288" t="s">
        <v>106</v>
      </c>
      <c r="G41" s="288">
        <v>14.278</v>
      </c>
      <c r="K41" s="298">
        <v>3946</v>
      </c>
      <c r="L41" s="298">
        <v>5210</v>
      </c>
      <c r="M41" s="298">
        <v>2806</v>
      </c>
      <c r="N41" s="298">
        <v>3580</v>
      </c>
      <c r="O41" s="298">
        <v>4405</v>
      </c>
      <c r="P41" s="298">
        <v>4140</v>
      </c>
      <c r="Q41" s="298">
        <v>3044</v>
      </c>
      <c r="R41" s="298">
        <v>2357</v>
      </c>
      <c r="S41" s="298">
        <v>719</v>
      </c>
      <c r="T41" s="298">
        <v>1399</v>
      </c>
      <c r="U41" s="298">
        <v>1077</v>
      </c>
      <c r="V41" s="298">
        <v>1354</v>
      </c>
      <c r="X41" s="298">
        <f t="shared" si="12"/>
        <v>3953</v>
      </c>
      <c r="Y41" s="298">
        <f t="shared" si="13"/>
        <v>5220</v>
      </c>
      <c r="Z41" s="298">
        <f t="shared" si="14"/>
        <v>2811</v>
      </c>
      <c r="AA41" s="298">
        <f t="shared" si="15"/>
        <v>3587</v>
      </c>
      <c r="AB41" s="298">
        <f t="shared" si="16"/>
        <v>4413</v>
      </c>
      <c r="AC41" s="298">
        <f t="shared" si="17"/>
        <v>4148</v>
      </c>
      <c r="AD41" s="298">
        <f t="shared" si="18"/>
        <v>3050</v>
      </c>
      <c r="AE41" s="298">
        <f t="shared" si="19"/>
        <v>2361</v>
      </c>
      <c r="AF41" s="298">
        <f t="shared" si="20"/>
        <v>720</v>
      </c>
      <c r="AG41" s="298">
        <f t="shared" si="21"/>
        <v>1402</v>
      </c>
      <c r="AH41" s="298">
        <f t="shared" si="22"/>
        <v>1079</v>
      </c>
      <c r="AI41" s="298">
        <f t="shared" si="23"/>
        <v>1357</v>
      </c>
      <c r="AK41" s="309"/>
      <c r="AM41" s="309"/>
    </row>
    <row r="42" spans="1:39" ht="15">
      <c r="A42" s="288">
        <v>35</v>
      </c>
      <c r="B42" s="288">
        <v>10306</v>
      </c>
      <c r="C42" s="295" t="s">
        <v>44</v>
      </c>
      <c r="D42" s="297">
        <v>29.444</v>
      </c>
      <c r="E42" s="288">
        <v>3.291</v>
      </c>
      <c r="F42" s="288" t="s">
        <v>106</v>
      </c>
      <c r="G42" s="288">
        <v>26.153</v>
      </c>
      <c r="I42" s="288" t="s">
        <v>484</v>
      </c>
      <c r="K42" s="298">
        <v>11605</v>
      </c>
      <c r="L42" s="298">
        <v>9139</v>
      </c>
      <c r="M42" s="298">
        <v>10424</v>
      </c>
      <c r="N42" s="298">
        <v>11756</v>
      </c>
      <c r="O42" s="298">
        <v>11234</v>
      </c>
      <c r="P42" s="298">
        <v>9675</v>
      </c>
      <c r="Q42" s="298">
        <v>0</v>
      </c>
      <c r="R42" s="298">
        <v>0</v>
      </c>
      <c r="S42" s="298">
        <v>0</v>
      </c>
      <c r="T42" s="298">
        <v>1703</v>
      </c>
      <c r="U42" s="298">
        <v>2143</v>
      </c>
      <c r="V42" s="298">
        <v>9704</v>
      </c>
      <c r="X42" s="298">
        <f t="shared" si="12"/>
        <v>11605</v>
      </c>
      <c r="Y42" s="298">
        <f t="shared" si="13"/>
        <v>9139</v>
      </c>
      <c r="Z42" s="298">
        <f t="shared" si="14"/>
        <v>10424</v>
      </c>
      <c r="AA42" s="298">
        <f t="shared" si="15"/>
        <v>11756</v>
      </c>
      <c r="AB42" s="298">
        <f t="shared" si="16"/>
        <v>11234</v>
      </c>
      <c r="AC42" s="298">
        <f t="shared" si="17"/>
        <v>9675</v>
      </c>
      <c r="AD42" s="298">
        <f t="shared" si="18"/>
        <v>0</v>
      </c>
      <c r="AE42" s="298">
        <f t="shared" si="19"/>
        <v>0</v>
      </c>
      <c r="AF42" s="298">
        <f t="shared" si="20"/>
        <v>0</v>
      </c>
      <c r="AG42" s="298">
        <f t="shared" si="21"/>
        <v>1703</v>
      </c>
      <c r="AH42" s="298">
        <f t="shared" si="22"/>
        <v>2143</v>
      </c>
      <c r="AI42" s="298">
        <f t="shared" si="23"/>
        <v>9704</v>
      </c>
      <c r="AK42" s="309"/>
      <c r="AM42" s="309"/>
    </row>
    <row r="43" spans="1:39" ht="15">
      <c r="A43" s="288">
        <v>36</v>
      </c>
      <c r="B43" s="288">
        <v>10086</v>
      </c>
      <c r="C43" s="295" t="s">
        <v>45</v>
      </c>
      <c r="D43" s="297">
        <v>4.004</v>
      </c>
      <c r="E43" s="288">
        <v>0.01</v>
      </c>
      <c r="F43" s="288" t="s">
        <v>106</v>
      </c>
      <c r="G43" s="288">
        <v>4.004</v>
      </c>
      <c r="K43" s="298">
        <v>1269</v>
      </c>
      <c r="L43" s="298">
        <v>1370</v>
      </c>
      <c r="M43" s="298">
        <v>1356</v>
      </c>
      <c r="N43" s="298">
        <v>1216</v>
      </c>
      <c r="O43" s="298">
        <v>1227</v>
      </c>
      <c r="P43" s="298">
        <v>1262</v>
      </c>
      <c r="Q43" s="298">
        <v>1193</v>
      </c>
      <c r="R43" s="298">
        <v>1274</v>
      </c>
      <c r="S43" s="298">
        <v>778</v>
      </c>
      <c r="T43" s="298">
        <v>584</v>
      </c>
      <c r="U43" s="298">
        <v>475</v>
      </c>
      <c r="V43" s="298">
        <v>977</v>
      </c>
      <c r="X43" s="298">
        <f t="shared" si="12"/>
        <v>1272</v>
      </c>
      <c r="Y43" s="298">
        <f t="shared" si="13"/>
        <v>1373</v>
      </c>
      <c r="Z43" s="298">
        <f t="shared" si="14"/>
        <v>1359</v>
      </c>
      <c r="AA43" s="298">
        <f t="shared" si="15"/>
        <v>1219</v>
      </c>
      <c r="AB43" s="298">
        <f t="shared" si="16"/>
        <v>1230</v>
      </c>
      <c r="AC43" s="298">
        <f t="shared" si="17"/>
        <v>1265</v>
      </c>
      <c r="AD43" s="298">
        <f t="shared" si="18"/>
        <v>1196</v>
      </c>
      <c r="AE43" s="298">
        <f t="shared" si="19"/>
        <v>1277</v>
      </c>
      <c r="AF43" s="298">
        <f t="shared" si="20"/>
        <v>780</v>
      </c>
      <c r="AG43" s="298">
        <f t="shared" si="21"/>
        <v>585</v>
      </c>
      <c r="AH43" s="298">
        <f t="shared" si="22"/>
        <v>476</v>
      </c>
      <c r="AI43" s="298">
        <f t="shared" si="23"/>
        <v>979</v>
      </c>
      <c r="AK43" s="309"/>
      <c r="AM43" s="309"/>
    </row>
    <row r="44" spans="1:39" ht="15">
      <c r="A44" s="288">
        <v>37</v>
      </c>
      <c r="B44" s="288">
        <v>10331</v>
      </c>
      <c r="C44" s="295" t="s">
        <v>485</v>
      </c>
      <c r="D44" s="297">
        <v>38.633</v>
      </c>
      <c r="E44" s="288">
        <v>4.973</v>
      </c>
      <c r="F44" s="288" t="s">
        <v>106</v>
      </c>
      <c r="G44" s="288">
        <v>37.148</v>
      </c>
      <c r="K44" s="298">
        <v>5973</v>
      </c>
      <c r="L44" s="298">
        <v>6812</v>
      </c>
      <c r="M44" s="298">
        <v>5573</v>
      </c>
      <c r="N44" s="298">
        <v>5878</v>
      </c>
      <c r="O44" s="298">
        <v>6659</v>
      </c>
      <c r="P44" s="298">
        <v>5325</v>
      </c>
      <c r="Q44" s="298">
        <v>10034</v>
      </c>
      <c r="R44" s="298">
        <v>16912</v>
      </c>
      <c r="S44" s="298">
        <v>13677</v>
      </c>
      <c r="T44" s="298">
        <v>2402</v>
      </c>
      <c r="U44" s="298">
        <v>0</v>
      </c>
      <c r="V44" s="298">
        <v>10629</v>
      </c>
      <c r="X44" s="298">
        <f t="shared" si="12"/>
        <v>6592</v>
      </c>
      <c r="Y44" s="298">
        <f t="shared" si="13"/>
        <v>7518</v>
      </c>
      <c r="Z44" s="298">
        <f t="shared" si="14"/>
        <v>6150</v>
      </c>
      <c r="AA44" s="298">
        <f t="shared" si="15"/>
        <v>6487</v>
      </c>
      <c r="AB44" s="298">
        <f t="shared" si="16"/>
        <v>7349</v>
      </c>
      <c r="AC44" s="298">
        <f t="shared" si="17"/>
        <v>5877</v>
      </c>
      <c r="AD44" s="298">
        <f t="shared" si="18"/>
        <v>11074</v>
      </c>
      <c r="AE44" s="298">
        <f t="shared" si="19"/>
        <v>18664</v>
      </c>
      <c r="AF44" s="298">
        <f t="shared" si="20"/>
        <v>15094</v>
      </c>
      <c r="AG44" s="298">
        <f t="shared" si="21"/>
        <v>2651</v>
      </c>
      <c r="AH44" s="298">
        <f t="shared" si="22"/>
        <v>0</v>
      </c>
      <c r="AI44" s="298">
        <f t="shared" si="23"/>
        <v>11730</v>
      </c>
      <c r="AK44" s="309"/>
      <c r="AM44" s="309"/>
    </row>
    <row r="45" spans="1:39" ht="15">
      <c r="A45" s="288">
        <v>38</v>
      </c>
      <c r="B45" s="288">
        <v>10342</v>
      </c>
      <c r="C45" s="295" t="s">
        <v>47</v>
      </c>
      <c r="D45" s="297">
        <v>39.976</v>
      </c>
      <c r="E45" s="288">
        <v>0.708</v>
      </c>
      <c r="F45" s="288" t="s">
        <v>106</v>
      </c>
      <c r="G45" s="288">
        <v>39.268</v>
      </c>
      <c r="K45" s="298">
        <v>6108</v>
      </c>
      <c r="L45" s="298">
        <v>10691</v>
      </c>
      <c r="M45" s="298">
        <v>8970</v>
      </c>
      <c r="N45" s="298">
        <v>8246</v>
      </c>
      <c r="O45" s="298">
        <v>9487</v>
      </c>
      <c r="P45" s="298">
        <v>7067</v>
      </c>
      <c r="Q45" s="298">
        <v>8000</v>
      </c>
      <c r="R45" s="298">
        <v>7378</v>
      </c>
      <c r="S45" s="298">
        <v>9575</v>
      </c>
      <c r="T45" s="298">
        <v>14687</v>
      </c>
      <c r="U45" s="298">
        <v>11468</v>
      </c>
      <c r="V45" s="298">
        <v>7230</v>
      </c>
      <c r="X45" s="298">
        <f t="shared" si="12"/>
        <v>6108</v>
      </c>
      <c r="Y45" s="298">
        <f t="shared" si="13"/>
        <v>10691</v>
      </c>
      <c r="Z45" s="298">
        <f t="shared" si="14"/>
        <v>8970</v>
      </c>
      <c r="AA45" s="298">
        <f t="shared" si="15"/>
        <v>8246</v>
      </c>
      <c r="AB45" s="298">
        <f t="shared" si="16"/>
        <v>9487</v>
      </c>
      <c r="AC45" s="298">
        <f t="shared" si="17"/>
        <v>7067</v>
      </c>
      <c r="AD45" s="298">
        <f t="shared" si="18"/>
        <v>8000</v>
      </c>
      <c r="AE45" s="298">
        <f t="shared" si="19"/>
        <v>7378</v>
      </c>
      <c r="AF45" s="298">
        <f t="shared" si="20"/>
        <v>9575</v>
      </c>
      <c r="AG45" s="298">
        <f t="shared" si="21"/>
        <v>14687</v>
      </c>
      <c r="AH45" s="298">
        <f t="shared" si="22"/>
        <v>11468</v>
      </c>
      <c r="AI45" s="298">
        <f t="shared" si="23"/>
        <v>7230</v>
      </c>
      <c r="AK45" s="309"/>
      <c r="AM45" s="309"/>
    </row>
    <row r="46" spans="1:39" ht="15">
      <c r="A46" s="288">
        <v>39</v>
      </c>
      <c r="B46" s="288">
        <v>10094</v>
      </c>
      <c r="C46" s="295" t="s">
        <v>50</v>
      </c>
      <c r="D46" s="297">
        <v>3.103</v>
      </c>
      <c r="E46" s="288">
        <v>0.085</v>
      </c>
      <c r="F46" s="288" t="s">
        <v>106</v>
      </c>
      <c r="G46" s="288">
        <v>3.0820000000000003</v>
      </c>
      <c r="K46" s="298">
        <v>364</v>
      </c>
      <c r="L46" s="298">
        <v>763</v>
      </c>
      <c r="M46" s="298">
        <v>530</v>
      </c>
      <c r="N46" s="298">
        <v>297</v>
      </c>
      <c r="O46" s="298">
        <v>462</v>
      </c>
      <c r="P46" s="298">
        <v>337</v>
      </c>
      <c r="Q46" s="298">
        <v>399</v>
      </c>
      <c r="R46" s="298">
        <v>300</v>
      </c>
      <c r="S46" s="298">
        <v>357</v>
      </c>
      <c r="T46" s="298">
        <v>341</v>
      </c>
      <c r="U46" s="298">
        <v>338</v>
      </c>
      <c r="V46" s="298">
        <v>250</v>
      </c>
      <c r="X46" s="298">
        <f t="shared" si="12"/>
        <v>372</v>
      </c>
      <c r="Y46" s="298">
        <f t="shared" si="13"/>
        <v>779</v>
      </c>
      <c r="Z46" s="298">
        <f t="shared" si="14"/>
        <v>541</v>
      </c>
      <c r="AA46" s="298">
        <f t="shared" si="15"/>
        <v>303</v>
      </c>
      <c r="AB46" s="298">
        <f t="shared" si="16"/>
        <v>472</v>
      </c>
      <c r="AC46" s="298">
        <f t="shared" si="17"/>
        <v>344</v>
      </c>
      <c r="AD46" s="298">
        <f t="shared" si="18"/>
        <v>407</v>
      </c>
      <c r="AE46" s="298">
        <f t="shared" si="19"/>
        <v>306</v>
      </c>
      <c r="AF46" s="298">
        <f t="shared" si="20"/>
        <v>365</v>
      </c>
      <c r="AG46" s="298">
        <f t="shared" si="21"/>
        <v>348</v>
      </c>
      <c r="AH46" s="298">
        <f t="shared" si="22"/>
        <v>345</v>
      </c>
      <c r="AI46" s="298">
        <f t="shared" si="23"/>
        <v>255</v>
      </c>
      <c r="AK46" s="309"/>
      <c r="AM46" s="309"/>
    </row>
    <row r="47" spans="1:39" ht="15">
      <c r="A47" s="288">
        <v>40</v>
      </c>
      <c r="B47" s="288">
        <v>10448</v>
      </c>
      <c r="C47" s="295" t="s">
        <v>52</v>
      </c>
      <c r="D47" s="297">
        <v>8.735</v>
      </c>
      <c r="E47" s="288">
        <v>0.127</v>
      </c>
      <c r="F47" s="288" t="s">
        <v>106</v>
      </c>
      <c r="G47" s="288">
        <v>8.607999999999999</v>
      </c>
      <c r="K47" s="298">
        <v>2428</v>
      </c>
      <c r="L47" s="298">
        <v>3754</v>
      </c>
      <c r="M47" s="298">
        <v>2570</v>
      </c>
      <c r="N47" s="298">
        <v>3042</v>
      </c>
      <c r="O47" s="298">
        <v>2837</v>
      </c>
      <c r="P47" s="298">
        <v>1936</v>
      </c>
      <c r="Q47" s="298">
        <v>2779</v>
      </c>
      <c r="R47" s="298">
        <v>2400</v>
      </c>
      <c r="S47" s="298">
        <v>1274</v>
      </c>
      <c r="T47" s="298">
        <v>1331</v>
      </c>
      <c r="U47" s="298">
        <v>897</v>
      </c>
      <c r="V47" s="298">
        <v>1975</v>
      </c>
      <c r="X47" s="298">
        <f t="shared" si="12"/>
        <v>2428</v>
      </c>
      <c r="Y47" s="298">
        <f t="shared" si="13"/>
        <v>3754</v>
      </c>
      <c r="Z47" s="298">
        <f t="shared" si="14"/>
        <v>2570</v>
      </c>
      <c r="AA47" s="298">
        <f t="shared" si="15"/>
        <v>3042</v>
      </c>
      <c r="AB47" s="298">
        <f t="shared" si="16"/>
        <v>2837</v>
      </c>
      <c r="AC47" s="298">
        <f t="shared" si="17"/>
        <v>1936</v>
      </c>
      <c r="AD47" s="298">
        <f t="shared" si="18"/>
        <v>2779</v>
      </c>
      <c r="AE47" s="298">
        <f t="shared" si="19"/>
        <v>2400</v>
      </c>
      <c r="AF47" s="298">
        <f t="shared" si="20"/>
        <v>1274</v>
      </c>
      <c r="AG47" s="298">
        <f t="shared" si="21"/>
        <v>1331</v>
      </c>
      <c r="AH47" s="298">
        <f t="shared" si="22"/>
        <v>897</v>
      </c>
      <c r="AI47" s="298">
        <f t="shared" si="23"/>
        <v>1975</v>
      </c>
      <c r="AK47" s="309"/>
      <c r="AM47" s="309"/>
    </row>
    <row r="48" spans="1:39" ht="15">
      <c r="A48" s="288">
        <v>41</v>
      </c>
      <c r="B48" s="288">
        <v>10502</v>
      </c>
      <c r="C48" s="295" t="s">
        <v>486</v>
      </c>
      <c r="D48" s="297">
        <v>6.842</v>
      </c>
      <c r="E48" s="288">
        <v>0.032</v>
      </c>
      <c r="F48" s="288" t="s">
        <v>106</v>
      </c>
      <c r="G48" s="288">
        <v>10.07</v>
      </c>
      <c r="K48" s="298">
        <v>2949</v>
      </c>
      <c r="L48" s="298">
        <v>1528</v>
      </c>
      <c r="M48" s="298">
        <v>1983</v>
      </c>
      <c r="N48" s="298">
        <v>1560</v>
      </c>
      <c r="O48" s="298">
        <v>1400</v>
      </c>
      <c r="P48" s="298">
        <v>1963</v>
      </c>
      <c r="Q48" s="298">
        <v>2201</v>
      </c>
      <c r="R48" s="298">
        <v>1065</v>
      </c>
      <c r="S48" s="298">
        <v>1866</v>
      </c>
      <c r="T48" s="298">
        <v>1273</v>
      </c>
      <c r="U48" s="298">
        <v>1338</v>
      </c>
      <c r="V48" s="298">
        <v>1408</v>
      </c>
      <c r="X48" s="299">
        <f aca="true" t="shared" si="24" ref="X48:Z48">K48</f>
        <v>2949</v>
      </c>
      <c r="Y48" s="299">
        <f t="shared" si="24"/>
        <v>1528</v>
      </c>
      <c r="Z48" s="299">
        <f t="shared" si="24"/>
        <v>1983</v>
      </c>
      <c r="AA48" s="299">
        <f>N48</f>
        <v>1560</v>
      </c>
      <c r="AB48" s="299">
        <f aca="true" t="shared" si="25" ref="AB48:AI48">O48</f>
        <v>1400</v>
      </c>
      <c r="AC48" s="299">
        <f t="shared" si="25"/>
        <v>1963</v>
      </c>
      <c r="AD48" s="299">
        <f t="shared" si="25"/>
        <v>2201</v>
      </c>
      <c r="AE48" s="299">
        <f t="shared" si="25"/>
        <v>1065</v>
      </c>
      <c r="AF48" s="299">
        <f t="shared" si="25"/>
        <v>1866</v>
      </c>
      <c r="AG48" s="299">
        <f t="shared" si="25"/>
        <v>1273</v>
      </c>
      <c r="AH48" s="299">
        <f t="shared" si="25"/>
        <v>1338</v>
      </c>
      <c r="AI48" s="299">
        <f t="shared" si="25"/>
        <v>1408</v>
      </c>
      <c r="AK48" s="309"/>
      <c r="AL48" s="300"/>
      <c r="AM48" s="309"/>
    </row>
    <row r="49" spans="3:39" s="293" customFormat="1" ht="28.5" customHeight="1">
      <c r="C49" s="293" t="s">
        <v>487</v>
      </c>
      <c r="D49" s="301">
        <v>1.846</v>
      </c>
      <c r="E49" s="293">
        <v>0.032</v>
      </c>
      <c r="G49" s="293">
        <v>1.846</v>
      </c>
      <c r="J49" s="288"/>
      <c r="K49" s="302">
        <v>1253</v>
      </c>
      <c r="L49" s="302">
        <v>25</v>
      </c>
      <c r="M49" s="302">
        <v>5</v>
      </c>
      <c r="N49" s="302">
        <v>79</v>
      </c>
      <c r="O49" s="302">
        <v>106</v>
      </c>
      <c r="P49" s="302">
        <v>475</v>
      </c>
      <c r="Q49" s="302">
        <v>792</v>
      </c>
      <c r="R49" s="302">
        <v>0</v>
      </c>
      <c r="S49" s="302">
        <v>415</v>
      </c>
      <c r="T49" s="302">
        <v>0</v>
      </c>
      <c r="U49" s="302">
        <v>13</v>
      </c>
      <c r="V49" s="302">
        <v>141</v>
      </c>
      <c r="X49" s="298"/>
      <c r="Y49" s="298"/>
      <c r="Z49" s="298"/>
      <c r="AA49" s="298"/>
      <c r="AB49" s="298"/>
      <c r="AC49" s="298"/>
      <c r="AD49" s="298"/>
      <c r="AE49" s="298"/>
      <c r="AF49" s="298"/>
      <c r="AG49" s="298"/>
      <c r="AH49" s="298"/>
      <c r="AI49" s="298"/>
      <c r="AK49" s="309"/>
      <c r="AM49" s="309"/>
    </row>
    <row r="50" spans="3:39" s="293" customFormat="1" ht="15">
      <c r="C50" s="293" t="s">
        <v>488</v>
      </c>
      <c r="D50" s="301"/>
      <c r="K50" s="302"/>
      <c r="L50" s="302"/>
      <c r="M50" s="302"/>
      <c r="N50" s="302"/>
      <c r="O50" s="302"/>
      <c r="P50" s="302"/>
      <c r="Q50" s="302"/>
      <c r="R50" s="302"/>
      <c r="S50" s="302"/>
      <c r="T50" s="302"/>
      <c r="U50" s="302"/>
      <c r="V50" s="302"/>
      <c r="X50" s="299">
        <f aca="true" t="shared" si="26" ref="X50:AI50">ROUND($G49/($D49-$E49)*K49-K49,0)</f>
        <v>22</v>
      </c>
      <c r="Y50" s="299">
        <f t="shared" si="26"/>
        <v>0</v>
      </c>
      <c r="Z50" s="299">
        <f t="shared" si="26"/>
        <v>0</v>
      </c>
      <c r="AA50" s="299">
        <f t="shared" si="26"/>
        <v>1</v>
      </c>
      <c r="AB50" s="299">
        <f t="shared" si="26"/>
        <v>2</v>
      </c>
      <c r="AC50" s="299">
        <f t="shared" si="26"/>
        <v>8</v>
      </c>
      <c r="AD50" s="299">
        <f t="shared" si="26"/>
        <v>14</v>
      </c>
      <c r="AE50" s="299">
        <f t="shared" si="26"/>
        <v>0</v>
      </c>
      <c r="AF50" s="299">
        <f t="shared" si="26"/>
        <v>7</v>
      </c>
      <c r="AG50" s="299">
        <f t="shared" si="26"/>
        <v>0</v>
      </c>
      <c r="AH50" s="299">
        <f t="shared" si="26"/>
        <v>0</v>
      </c>
      <c r="AI50" s="299">
        <f t="shared" si="26"/>
        <v>2</v>
      </c>
      <c r="AK50" s="309"/>
      <c r="AL50" s="300"/>
      <c r="AM50" s="309"/>
    </row>
    <row r="51" spans="3:39" s="293" customFormat="1" ht="22.5" customHeight="1">
      <c r="C51" s="295" t="s">
        <v>489</v>
      </c>
      <c r="D51" s="301"/>
      <c r="K51" s="302"/>
      <c r="L51" s="302"/>
      <c r="M51" s="302"/>
      <c r="N51" s="302"/>
      <c r="O51" s="302"/>
      <c r="P51" s="302"/>
      <c r="Q51" s="302"/>
      <c r="R51" s="302"/>
      <c r="S51" s="302"/>
      <c r="T51" s="302"/>
      <c r="U51" s="302"/>
      <c r="V51" s="302"/>
      <c r="X51" s="298">
        <f>ROUND(X48+X50,0)</f>
        <v>2971</v>
      </c>
      <c r="Y51" s="298">
        <f aca="true" t="shared" si="27" ref="Y51:AI51">ROUND(Y48+Y50,0)</f>
        <v>1528</v>
      </c>
      <c r="Z51" s="298">
        <f t="shared" si="27"/>
        <v>1983</v>
      </c>
      <c r="AA51" s="298">
        <f t="shared" si="27"/>
        <v>1561</v>
      </c>
      <c r="AB51" s="298">
        <f t="shared" si="27"/>
        <v>1402</v>
      </c>
      <c r="AC51" s="298">
        <f t="shared" si="27"/>
        <v>1971</v>
      </c>
      <c r="AD51" s="298">
        <f t="shared" si="27"/>
        <v>2215</v>
      </c>
      <c r="AE51" s="298">
        <f t="shared" si="27"/>
        <v>1065</v>
      </c>
      <c r="AF51" s="298">
        <f t="shared" si="27"/>
        <v>1873</v>
      </c>
      <c r="AG51" s="298">
        <f t="shared" si="27"/>
        <v>1273</v>
      </c>
      <c r="AH51" s="298">
        <f t="shared" si="27"/>
        <v>1338</v>
      </c>
      <c r="AI51" s="298">
        <f t="shared" si="27"/>
        <v>1410</v>
      </c>
      <c r="AK51" s="309"/>
      <c r="AL51" s="300"/>
      <c r="AM51" s="309"/>
    </row>
    <row r="52" spans="1:39" ht="22.5" customHeight="1">
      <c r="A52" s="288">
        <v>42</v>
      </c>
      <c r="B52" s="288">
        <v>99999</v>
      </c>
      <c r="C52" s="295" t="s">
        <v>490</v>
      </c>
      <c r="D52" s="301">
        <v>515.925</v>
      </c>
      <c r="E52" s="288">
        <f>E53</f>
        <v>9.352</v>
      </c>
      <c r="G52" s="297">
        <f>D52-E52+(G53-(D53-E53))</f>
        <v>512.9680000000001</v>
      </c>
      <c r="K52" s="303">
        <v>138896</v>
      </c>
      <c r="L52" s="303">
        <v>175002</v>
      </c>
      <c r="M52" s="303">
        <v>135564</v>
      </c>
      <c r="N52" s="303">
        <v>148651</v>
      </c>
      <c r="O52" s="303">
        <v>196533</v>
      </c>
      <c r="P52" s="303">
        <v>135103</v>
      </c>
      <c r="Q52" s="303">
        <v>132966</v>
      </c>
      <c r="R52" s="303">
        <v>66365</v>
      </c>
      <c r="S52" s="303">
        <v>43826</v>
      </c>
      <c r="T52" s="303">
        <v>39622</v>
      </c>
      <c r="U52" s="303">
        <v>25160</v>
      </c>
      <c r="V52" s="303">
        <v>43210</v>
      </c>
      <c r="X52" s="298">
        <f>ROUND($G52/($D52-$E52)*K52,0)</f>
        <v>140649</v>
      </c>
      <c r="Y52" s="298">
        <f aca="true" t="shared" si="28" ref="Y52:AB52">ROUND($G52/($D52-$E52)*L52,0)</f>
        <v>177211</v>
      </c>
      <c r="Z52" s="298">
        <f t="shared" si="28"/>
        <v>137275</v>
      </c>
      <c r="AA52" s="298">
        <f t="shared" si="28"/>
        <v>150528</v>
      </c>
      <c r="AB52" s="298">
        <f t="shared" si="28"/>
        <v>199014</v>
      </c>
      <c r="AC52" s="298">
        <f aca="true" t="shared" si="29" ref="AC52">ROUND($G52/($D52-$E52)*P52,0)</f>
        <v>136809</v>
      </c>
      <c r="AD52" s="298">
        <f aca="true" t="shared" si="30" ref="AD52">ROUND($G52/($D52-$E52)*Q52,0)</f>
        <v>134645</v>
      </c>
      <c r="AE52" s="298">
        <f aca="true" t="shared" si="31" ref="AE52:AF52">ROUND($G52/($D52-$E52)*R52,0)</f>
        <v>67203</v>
      </c>
      <c r="AF52" s="298">
        <f t="shared" si="31"/>
        <v>44379</v>
      </c>
      <c r="AG52" s="298">
        <f aca="true" t="shared" si="32" ref="AG52">ROUND($G52/($D52-$E52)*T52,0)</f>
        <v>40122</v>
      </c>
      <c r="AH52" s="298">
        <f aca="true" t="shared" si="33" ref="AH52">ROUND($G52/($D52-$E52)*U52,0)</f>
        <v>25478</v>
      </c>
      <c r="AI52" s="298">
        <f aca="true" t="shared" si="34" ref="AI52">ROUND($G52/($D52-$E52)*V52,0)</f>
        <v>43755</v>
      </c>
      <c r="AK52" s="309"/>
      <c r="AM52" s="309"/>
    </row>
    <row r="53" spans="3:7" ht="22.5" customHeight="1">
      <c r="C53" s="295" t="s">
        <v>491</v>
      </c>
      <c r="D53" s="297">
        <f>D12+D16+D18+D21+D32+D44+D47</f>
        <v>165.33499999999998</v>
      </c>
      <c r="E53" s="288">
        <f>E12+E16+E18+E21+E32+E44+E47</f>
        <v>9.352</v>
      </c>
      <c r="G53" s="288">
        <f>G12+G16+G18+G21+G32+G44+G47</f>
        <v>162.37800000000001</v>
      </c>
    </row>
    <row r="54" ht="12.75">
      <c r="C54" s="295"/>
    </row>
    <row r="56" spans="24:37" ht="12.75">
      <c r="X56" s="304"/>
      <c r="Y56" s="304"/>
      <c r="Z56" s="304"/>
      <c r="AA56" s="304"/>
      <c r="AB56" s="304"/>
      <c r="AC56" s="304"/>
      <c r="AD56" s="304"/>
      <c r="AE56" s="304"/>
      <c r="AF56" s="304"/>
      <c r="AG56" s="304"/>
      <c r="AH56" s="304"/>
      <c r="AI56" s="304"/>
      <c r="AJ56" s="304"/>
      <c r="AK56" s="304"/>
    </row>
    <row r="57" spans="23:38" ht="12.75">
      <c r="W57" s="292"/>
      <c r="X57" s="304"/>
      <c r="Y57" s="304"/>
      <c r="Z57" s="304"/>
      <c r="AA57" s="304"/>
      <c r="AB57" s="304"/>
      <c r="AC57" s="304"/>
      <c r="AD57" s="304"/>
      <c r="AE57" s="304"/>
      <c r="AF57" s="304"/>
      <c r="AG57" s="304"/>
      <c r="AH57" s="304"/>
      <c r="AI57" s="304"/>
      <c r="AJ57" s="304"/>
      <c r="AK57" s="304"/>
      <c r="AL57" s="305"/>
    </row>
    <row r="58" spans="23:37" ht="12.75">
      <c r="W58" s="292"/>
      <c r="X58" s="304"/>
      <c r="Y58" s="304"/>
      <c r="Z58" s="304"/>
      <c r="AA58" s="304"/>
      <c r="AB58" s="304"/>
      <c r="AC58" s="304"/>
      <c r="AD58" s="304"/>
      <c r="AE58" s="304"/>
      <c r="AF58" s="304"/>
      <c r="AG58" s="304"/>
      <c r="AH58" s="304"/>
      <c r="AI58" s="304"/>
      <c r="AJ58" s="304"/>
      <c r="AK58" s="304"/>
    </row>
    <row r="59" spans="2:37" ht="12.75">
      <c r="B59" s="295"/>
      <c r="X59" s="304"/>
      <c r="Y59" s="304"/>
      <c r="Z59" s="304"/>
      <c r="AA59" s="304"/>
      <c r="AB59" s="304"/>
      <c r="AC59" s="304"/>
      <c r="AD59" s="304"/>
      <c r="AE59" s="304"/>
      <c r="AF59" s="304"/>
      <c r="AG59" s="304"/>
      <c r="AH59" s="304"/>
      <c r="AI59" s="304"/>
      <c r="AJ59" s="304"/>
      <c r="AK59" s="304"/>
    </row>
    <row r="60" spans="2:37" ht="12.75">
      <c r="B60" s="295"/>
      <c r="X60" s="304"/>
      <c r="Y60" s="304"/>
      <c r="Z60" s="304"/>
      <c r="AA60" s="304"/>
      <c r="AB60" s="304"/>
      <c r="AC60" s="304"/>
      <c r="AD60" s="304"/>
      <c r="AE60" s="304"/>
      <c r="AF60" s="304"/>
      <c r="AG60" s="304"/>
      <c r="AH60" s="304"/>
      <c r="AI60" s="304"/>
      <c r="AJ60" s="304"/>
      <c r="AK60" s="304"/>
    </row>
    <row r="61" spans="24:37" ht="12.75">
      <c r="X61" s="304"/>
      <c r="Y61" s="304"/>
      <c r="Z61" s="304"/>
      <c r="AA61" s="304"/>
      <c r="AB61" s="304"/>
      <c r="AC61" s="304"/>
      <c r="AD61" s="304"/>
      <c r="AE61" s="304"/>
      <c r="AF61" s="304"/>
      <c r="AG61" s="304"/>
      <c r="AH61" s="304"/>
      <c r="AI61" s="304"/>
      <c r="AJ61" s="304"/>
      <c r="AK61" s="304"/>
    </row>
    <row r="62" spans="24:37" ht="12.75">
      <c r="X62" s="304"/>
      <c r="Y62" s="304"/>
      <c r="Z62" s="304"/>
      <c r="AA62" s="304"/>
      <c r="AB62" s="304"/>
      <c r="AC62" s="304"/>
      <c r="AD62" s="304"/>
      <c r="AE62" s="304"/>
      <c r="AF62" s="304"/>
      <c r="AG62" s="304"/>
      <c r="AH62" s="304"/>
      <c r="AI62" s="304"/>
      <c r="AJ62" s="304"/>
      <c r="AK62" s="304"/>
    </row>
    <row r="63" spans="24:37" ht="12.75">
      <c r="X63" s="304"/>
      <c r="Y63" s="304"/>
      <c r="Z63" s="304"/>
      <c r="AA63" s="304"/>
      <c r="AB63" s="304"/>
      <c r="AC63" s="304"/>
      <c r="AD63" s="304"/>
      <c r="AE63" s="304"/>
      <c r="AF63" s="304"/>
      <c r="AG63" s="304"/>
      <c r="AH63" s="304"/>
      <c r="AI63" s="304"/>
      <c r="AJ63" s="304"/>
      <c r="AK63" s="304"/>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topLeftCell="A1"/>
  </sheetViews>
  <sheetFormatPr defaultColWidth="9.140625" defaultRowHeight="12.75"/>
  <cols>
    <col min="1" max="1" width="4.421875" style="205" customWidth="1"/>
    <col min="2" max="2" width="8.8515625" style="205" customWidth="1"/>
    <col min="3" max="3" width="23.140625" style="205" customWidth="1"/>
    <col min="4" max="15" width="12.8515625" style="205" customWidth="1"/>
    <col min="16" max="17" width="9.140625" style="205" customWidth="1"/>
    <col min="18" max="18" width="9.57421875" style="205" bestFit="1" customWidth="1"/>
    <col min="19" max="16384" width="9.140625" style="205" customWidth="1"/>
  </cols>
  <sheetData>
    <row r="1" ht="20.25">
      <c r="A1" s="265" t="s">
        <v>496</v>
      </c>
    </row>
    <row r="2" spans="1:3" ht="15">
      <c r="A2" s="328">
        <v>41736</v>
      </c>
      <c r="B2" s="328"/>
      <c r="C2" s="328"/>
    </row>
    <row r="3" ht="13.5" thickBot="1">
      <c r="B3" s="264"/>
    </row>
    <row r="4" spans="3:15" ht="12.75">
      <c r="C4" s="267"/>
      <c r="D4" s="322" t="s">
        <v>451</v>
      </c>
      <c r="E4" s="323"/>
      <c r="F4" s="323"/>
      <c r="G4" s="323"/>
      <c r="H4" s="323"/>
      <c r="I4" s="324"/>
      <c r="J4" s="325" t="s">
        <v>453</v>
      </c>
      <c r="K4" s="326"/>
      <c r="L4" s="326"/>
      <c r="M4" s="326"/>
      <c r="N4" s="326"/>
      <c r="O4" s="327"/>
    </row>
    <row r="5" spans="2:15" s="209" customFormat="1" ht="39" thickBot="1">
      <c r="B5" s="279" t="s">
        <v>0</v>
      </c>
      <c r="C5" s="280" t="s">
        <v>55</v>
      </c>
      <c r="D5" s="206" t="s">
        <v>108</v>
      </c>
      <c r="E5" s="207" t="s">
        <v>109</v>
      </c>
      <c r="F5" s="207" t="s">
        <v>434</v>
      </c>
      <c r="G5" s="207" t="s">
        <v>435</v>
      </c>
      <c r="H5" s="207" t="s">
        <v>436</v>
      </c>
      <c r="I5" s="208" t="s">
        <v>437</v>
      </c>
      <c r="J5" s="206" t="s">
        <v>439</v>
      </c>
      <c r="K5" s="207" t="s">
        <v>438</v>
      </c>
      <c r="L5" s="207" t="s">
        <v>108</v>
      </c>
      <c r="M5" s="207" t="s">
        <v>434</v>
      </c>
      <c r="N5" s="207" t="s">
        <v>436</v>
      </c>
      <c r="O5" s="208" t="s">
        <v>446</v>
      </c>
    </row>
    <row r="6" spans="1:18" ht="12.75">
      <c r="A6" s="276">
        <v>-1</v>
      </c>
      <c r="B6" s="210">
        <v>10015</v>
      </c>
      <c r="C6" s="211" t="s">
        <v>4</v>
      </c>
      <c r="D6" s="212">
        <v>8.49E-05</v>
      </c>
      <c r="E6" s="213">
        <v>8.49E-05</v>
      </c>
      <c r="F6" s="213">
        <v>8.49E-05</v>
      </c>
      <c r="G6" s="213">
        <v>8.49E-05</v>
      </c>
      <c r="H6" s="214">
        <v>0</v>
      </c>
      <c r="I6" s="215">
        <v>0</v>
      </c>
      <c r="J6" s="216">
        <f>VLOOKUP($B6,'Retained Provisional CHWM Calcs'!$B$10:$AD$50,29,FALSE)</f>
        <v>0.576</v>
      </c>
      <c r="K6" s="217">
        <v>0.6091374479</v>
      </c>
      <c r="L6" s="218">
        <f aca="true" t="shared" si="0" ref="L6:L46">IF(J6="N/A",D6,ROUND((MIN(J6,K6)/$L$48),7))</f>
        <v>8.09E-05</v>
      </c>
      <c r="M6" s="219">
        <f>L6-N6</f>
        <v>8.09E-05</v>
      </c>
      <c r="N6" s="214">
        <f aca="true" t="shared" si="1" ref="N6:N46">H6</f>
        <v>0</v>
      </c>
      <c r="O6" s="220" t="str">
        <f>IF(L6=D6,"No","Yes")</f>
        <v>Yes</v>
      </c>
      <c r="R6" s="311"/>
    </row>
    <row r="7" spans="1:18" s="232" customFormat="1" ht="12.75">
      <c r="A7" s="277">
        <v>-2</v>
      </c>
      <c r="B7" s="221">
        <v>10029</v>
      </c>
      <c r="C7" s="222" t="s">
        <v>6</v>
      </c>
      <c r="D7" s="223">
        <v>0.002486</v>
      </c>
      <c r="E7" s="224">
        <v>0.002486</v>
      </c>
      <c r="F7" s="224">
        <v>0.002486</v>
      </c>
      <c r="G7" s="224">
        <v>0.002486</v>
      </c>
      <c r="H7" s="225">
        <v>0</v>
      </c>
      <c r="I7" s="226">
        <v>0</v>
      </c>
      <c r="J7" s="227">
        <f>VLOOKUP($B7,'Retained Provisional CHWM Calcs'!$B$10:$AD$50,29,FALSE)</f>
        <v>17.69</v>
      </c>
      <c r="K7" s="228">
        <v>17.690055306</v>
      </c>
      <c r="L7" s="229">
        <f t="shared" si="0"/>
        <v>0.002486</v>
      </c>
      <c r="M7" s="230">
        <f aca="true" t="shared" si="2" ref="M7:M46">L7-N7</f>
        <v>0.002486</v>
      </c>
      <c r="N7" s="225">
        <f t="shared" si="1"/>
        <v>0</v>
      </c>
      <c r="O7" s="231" t="str">
        <f aca="true" t="shared" si="3" ref="O7:O46">IF(L7=D7,"No","Yes")</f>
        <v>No</v>
      </c>
      <c r="R7" s="311"/>
    </row>
    <row r="8" spans="1:18" ht="12.75">
      <c r="A8" s="276">
        <v>-3</v>
      </c>
      <c r="B8" s="210">
        <v>10057</v>
      </c>
      <c r="C8" s="211" t="s">
        <v>3</v>
      </c>
      <c r="D8" s="233">
        <v>0.0029458</v>
      </c>
      <c r="E8" s="234">
        <v>0.0029732</v>
      </c>
      <c r="F8" s="234">
        <v>0.0029458</v>
      </c>
      <c r="G8" s="234">
        <v>0.0029732</v>
      </c>
      <c r="H8" s="235">
        <v>0</v>
      </c>
      <c r="I8" s="236">
        <v>0</v>
      </c>
      <c r="J8" s="237">
        <f>VLOOKUP($B8,'Retained Provisional CHWM Calcs'!$B$10:$AD$50,29,FALSE)</f>
        <v>21.157</v>
      </c>
      <c r="K8" s="238">
        <v>20.961932791800002</v>
      </c>
      <c r="L8" s="239">
        <f t="shared" si="0"/>
        <v>0.0029458</v>
      </c>
      <c r="M8" s="240">
        <f t="shared" si="2"/>
        <v>0.0029458</v>
      </c>
      <c r="N8" s="235">
        <f t="shared" si="1"/>
        <v>0</v>
      </c>
      <c r="O8" s="241" t="str">
        <f t="shared" si="3"/>
        <v>No</v>
      </c>
      <c r="R8" s="311"/>
    </row>
    <row r="9" spans="1:18" s="232" customFormat="1" ht="12.75">
      <c r="A9" s="277">
        <v>-4</v>
      </c>
      <c r="B9" s="221">
        <v>10065</v>
      </c>
      <c r="C9" s="222" t="s">
        <v>7</v>
      </c>
      <c r="D9" s="223">
        <v>0.0003137</v>
      </c>
      <c r="E9" s="224">
        <v>0.0003137</v>
      </c>
      <c r="F9" s="224">
        <v>0.0003137</v>
      </c>
      <c r="G9" s="224">
        <v>0.0003137</v>
      </c>
      <c r="H9" s="225">
        <v>0</v>
      </c>
      <c r="I9" s="226">
        <v>0</v>
      </c>
      <c r="J9" s="227">
        <f>VLOOKUP($B9,'Retained Provisional CHWM Calcs'!$B$10:$AD$50,29,FALSE)</f>
        <v>2.387</v>
      </c>
      <c r="K9" s="228">
        <v>2.2322487327</v>
      </c>
      <c r="L9" s="229">
        <f t="shared" si="0"/>
        <v>0.0003137</v>
      </c>
      <c r="M9" s="230">
        <f t="shared" si="2"/>
        <v>0.0003137</v>
      </c>
      <c r="N9" s="225">
        <f t="shared" si="1"/>
        <v>0</v>
      </c>
      <c r="O9" s="231" t="str">
        <f t="shared" si="3"/>
        <v>No</v>
      </c>
      <c r="R9" s="311"/>
    </row>
    <row r="10" spans="1:18" ht="12.75">
      <c r="A10" s="276">
        <v>-5</v>
      </c>
      <c r="B10" s="210">
        <v>10068</v>
      </c>
      <c r="C10" s="211" t="s">
        <v>8</v>
      </c>
      <c r="D10" s="233">
        <v>0.0003915</v>
      </c>
      <c r="E10" s="234">
        <v>0.0003931</v>
      </c>
      <c r="F10" s="234">
        <v>0.0003915</v>
      </c>
      <c r="G10" s="234">
        <v>0.0003931</v>
      </c>
      <c r="H10" s="235">
        <v>0</v>
      </c>
      <c r="I10" s="236">
        <v>0</v>
      </c>
      <c r="J10" s="237">
        <f>VLOOKUP($B10,'Retained Provisional CHWM Calcs'!$B$10:$AD$50,29,FALSE)</f>
        <v>2.781</v>
      </c>
      <c r="K10" s="238">
        <v>2.7858634964999998</v>
      </c>
      <c r="L10" s="239">
        <f t="shared" si="0"/>
        <v>0.0003908</v>
      </c>
      <c r="M10" s="240">
        <f t="shared" si="2"/>
        <v>0.0003908</v>
      </c>
      <c r="N10" s="235">
        <f t="shared" si="1"/>
        <v>0</v>
      </c>
      <c r="O10" s="241" t="str">
        <f t="shared" si="3"/>
        <v>Yes</v>
      </c>
      <c r="R10" s="311"/>
    </row>
    <row r="11" spans="1:18" s="232" customFormat="1" ht="12.75">
      <c r="A11" s="277">
        <v>-6</v>
      </c>
      <c r="B11" s="221">
        <v>10070</v>
      </c>
      <c r="C11" s="222" t="s">
        <v>16</v>
      </c>
      <c r="D11" s="223">
        <v>5.06E-05</v>
      </c>
      <c r="E11" s="224">
        <v>5.06E-05</v>
      </c>
      <c r="F11" s="224">
        <v>5.06E-05</v>
      </c>
      <c r="G11" s="224">
        <v>5.06E-05</v>
      </c>
      <c r="H11" s="225">
        <v>0</v>
      </c>
      <c r="I11" s="226">
        <v>0</v>
      </c>
      <c r="J11" s="227">
        <f>VLOOKUP($B11,'Retained Provisional CHWM Calcs'!$B$10:$AD$50,29,FALSE)</f>
        <v>0.36</v>
      </c>
      <c r="K11" s="228">
        <v>0.3710630726</v>
      </c>
      <c r="L11" s="229">
        <f t="shared" si="0"/>
        <v>5.06E-05</v>
      </c>
      <c r="M11" s="230">
        <f t="shared" si="2"/>
        <v>5.06E-05</v>
      </c>
      <c r="N11" s="225">
        <f t="shared" si="1"/>
        <v>0</v>
      </c>
      <c r="O11" s="231" t="str">
        <f t="shared" si="3"/>
        <v>No</v>
      </c>
      <c r="R11" s="311"/>
    </row>
    <row r="12" spans="1:18" ht="12.75">
      <c r="A12" s="276">
        <v>-7</v>
      </c>
      <c r="B12" s="210">
        <v>10071</v>
      </c>
      <c r="C12" s="211" t="s">
        <v>18</v>
      </c>
      <c r="D12" s="233">
        <v>0.000279</v>
      </c>
      <c r="E12" s="234">
        <v>0.0002802</v>
      </c>
      <c r="F12" s="234">
        <v>0.000279</v>
      </c>
      <c r="G12" s="234">
        <v>0.0002802</v>
      </c>
      <c r="H12" s="235">
        <v>0</v>
      </c>
      <c r="I12" s="236">
        <v>0</v>
      </c>
      <c r="J12" s="237">
        <f>VLOOKUP($B12,'Retained Provisional CHWM Calcs'!$B$10:$AD$50,29,FALSE)</f>
        <v>1.922</v>
      </c>
      <c r="K12" s="238">
        <v>1.985328009</v>
      </c>
      <c r="L12" s="239">
        <f t="shared" si="0"/>
        <v>0.0002701</v>
      </c>
      <c r="M12" s="240">
        <f t="shared" si="2"/>
        <v>0.0002701</v>
      </c>
      <c r="N12" s="235">
        <f t="shared" si="1"/>
        <v>0</v>
      </c>
      <c r="O12" s="241" t="str">
        <f t="shared" si="3"/>
        <v>Yes</v>
      </c>
      <c r="R12" s="311"/>
    </row>
    <row r="13" spans="1:18" s="232" customFormat="1" ht="12.75">
      <c r="A13" s="277">
        <v>-8</v>
      </c>
      <c r="B13" s="221">
        <v>10072</v>
      </c>
      <c r="C13" s="222" t="s">
        <v>19</v>
      </c>
      <c r="D13" s="223">
        <v>0.0033843</v>
      </c>
      <c r="E13" s="224">
        <v>0.0033843</v>
      </c>
      <c r="F13" s="224">
        <v>0.0033843</v>
      </c>
      <c r="G13" s="224">
        <v>0.0033843</v>
      </c>
      <c r="H13" s="225">
        <v>0</v>
      </c>
      <c r="I13" s="226">
        <v>0</v>
      </c>
      <c r="J13" s="227">
        <f>VLOOKUP($B13,'Retained Provisional CHWM Calcs'!$B$10:$AD$50,29,FALSE)</f>
        <v>24.082</v>
      </c>
      <c r="K13" s="228">
        <v>24.4362422253</v>
      </c>
      <c r="L13" s="229">
        <f t="shared" si="0"/>
        <v>0.0033843</v>
      </c>
      <c r="M13" s="230">
        <f t="shared" si="2"/>
        <v>0.0033843</v>
      </c>
      <c r="N13" s="225">
        <f t="shared" si="1"/>
        <v>0</v>
      </c>
      <c r="O13" s="231" t="str">
        <f t="shared" si="3"/>
        <v>No</v>
      </c>
      <c r="R13" s="311"/>
    </row>
    <row r="14" spans="1:18" ht="12.75">
      <c r="A14" s="276">
        <v>-9</v>
      </c>
      <c r="B14" s="210">
        <v>10074</v>
      </c>
      <c r="C14" s="211" t="s">
        <v>25</v>
      </c>
      <c r="D14" s="233">
        <v>0.0035723</v>
      </c>
      <c r="E14" s="234">
        <v>0.0036857</v>
      </c>
      <c r="F14" s="234">
        <v>0.0035723</v>
      </c>
      <c r="G14" s="234">
        <v>0.0036857</v>
      </c>
      <c r="H14" s="235">
        <v>0</v>
      </c>
      <c r="I14" s="236">
        <v>0</v>
      </c>
      <c r="J14" s="237">
        <f>VLOOKUP($B14,'Retained Provisional CHWM Calcs'!$B$10:$AD$50,29,FALSE)</f>
        <v>26.793</v>
      </c>
      <c r="K14" s="238">
        <v>25.4200259733</v>
      </c>
      <c r="L14" s="239">
        <f t="shared" si="0"/>
        <v>0.0035723</v>
      </c>
      <c r="M14" s="240">
        <f t="shared" si="2"/>
        <v>0.0035723</v>
      </c>
      <c r="N14" s="235">
        <f t="shared" si="1"/>
        <v>0</v>
      </c>
      <c r="O14" s="241" t="str">
        <f t="shared" si="3"/>
        <v>No</v>
      </c>
      <c r="R14" s="311"/>
    </row>
    <row r="15" spans="1:18" s="232" customFormat="1" ht="12.75">
      <c r="A15" s="277">
        <v>-10</v>
      </c>
      <c r="B15" s="221">
        <v>10078</v>
      </c>
      <c r="C15" s="222" t="s">
        <v>35</v>
      </c>
      <c r="D15" s="223">
        <v>0.0004924</v>
      </c>
      <c r="E15" s="224">
        <v>0.0004938</v>
      </c>
      <c r="F15" s="224">
        <v>0.0004924</v>
      </c>
      <c r="G15" s="224">
        <v>0.0004938</v>
      </c>
      <c r="H15" s="225">
        <v>0</v>
      </c>
      <c r="I15" s="226">
        <v>0</v>
      </c>
      <c r="J15" s="227">
        <f>VLOOKUP($B15,'Retained Provisional CHWM Calcs'!$B$10:$AD$50,29,FALSE)</f>
        <v>3.733</v>
      </c>
      <c r="K15" s="228">
        <v>3.5038548804000005</v>
      </c>
      <c r="L15" s="229">
        <f t="shared" si="0"/>
        <v>0.0004924</v>
      </c>
      <c r="M15" s="230">
        <f t="shared" si="2"/>
        <v>0.0004924</v>
      </c>
      <c r="N15" s="225">
        <f t="shared" si="1"/>
        <v>0</v>
      </c>
      <c r="O15" s="231" t="str">
        <f t="shared" si="3"/>
        <v>No</v>
      </c>
      <c r="R15" s="311"/>
    </row>
    <row r="16" spans="1:18" ht="12.75">
      <c r="A16" s="276">
        <v>-11</v>
      </c>
      <c r="B16" s="210">
        <v>10079</v>
      </c>
      <c r="C16" s="211" t="s">
        <v>36</v>
      </c>
      <c r="D16" s="233">
        <v>0.0116936</v>
      </c>
      <c r="E16" s="234">
        <v>0.0119602</v>
      </c>
      <c r="F16" s="234">
        <v>0.0116936</v>
      </c>
      <c r="G16" s="234">
        <v>0.0119602</v>
      </c>
      <c r="H16" s="235">
        <v>0</v>
      </c>
      <c r="I16" s="236">
        <v>0</v>
      </c>
      <c r="J16" s="237">
        <f>VLOOKUP($B16,'Retained Provisional CHWM Calcs'!$B$10:$AD$50,29,FALSE)</f>
        <v>88.546</v>
      </c>
      <c r="K16" s="238">
        <v>83.2101491256</v>
      </c>
      <c r="L16" s="239">
        <f t="shared" si="0"/>
        <v>0.0116936</v>
      </c>
      <c r="M16" s="240">
        <f t="shared" si="2"/>
        <v>0.0116936</v>
      </c>
      <c r="N16" s="235">
        <f t="shared" si="1"/>
        <v>0</v>
      </c>
      <c r="O16" s="241" t="str">
        <f t="shared" si="3"/>
        <v>No</v>
      </c>
      <c r="R16" s="311"/>
    </row>
    <row r="17" spans="1:18" s="232" customFormat="1" ht="12.75">
      <c r="A17" s="277">
        <v>-12</v>
      </c>
      <c r="B17" s="221">
        <v>10081</v>
      </c>
      <c r="C17" s="222" t="s">
        <v>37</v>
      </c>
      <c r="D17" s="223">
        <v>0.0014085</v>
      </c>
      <c r="E17" s="224">
        <v>0.001423</v>
      </c>
      <c r="F17" s="224">
        <v>0.0014085</v>
      </c>
      <c r="G17" s="224">
        <v>0.001423</v>
      </c>
      <c r="H17" s="225">
        <v>0</v>
      </c>
      <c r="I17" s="226">
        <v>0</v>
      </c>
      <c r="J17" s="227">
        <f>VLOOKUP($B17,'Retained Provisional CHWM Calcs'!$B$10:$AD$50,29,FALSE)</f>
        <v>10.499</v>
      </c>
      <c r="K17" s="228">
        <v>10.022704303500001</v>
      </c>
      <c r="L17" s="229">
        <f t="shared" si="0"/>
        <v>0.0014085</v>
      </c>
      <c r="M17" s="230">
        <f t="shared" si="2"/>
        <v>0.0014085</v>
      </c>
      <c r="N17" s="225">
        <f t="shared" si="1"/>
        <v>0</v>
      </c>
      <c r="O17" s="231" t="str">
        <f t="shared" si="3"/>
        <v>No</v>
      </c>
      <c r="R17" s="311"/>
    </row>
    <row r="18" spans="1:18" ht="12.75">
      <c r="A18" s="276">
        <v>-13</v>
      </c>
      <c r="B18" s="210">
        <v>10086</v>
      </c>
      <c r="C18" s="211" t="s">
        <v>45</v>
      </c>
      <c r="D18" s="233">
        <v>0.0005568</v>
      </c>
      <c r="E18" s="234">
        <v>0.0005568</v>
      </c>
      <c r="F18" s="234">
        <v>0.0005568</v>
      </c>
      <c r="G18" s="234">
        <v>0.0005568</v>
      </c>
      <c r="H18" s="235">
        <v>0</v>
      </c>
      <c r="I18" s="236">
        <v>0</v>
      </c>
      <c r="J18" s="237">
        <f>VLOOKUP($B18,'Retained Provisional CHWM Calcs'!$B$10:$AD$50,29,FALSE)</f>
        <v>3.962</v>
      </c>
      <c r="K18" s="238">
        <v>4.1491169728</v>
      </c>
      <c r="L18" s="239">
        <f t="shared" si="0"/>
        <v>0.0005568</v>
      </c>
      <c r="M18" s="240">
        <f t="shared" si="2"/>
        <v>0.0005568</v>
      </c>
      <c r="N18" s="235">
        <f t="shared" si="1"/>
        <v>0</v>
      </c>
      <c r="O18" s="241" t="str">
        <f t="shared" si="3"/>
        <v>No</v>
      </c>
      <c r="R18" s="311"/>
    </row>
    <row r="19" spans="1:18" s="232" customFormat="1" ht="12.75">
      <c r="A19" s="277">
        <v>-14</v>
      </c>
      <c r="B19" s="221">
        <v>10094</v>
      </c>
      <c r="C19" s="222" t="s">
        <v>50</v>
      </c>
      <c r="D19" s="223">
        <v>0.0004199</v>
      </c>
      <c r="E19" s="224">
        <v>0.0004186</v>
      </c>
      <c r="F19" s="224">
        <v>0.0004199</v>
      </c>
      <c r="G19" s="224">
        <v>0.0004186</v>
      </c>
      <c r="H19" s="225">
        <v>0</v>
      </c>
      <c r="I19" s="226">
        <v>0</v>
      </c>
      <c r="J19" s="227">
        <f>VLOOKUP($B19,'Retained Provisional CHWM Calcs'!$B$10:$AD$50,29,FALSE)</f>
        <v>3.049</v>
      </c>
      <c r="K19" s="228">
        <v>2.9879542329</v>
      </c>
      <c r="L19" s="229">
        <f t="shared" si="0"/>
        <v>0.0004199</v>
      </c>
      <c r="M19" s="230">
        <f t="shared" si="2"/>
        <v>0.0004199</v>
      </c>
      <c r="N19" s="225">
        <f t="shared" si="1"/>
        <v>0</v>
      </c>
      <c r="O19" s="231" t="str">
        <f t="shared" si="3"/>
        <v>No</v>
      </c>
      <c r="R19" s="311"/>
    </row>
    <row r="20" spans="1:18" ht="12.75">
      <c r="A20" s="276">
        <v>-15</v>
      </c>
      <c r="B20" s="210">
        <v>10103</v>
      </c>
      <c r="C20" s="211" t="s">
        <v>9</v>
      </c>
      <c r="D20" s="233">
        <v>0.0415183</v>
      </c>
      <c r="E20" s="234">
        <v>0.0424853</v>
      </c>
      <c r="F20" s="234">
        <v>0.019658600000000002</v>
      </c>
      <c r="G20" s="234">
        <v>0.020625699999999997</v>
      </c>
      <c r="H20" s="242">
        <v>0.0218597</v>
      </c>
      <c r="I20" s="241">
        <v>0.0218596</v>
      </c>
      <c r="J20" s="237">
        <f>VLOOKUP($B20,'Retained Provisional CHWM Calcs'!$B$10:$AD$50,29,FALSE)</f>
        <v>319.822</v>
      </c>
      <c r="K20" s="238">
        <v>295.439</v>
      </c>
      <c r="L20" s="239">
        <f t="shared" si="0"/>
        <v>0.0415183</v>
      </c>
      <c r="M20" s="240">
        <f t="shared" si="2"/>
        <v>0.019658600000000002</v>
      </c>
      <c r="N20" s="235">
        <f t="shared" si="1"/>
        <v>0.0218597</v>
      </c>
      <c r="O20" s="241" t="str">
        <f t="shared" si="3"/>
        <v>No</v>
      </c>
      <c r="R20" s="311"/>
    </row>
    <row r="21" spans="1:18" s="232" customFormat="1" ht="12.75">
      <c r="A21" s="277">
        <v>-16</v>
      </c>
      <c r="B21" s="221">
        <v>10105</v>
      </c>
      <c r="C21" s="222" t="s">
        <v>10</v>
      </c>
      <c r="D21" s="223">
        <v>0.0132054</v>
      </c>
      <c r="E21" s="224">
        <v>0.0132054</v>
      </c>
      <c r="F21" s="224">
        <v>0.005939300000000001</v>
      </c>
      <c r="G21" s="224">
        <v>0.005939300000000001</v>
      </c>
      <c r="H21" s="243">
        <v>0.0072661</v>
      </c>
      <c r="I21" s="231">
        <v>0.0072661</v>
      </c>
      <c r="J21" s="227">
        <f>VLOOKUP($B21,'Retained Provisional CHWM Calcs'!$B$10:$AD$50,29,FALSE)</f>
        <v>93.225</v>
      </c>
      <c r="K21" s="228">
        <v>93.968</v>
      </c>
      <c r="L21" s="229">
        <f t="shared" si="0"/>
        <v>0.013101</v>
      </c>
      <c r="M21" s="230">
        <f t="shared" si="2"/>
        <v>0.0058349</v>
      </c>
      <c r="N21" s="225">
        <f t="shared" si="1"/>
        <v>0.0072661</v>
      </c>
      <c r="O21" s="231" t="str">
        <f t="shared" si="3"/>
        <v>Yes</v>
      </c>
      <c r="R21" s="311"/>
    </row>
    <row r="22" spans="1:18" ht="12.75">
      <c r="A22" s="276">
        <v>-17</v>
      </c>
      <c r="B22" s="210">
        <v>10106</v>
      </c>
      <c r="C22" s="211" t="s">
        <v>11</v>
      </c>
      <c r="D22" s="233">
        <v>0.0031553</v>
      </c>
      <c r="E22" s="234">
        <v>0.0031681</v>
      </c>
      <c r="F22" s="234">
        <v>0.0031553</v>
      </c>
      <c r="G22" s="234">
        <v>0.0031681</v>
      </c>
      <c r="H22" s="235">
        <v>0</v>
      </c>
      <c r="I22" s="236">
        <v>0</v>
      </c>
      <c r="J22" s="237">
        <f>VLOOKUP($B22,'Retained Provisional CHWM Calcs'!$B$10:$AD$50,29,FALSE)</f>
        <v>23.978</v>
      </c>
      <c r="K22" s="238">
        <v>22.4527077663</v>
      </c>
      <c r="L22" s="239">
        <f t="shared" si="0"/>
        <v>0.0031553</v>
      </c>
      <c r="M22" s="240">
        <f t="shared" si="2"/>
        <v>0.0031553</v>
      </c>
      <c r="N22" s="235">
        <f t="shared" si="1"/>
        <v>0</v>
      </c>
      <c r="O22" s="241" t="str">
        <f t="shared" si="3"/>
        <v>No</v>
      </c>
      <c r="R22" s="311"/>
    </row>
    <row r="23" spans="1:18" s="232" customFormat="1" ht="12.75">
      <c r="A23" s="277">
        <v>-18</v>
      </c>
      <c r="B23" s="221">
        <v>10112</v>
      </c>
      <c r="C23" s="222" t="s">
        <v>12</v>
      </c>
      <c r="D23" s="223">
        <v>0.0080572</v>
      </c>
      <c r="E23" s="224">
        <v>0.0081463</v>
      </c>
      <c r="F23" s="224">
        <v>0.0080572</v>
      </c>
      <c r="G23" s="224">
        <v>0.0081463</v>
      </c>
      <c r="H23" s="225">
        <v>0</v>
      </c>
      <c r="I23" s="226">
        <v>0</v>
      </c>
      <c r="J23" s="227">
        <f>VLOOKUP($B23,'Retained Provisional CHWM Calcs'!$B$10:$AD$50,29,FALSE)</f>
        <v>58.493</v>
      </c>
      <c r="K23" s="228">
        <v>57.333995821200006</v>
      </c>
      <c r="L23" s="229">
        <f t="shared" si="0"/>
        <v>0.0080572</v>
      </c>
      <c r="M23" s="230">
        <f t="shared" si="2"/>
        <v>0.0080572</v>
      </c>
      <c r="N23" s="225">
        <f t="shared" si="1"/>
        <v>0</v>
      </c>
      <c r="O23" s="231" t="str">
        <f t="shared" si="3"/>
        <v>No</v>
      </c>
      <c r="R23" s="311"/>
    </row>
    <row r="24" spans="1:18" ht="12.75">
      <c r="A24" s="276">
        <v>-19</v>
      </c>
      <c r="B24" s="210">
        <v>10121</v>
      </c>
      <c r="C24" s="211" t="s">
        <v>13</v>
      </c>
      <c r="D24" s="233">
        <v>0.0057682</v>
      </c>
      <c r="E24" s="234">
        <v>0.0057682</v>
      </c>
      <c r="F24" s="234">
        <v>0.0057682</v>
      </c>
      <c r="G24" s="234">
        <v>0.0057682</v>
      </c>
      <c r="H24" s="235">
        <v>0</v>
      </c>
      <c r="I24" s="236">
        <v>0</v>
      </c>
      <c r="J24" s="237">
        <f>VLOOKUP($B24,'Retained Provisional CHWM Calcs'!$B$10:$AD$50,29,FALSE)</f>
        <v>41.046</v>
      </c>
      <c r="K24" s="238">
        <v>41.074767102200006</v>
      </c>
      <c r="L24" s="239">
        <f t="shared" si="0"/>
        <v>0.0057682</v>
      </c>
      <c r="M24" s="240">
        <f t="shared" si="2"/>
        <v>0.0057682</v>
      </c>
      <c r="N24" s="235">
        <f t="shared" si="1"/>
        <v>0</v>
      </c>
      <c r="O24" s="241" t="str">
        <f t="shared" si="3"/>
        <v>No</v>
      </c>
      <c r="R24" s="311"/>
    </row>
    <row r="25" spans="1:18" s="232" customFormat="1" ht="12.75">
      <c r="A25" s="277">
        <v>-20</v>
      </c>
      <c r="B25" s="221">
        <v>10136</v>
      </c>
      <c r="C25" s="222" t="s">
        <v>17</v>
      </c>
      <c r="D25" s="223">
        <v>0.0025605</v>
      </c>
      <c r="E25" s="224">
        <v>0.002597</v>
      </c>
      <c r="F25" s="224">
        <v>0.0025605</v>
      </c>
      <c r="G25" s="224">
        <v>0.002597</v>
      </c>
      <c r="H25" s="225">
        <v>0</v>
      </c>
      <c r="I25" s="226">
        <v>0</v>
      </c>
      <c r="J25" s="227">
        <f>VLOOKUP($B25,'Retained Provisional CHWM Calcs'!$B$10:$AD$50,29,FALSE)</f>
        <v>18.615</v>
      </c>
      <c r="K25" s="228">
        <v>18.220187695499998</v>
      </c>
      <c r="L25" s="229">
        <f t="shared" si="0"/>
        <v>0.0025605</v>
      </c>
      <c r="M25" s="230">
        <f t="shared" si="2"/>
        <v>0.0025605</v>
      </c>
      <c r="N25" s="225">
        <f t="shared" si="1"/>
        <v>0</v>
      </c>
      <c r="O25" s="231" t="str">
        <f t="shared" si="3"/>
        <v>No</v>
      </c>
      <c r="R25" s="311"/>
    </row>
    <row r="26" spans="1:18" ht="12.75">
      <c r="A26" s="276">
        <v>-21</v>
      </c>
      <c r="B26" s="210">
        <v>10157</v>
      </c>
      <c r="C26" s="211" t="s">
        <v>20</v>
      </c>
      <c r="D26" s="233">
        <v>0.0069358</v>
      </c>
      <c r="E26" s="234">
        <v>0.0071726</v>
      </c>
      <c r="F26" s="234">
        <v>0.0032313</v>
      </c>
      <c r="G26" s="234">
        <v>0.0034681000000000004</v>
      </c>
      <c r="H26" s="242">
        <v>0.0037045</v>
      </c>
      <c r="I26" s="241">
        <v>0.0037045</v>
      </c>
      <c r="J26" s="237">
        <f>VLOOKUP($B26,'Retained Provisional CHWM Calcs'!$B$10:$AD$50,29,FALSE)</f>
        <v>50.166</v>
      </c>
      <c r="K26" s="238">
        <v>49.354000000000006</v>
      </c>
      <c r="L26" s="239">
        <f t="shared" si="0"/>
        <v>0.0069358</v>
      </c>
      <c r="M26" s="240">
        <f t="shared" si="2"/>
        <v>0.0032313</v>
      </c>
      <c r="N26" s="235">
        <f t="shared" si="1"/>
        <v>0.0037045</v>
      </c>
      <c r="O26" s="241" t="str">
        <f t="shared" si="3"/>
        <v>No</v>
      </c>
      <c r="R26" s="311"/>
    </row>
    <row r="27" spans="1:18" s="232" customFormat="1" ht="12.75">
      <c r="A27" s="277">
        <v>-22</v>
      </c>
      <c r="B27" s="221">
        <v>10158</v>
      </c>
      <c r="C27" s="222" t="s">
        <v>21</v>
      </c>
      <c r="D27" s="223">
        <v>0.0003903</v>
      </c>
      <c r="E27" s="224">
        <v>0.0003903</v>
      </c>
      <c r="F27" s="224">
        <v>0.0003903</v>
      </c>
      <c r="G27" s="224">
        <v>0.0003903</v>
      </c>
      <c r="H27" s="225">
        <v>0</v>
      </c>
      <c r="I27" s="226">
        <v>0</v>
      </c>
      <c r="J27" s="227">
        <f>VLOOKUP($B27,'Retained Provisional CHWM Calcs'!$B$10:$AD$50,29,FALSE)</f>
        <v>2.803</v>
      </c>
      <c r="K27" s="228">
        <v>2.7773244513</v>
      </c>
      <c r="L27" s="229">
        <f t="shared" si="0"/>
        <v>0.0003903</v>
      </c>
      <c r="M27" s="230">
        <f t="shared" si="2"/>
        <v>0.0003903</v>
      </c>
      <c r="N27" s="225">
        <f t="shared" si="1"/>
        <v>0</v>
      </c>
      <c r="O27" s="231" t="str">
        <f t="shared" si="3"/>
        <v>No</v>
      </c>
      <c r="R27" s="311"/>
    </row>
    <row r="28" spans="1:18" ht="12.75">
      <c r="A28" s="276">
        <v>-23</v>
      </c>
      <c r="B28" s="210">
        <v>10170</v>
      </c>
      <c r="C28" s="211" t="s">
        <v>22</v>
      </c>
      <c r="D28" s="233">
        <v>0.0340984</v>
      </c>
      <c r="E28" s="234">
        <v>0.034106</v>
      </c>
      <c r="F28" s="234">
        <v>0.016133500000000002</v>
      </c>
      <c r="G28" s="234">
        <v>0.016141199999999998</v>
      </c>
      <c r="H28" s="242">
        <v>0.0179649</v>
      </c>
      <c r="I28" s="241">
        <v>0.0179648</v>
      </c>
      <c r="J28" s="237">
        <f>VLOOKUP($B28,'Retained Provisional CHWM Calcs'!$B$10:$AD$50,29,FALSE)</f>
        <v>252.144</v>
      </c>
      <c r="K28" s="238">
        <v>242.64</v>
      </c>
      <c r="L28" s="239">
        <f t="shared" si="0"/>
        <v>0.0340984</v>
      </c>
      <c r="M28" s="240">
        <f t="shared" si="2"/>
        <v>0.016133500000000002</v>
      </c>
      <c r="N28" s="235">
        <f t="shared" si="1"/>
        <v>0.0179649</v>
      </c>
      <c r="O28" s="241" t="str">
        <f t="shared" si="3"/>
        <v>No</v>
      </c>
      <c r="R28" s="311"/>
    </row>
    <row r="29" spans="1:18" s="232" customFormat="1" ht="12.75">
      <c r="A29" s="277">
        <v>-24</v>
      </c>
      <c r="B29" s="221">
        <v>10172</v>
      </c>
      <c r="C29" s="222" t="s">
        <v>23</v>
      </c>
      <c r="D29" s="223">
        <v>0.0008695</v>
      </c>
      <c r="E29" s="224">
        <v>0.0008782</v>
      </c>
      <c r="F29" s="224">
        <v>0.0008695</v>
      </c>
      <c r="G29" s="224">
        <v>0.0008782</v>
      </c>
      <c r="H29" s="225">
        <v>0</v>
      </c>
      <c r="I29" s="226">
        <v>0</v>
      </c>
      <c r="J29" s="227">
        <f>VLOOKUP($B29,'Retained Provisional CHWM Calcs'!$B$10:$AD$50,29,FALSE)</f>
        <v>6.127</v>
      </c>
      <c r="K29" s="228">
        <v>6.1872498345</v>
      </c>
      <c r="L29" s="229">
        <f t="shared" si="0"/>
        <v>0.000861</v>
      </c>
      <c r="M29" s="230">
        <f t="shared" si="2"/>
        <v>0.000861</v>
      </c>
      <c r="N29" s="225">
        <f t="shared" si="1"/>
        <v>0</v>
      </c>
      <c r="O29" s="231" t="str">
        <f t="shared" si="3"/>
        <v>Yes</v>
      </c>
      <c r="R29" s="311"/>
    </row>
    <row r="30" spans="1:18" ht="12.75">
      <c r="A30" s="276">
        <v>-25</v>
      </c>
      <c r="B30" s="210">
        <v>10179</v>
      </c>
      <c r="C30" s="211" t="s">
        <v>24</v>
      </c>
      <c r="D30" s="233">
        <v>0.0234635</v>
      </c>
      <c r="E30" s="234">
        <v>0.0235414</v>
      </c>
      <c r="F30" s="234">
        <v>0.0234635</v>
      </c>
      <c r="G30" s="234">
        <v>0.0235414</v>
      </c>
      <c r="H30" s="235">
        <v>0</v>
      </c>
      <c r="I30" s="236">
        <v>0</v>
      </c>
      <c r="J30" s="237">
        <f>VLOOKUP($B30,'Retained Provisional CHWM Calcs'!$B$10:$AD$50,29,FALSE)</f>
        <v>167.518</v>
      </c>
      <c r="K30" s="238">
        <v>166.96323920850003</v>
      </c>
      <c r="L30" s="239">
        <f t="shared" si="0"/>
        <v>0.0234635</v>
      </c>
      <c r="M30" s="240">
        <f t="shared" si="2"/>
        <v>0.0234635</v>
      </c>
      <c r="N30" s="235">
        <f t="shared" si="1"/>
        <v>0</v>
      </c>
      <c r="O30" s="241" t="str">
        <f t="shared" si="3"/>
        <v>No</v>
      </c>
      <c r="R30" s="311"/>
    </row>
    <row r="31" spans="1:18" s="232" customFormat="1" ht="12.75">
      <c r="A31" s="277">
        <v>-26</v>
      </c>
      <c r="B31" s="221">
        <v>10191</v>
      </c>
      <c r="C31" s="222" t="s">
        <v>27</v>
      </c>
      <c r="D31" s="223">
        <v>0.0185169</v>
      </c>
      <c r="E31" s="224">
        <v>0.0185169</v>
      </c>
      <c r="F31" s="224">
        <v>0.0088173</v>
      </c>
      <c r="G31" s="224">
        <v>0.0088174</v>
      </c>
      <c r="H31" s="243">
        <v>0.0096996</v>
      </c>
      <c r="I31" s="231">
        <v>0.0096995</v>
      </c>
      <c r="J31" s="227">
        <f>VLOOKUP($B31,'Retained Provisional CHWM Calcs'!$B$10:$AD$50,29,FALSE)</f>
        <v>131.764</v>
      </c>
      <c r="K31" s="228">
        <v>131.764</v>
      </c>
      <c r="L31" s="229">
        <f t="shared" si="0"/>
        <v>0.0185169</v>
      </c>
      <c r="M31" s="230">
        <f t="shared" si="2"/>
        <v>0.0088173</v>
      </c>
      <c r="N31" s="225">
        <f t="shared" si="1"/>
        <v>0.0096996</v>
      </c>
      <c r="O31" s="231" t="str">
        <f t="shared" si="3"/>
        <v>No</v>
      </c>
      <c r="R31" s="311"/>
    </row>
    <row r="32" spans="1:18" ht="12.75">
      <c r="A32" s="276">
        <v>-27</v>
      </c>
      <c r="B32" s="210">
        <v>10235</v>
      </c>
      <c r="C32" s="211" t="s">
        <v>30</v>
      </c>
      <c r="D32" s="233">
        <v>0.0046247</v>
      </c>
      <c r="E32" s="234">
        <v>0.0046285</v>
      </c>
      <c r="F32" s="234">
        <v>0.0046247</v>
      </c>
      <c r="G32" s="234">
        <v>0.0046285</v>
      </c>
      <c r="H32" s="235">
        <v>0</v>
      </c>
      <c r="I32" s="236">
        <v>0</v>
      </c>
      <c r="J32" s="237">
        <f>VLOOKUP($B32,'Retained Provisional CHWM Calcs'!$B$10:$AD$50,29,FALSE)</f>
        <v>33.251</v>
      </c>
      <c r="K32" s="238">
        <v>32.9087686137</v>
      </c>
      <c r="L32" s="239">
        <f t="shared" si="0"/>
        <v>0.0046247</v>
      </c>
      <c r="M32" s="240">
        <f t="shared" si="2"/>
        <v>0.0046247</v>
      </c>
      <c r="N32" s="235">
        <f t="shared" si="1"/>
        <v>0</v>
      </c>
      <c r="O32" s="241" t="str">
        <f t="shared" si="3"/>
        <v>No</v>
      </c>
      <c r="R32" s="311"/>
    </row>
    <row r="33" spans="1:18" s="232" customFormat="1" ht="12.75">
      <c r="A33" s="277">
        <v>-28</v>
      </c>
      <c r="B33" s="221">
        <v>10239</v>
      </c>
      <c r="C33" s="222" t="s">
        <v>32</v>
      </c>
      <c r="D33" s="223">
        <v>0.0019538</v>
      </c>
      <c r="E33" s="224">
        <v>0.0019784</v>
      </c>
      <c r="F33" s="224">
        <v>0.0019538</v>
      </c>
      <c r="G33" s="224">
        <v>0.0019784</v>
      </c>
      <c r="H33" s="225">
        <v>0</v>
      </c>
      <c r="I33" s="226">
        <v>0</v>
      </c>
      <c r="J33" s="227">
        <f>VLOOKUP($B33,'Retained Provisional CHWM Calcs'!$B$10:$AD$50,29,FALSE)</f>
        <v>14.059</v>
      </c>
      <c r="K33" s="228">
        <v>13.9029887598</v>
      </c>
      <c r="L33" s="229">
        <f t="shared" si="0"/>
        <v>0.0019538</v>
      </c>
      <c r="M33" s="230">
        <f t="shared" si="2"/>
        <v>0.0019538</v>
      </c>
      <c r="N33" s="225">
        <f t="shared" si="1"/>
        <v>0</v>
      </c>
      <c r="O33" s="231" t="str">
        <f t="shared" si="3"/>
        <v>No</v>
      </c>
      <c r="R33" s="311"/>
    </row>
    <row r="34" spans="1:18" ht="12.75">
      <c r="A34" s="276">
        <v>-29</v>
      </c>
      <c r="B34" s="210">
        <v>10246</v>
      </c>
      <c r="C34" s="211" t="s">
        <v>33</v>
      </c>
      <c r="D34" s="233">
        <v>0.0012682</v>
      </c>
      <c r="E34" s="234">
        <v>0.0012682</v>
      </c>
      <c r="F34" s="234">
        <v>0.0012682</v>
      </c>
      <c r="G34" s="234">
        <v>0.0012682</v>
      </c>
      <c r="H34" s="235">
        <v>0</v>
      </c>
      <c r="I34" s="236">
        <v>0</v>
      </c>
      <c r="J34" s="237">
        <f>VLOOKUP($B34,'Retained Provisional CHWM Calcs'!$B$10:$AD$50,29,FALSE)</f>
        <v>9.024</v>
      </c>
      <c r="K34" s="238">
        <v>9.400347602199998</v>
      </c>
      <c r="L34" s="239">
        <f t="shared" si="0"/>
        <v>0.0012682</v>
      </c>
      <c r="M34" s="240">
        <f t="shared" si="2"/>
        <v>0.0012682</v>
      </c>
      <c r="N34" s="235">
        <f t="shared" si="1"/>
        <v>0</v>
      </c>
      <c r="O34" s="241" t="str">
        <f t="shared" si="3"/>
        <v>No</v>
      </c>
      <c r="R34" s="311"/>
    </row>
    <row r="35" spans="1:18" s="232" customFormat="1" ht="12.75">
      <c r="A35" s="277">
        <v>-30</v>
      </c>
      <c r="B35" s="221">
        <v>10247</v>
      </c>
      <c r="C35" s="222" t="s">
        <v>34</v>
      </c>
      <c r="D35" s="223">
        <v>0.0112793</v>
      </c>
      <c r="E35" s="224">
        <v>0.0112793</v>
      </c>
      <c r="F35" s="224">
        <v>0.0112793</v>
      </c>
      <c r="G35" s="224">
        <v>0.0112793</v>
      </c>
      <c r="H35" s="225">
        <v>0</v>
      </c>
      <c r="I35" s="226">
        <v>0</v>
      </c>
      <c r="J35" s="227">
        <f>VLOOKUP($B35,'Retained Provisional CHWM Calcs'!$B$10:$AD$50,29,FALSE)</f>
        <v>80.262</v>
      </c>
      <c r="K35" s="228">
        <v>80.9990437703</v>
      </c>
      <c r="L35" s="229">
        <f t="shared" si="0"/>
        <v>0.0112793</v>
      </c>
      <c r="M35" s="230">
        <f t="shared" si="2"/>
        <v>0.0112793</v>
      </c>
      <c r="N35" s="225">
        <f t="shared" si="1"/>
        <v>0</v>
      </c>
      <c r="O35" s="231" t="str">
        <f t="shared" si="3"/>
        <v>No</v>
      </c>
      <c r="R35" s="311"/>
    </row>
    <row r="36" spans="1:18" ht="12.75">
      <c r="A36" s="276">
        <v>-31</v>
      </c>
      <c r="B36" s="210">
        <v>10258</v>
      </c>
      <c r="C36" s="211" t="s">
        <v>38</v>
      </c>
      <c r="D36" s="233">
        <v>0.0052547</v>
      </c>
      <c r="E36" s="234">
        <v>0.0053556</v>
      </c>
      <c r="F36" s="234">
        <v>0.0052547</v>
      </c>
      <c r="G36" s="234">
        <v>0.0053556</v>
      </c>
      <c r="H36" s="235">
        <v>0</v>
      </c>
      <c r="I36" s="236">
        <v>0</v>
      </c>
      <c r="J36" s="237">
        <f>VLOOKUP($B36,'Retained Provisional CHWM Calcs'!$B$10:$AD$50,29,FALSE)</f>
        <v>38.11</v>
      </c>
      <c r="K36" s="238">
        <v>37.3917673437</v>
      </c>
      <c r="L36" s="239">
        <f t="shared" si="0"/>
        <v>0.0052547</v>
      </c>
      <c r="M36" s="240">
        <f t="shared" si="2"/>
        <v>0.0052547</v>
      </c>
      <c r="N36" s="235">
        <f t="shared" si="1"/>
        <v>0</v>
      </c>
      <c r="O36" s="241" t="str">
        <f t="shared" si="3"/>
        <v>No</v>
      </c>
      <c r="R36" s="311"/>
    </row>
    <row r="37" spans="1:18" s="232" customFormat="1" ht="12.75">
      <c r="A37" s="277">
        <v>-32</v>
      </c>
      <c r="B37" s="221">
        <v>10286</v>
      </c>
      <c r="C37" s="222" t="s">
        <v>39</v>
      </c>
      <c r="D37" s="223">
        <v>0.006781</v>
      </c>
      <c r="E37" s="224">
        <v>0.0069074</v>
      </c>
      <c r="F37" s="224">
        <v>0.0031648999999999996</v>
      </c>
      <c r="G37" s="224">
        <v>0.0032913</v>
      </c>
      <c r="H37" s="243">
        <v>0.0036161</v>
      </c>
      <c r="I37" s="231">
        <v>0.0036161</v>
      </c>
      <c r="J37" s="227">
        <f>VLOOKUP($B37,'Retained Provisional CHWM Calcs'!$B$10:$AD$50,29,FALSE)</f>
        <v>46.103</v>
      </c>
      <c r="K37" s="228">
        <v>48.253</v>
      </c>
      <c r="L37" s="229">
        <f t="shared" si="0"/>
        <v>0.0064789</v>
      </c>
      <c r="M37" s="230">
        <f t="shared" si="2"/>
        <v>0.0028628</v>
      </c>
      <c r="N37" s="225">
        <f t="shared" si="1"/>
        <v>0.0036161</v>
      </c>
      <c r="O37" s="231" t="str">
        <f t="shared" si="3"/>
        <v>Yes</v>
      </c>
      <c r="R37" s="311"/>
    </row>
    <row r="38" spans="1:18" ht="12.75">
      <c r="A38" s="276">
        <v>-33</v>
      </c>
      <c r="B38" s="210">
        <v>10288</v>
      </c>
      <c r="C38" s="211" t="s">
        <v>40</v>
      </c>
      <c r="D38" s="233">
        <v>0.0034904</v>
      </c>
      <c r="E38" s="234">
        <v>0.0034904</v>
      </c>
      <c r="F38" s="234">
        <v>0.0034904</v>
      </c>
      <c r="G38" s="234">
        <v>0.0034904</v>
      </c>
      <c r="H38" s="235">
        <v>0</v>
      </c>
      <c r="I38" s="236">
        <v>0</v>
      </c>
      <c r="J38" s="237">
        <f>VLOOKUP($B38,'Retained Provisional CHWM Calcs'!$B$10:$AD$50,29,FALSE)</f>
        <v>24.837</v>
      </c>
      <c r="K38" s="238">
        <v>26.150236138399997</v>
      </c>
      <c r="L38" s="239">
        <f t="shared" si="0"/>
        <v>0.0034904</v>
      </c>
      <c r="M38" s="240">
        <f t="shared" si="2"/>
        <v>0.0034904</v>
      </c>
      <c r="N38" s="235">
        <f t="shared" si="1"/>
        <v>0</v>
      </c>
      <c r="O38" s="241" t="str">
        <f t="shared" si="3"/>
        <v>No</v>
      </c>
      <c r="R38" s="311"/>
    </row>
    <row r="39" spans="1:18" s="232" customFormat="1" ht="12.75">
      <c r="A39" s="277">
        <v>-34</v>
      </c>
      <c r="B39" s="221">
        <v>10291</v>
      </c>
      <c r="C39" s="222" t="s">
        <v>41</v>
      </c>
      <c r="D39" s="223">
        <v>0.0107215</v>
      </c>
      <c r="E39" s="224">
        <v>0.0108438</v>
      </c>
      <c r="F39" s="224">
        <v>0.0107215</v>
      </c>
      <c r="G39" s="224">
        <v>0.0108438</v>
      </c>
      <c r="H39" s="225">
        <v>0</v>
      </c>
      <c r="I39" s="226">
        <v>0</v>
      </c>
      <c r="J39" s="227">
        <f>VLOOKUP($B39,'Retained Provisional CHWM Calcs'!$B$10:$AD$50,29,FALSE)</f>
        <v>79.512</v>
      </c>
      <c r="K39" s="228">
        <v>76.2928109265</v>
      </c>
      <c r="L39" s="229">
        <f t="shared" si="0"/>
        <v>0.0107215</v>
      </c>
      <c r="M39" s="230">
        <f t="shared" si="2"/>
        <v>0.0107215</v>
      </c>
      <c r="N39" s="225">
        <f t="shared" si="1"/>
        <v>0</v>
      </c>
      <c r="O39" s="231" t="str">
        <f t="shared" si="3"/>
        <v>No</v>
      </c>
      <c r="R39" s="311"/>
    </row>
    <row r="40" spans="1:18" ht="12.75">
      <c r="A40" s="276">
        <v>-35</v>
      </c>
      <c r="B40" s="210">
        <v>10304</v>
      </c>
      <c r="C40" s="211" t="s">
        <v>43</v>
      </c>
      <c r="D40" s="233">
        <v>0.0019853</v>
      </c>
      <c r="E40" s="234">
        <v>0.0019853</v>
      </c>
      <c r="F40" s="234">
        <v>0.0019853</v>
      </c>
      <c r="G40" s="234">
        <v>0.0019853</v>
      </c>
      <c r="H40" s="235">
        <v>0</v>
      </c>
      <c r="I40" s="236">
        <v>0</v>
      </c>
      <c r="J40" s="237">
        <f>VLOOKUP($B40,'Retained Provisional CHWM Calcs'!$B$10:$AD$50,29,FALSE)</f>
        <v>14.127</v>
      </c>
      <c r="K40" s="238">
        <v>14.5381386963</v>
      </c>
      <c r="L40" s="239">
        <f t="shared" si="0"/>
        <v>0.0019853</v>
      </c>
      <c r="M40" s="240">
        <f t="shared" si="2"/>
        <v>0.0019853</v>
      </c>
      <c r="N40" s="235">
        <f t="shared" si="1"/>
        <v>0</v>
      </c>
      <c r="O40" s="241" t="str">
        <f t="shared" si="3"/>
        <v>No</v>
      </c>
      <c r="R40" s="311"/>
    </row>
    <row r="41" spans="1:18" s="232" customFormat="1" ht="12.75">
      <c r="A41" s="277">
        <v>-36</v>
      </c>
      <c r="B41" s="221">
        <v>10306</v>
      </c>
      <c r="C41" s="222" t="s">
        <v>44</v>
      </c>
      <c r="D41" s="223">
        <v>0.0040005</v>
      </c>
      <c r="E41" s="224">
        <v>0.0040939</v>
      </c>
      <c r="F41" s="224">
        <v>0.0040005</v>
      </c>
      <c r="G41" s="224">
        <v>0.0040939</v>
      </c>
      <c r="H41" s="225">
        <v>0</v>
      </c>
      <c r="I41" s="226">
        <v>0</v>
      </c>
      <c r="J41" s="227">
        <f>VLOOKUP($B41,'Retained Provisional CHWM Calcs'!$B$10:$AD$50,29,FALSE)</f>
        <v>25.876</v>
      </c>
      <c r="K41" s="228">
        <v>28.467</v>
      </c>
      <c r="L41" s="229">
        <f t="shared" si="0"/>
        <v>0.0036364</v>
      </c>
      <c r="M41" s="230">
        <f t="shared" si="2"/>
        <v>0.0036364</v>
      </c>
      <c r="N41" s="225">
        <f t="shared" si="1"/>
        <v>0</v>
      </c>
      <c r="O41" s="231" t="str">
        <f t="shared" si="3"/>
        <v>Yes</v>
      </c>
      <c r="R41" s="311"/>
    </row>
    <row r="42" spans="1:18" ht="12.75">
      <c r="A42" s="276">
        <v>-37</v>
      </c>
      <c r="B42" s="210">
        <v>10331</v>
      </c>
      <c r="C42" s="211" t="s">
        <v>46</v>
      </c>
      <c r="D42" s="233">
        <v>0.0048421</v>
      </c>
      <c r="E42" s="234">
        <v>0.0048732</v>
      </c>
      <c r="F42" s="234">
        <v>0.0048421</v>
      </c>
      <c r="G42" s="234">
        <v>0.0048732</v>
      </c>
      <c r="H42" s="235">
        <v>0</v>
      </c>
      <c r="I42" s="236">
        <v>0</v>
      </c>
      <c r="J42" s="237">
        <f>VLOOKUP($B42,'Retained Provisional CHWM Calcs'!$B$10:$AD$50,29,FALSE)</f>
        <v>36.755</v>
      </c>
      <c r="K42" s="238">
        <v>34.4557589691</v>
      </c>
      <c r="L42" s="239">
        <f t="shared" si="0"/>
        <v>0.0048421</v>
      </c>
      <c r="M42" s="240">
        <f t="shared" si="2"/>
        <v>0.0048421</v>
      </c>
      <c r="N42" s="235">
        <f t="shared" si="1"/>
        <v>0</v>
      </c>
      <c r="O42" s="241" t="str">
        <f t="shared" si="3"/>
        <v>No</v>
      </c>
      <c r="R42" s="311"/>
    </row>
    <row r="43" spans="1:18" s="232" customFormat="1" ht="12.75">
      <c r="A43" s="277">
        <v>-38</v>
      </c>
      <c r="B43" s="221">
        <v>10342</v>
      </c>
      <c r="C43" s="222" t="s">
        <v>47</v>
      </c>
      <c r="D43" s="223">
        <v>0.0055584</v>
      </c>
      <c r="E43" s="224">
        <v>0.0055584</v>
      </c>
      <c r="F43" s="224">
        <v>0.0055584</v>
      </c>
      <c r="G43" s="224">
        <v>0.0055584</v>
      </c>
      <c r="H43" s="225">
        <v>0</v>
      </c>
      <c r="I43" s="226">
        <v>0</v>
      </c>
      <c r="J43" s="227">
        <f>VLOOKUP($B43,'Retained Provisional CHWM Calcs'!$B$10:$AD$50,29,FALSE)</f>
        <v>38.852</v>
      </c>
      <c r="K43" s="228">
        <v>39.6708573664</v>
      </c>
      <c r="L43" s="229">
        <f t="shared" si="0"/>
        <v>0.0054599</v>
      </c>
      <c r="M43" s="230">
        <f t="shared" si="2"/>
        <v>0.0054599</v>
      </c>
      <c r="N43" s="225">
        <f t="shared" si="1"/>
        <v>0</v>
      </c>
      <c r="O43" s="231" t="str">
        <f t="shared" si="3"/>
        <v>Yes</v>
      </c>
      <c r="R43" s="311"/>
    </row>
    <row r="44" spans="1:18" ht="12.75">
      <c r="A44" s="276">
        <v>-39</v>
      </c>
      <c r="B44" s="210">
        <v>10378</v>
      </c>
      <c r="C44" s="211" t="s">
        <v>14</v>
      </c>
      <c r="D44" s="233">
        <v>0.0002857</v>
      </c>
      <c r="E44" s="234">
        <v>0.0002857</v>
      </c>
      <c r="F44" s="234">
        <v>0.0002857</v>
      </c>
      <c r="G44" s="234">
        <v>0.0002857</v>
      </c>
      <c r="H44" s="235">
        <v>0</v>
      </c>
      <c r="I44" s="236">
        <v>0</v>
      </c>
      <c r="J44" s="237">
        <f>VLOOKUP($B44,'Retained Provisional CHWM Calcs'!$B$10:$AD$50,29,FALSE)</f>
        <v>2.029</v>
      </c>
      <c r="K44" s="238">
        <v>2.1740043447</v>
      </c>
      <c r="L44" s="239">
        <f t="shared" si="0"/>
        <v>0.0002851</v>
      </c>
      <c r="M44" s="240">
        <f t="shared" si="2"/>
        <v>0.0002851</v>
      </c>
      <c r="N44" s="235">
        <f t="shared" si="1"/>
        <v>0</v>
      </c>
      <c r="O44" s="241" t="str">
        <f t="shared" si="3"/>
        <v>Yes</v>
      </c>
      <c r="R44" s="311"/>
    </row>
    <row r="45" spans="1:18" s="232" customFormat="1" ht="12.75">
      <c r="A45" s="277">
        <v>-40</v>
      </c>
      <c r="B45" s="221">
        <v>10448</v>
      </c>
      <c r="C45" s="222" t="s">
        <v>52</v>
      </c>
      <c r="D45" s="223">
        <v>0.0011826</v>
      </c>
      <c r="E45" s="224">
        <v>0.0011857</v>
      </c>
      <c r="F45" s="224">
        <v>0.0011826</v>
      </c>
      <c r="G45" s="224">
        <v>0.0011857</v>
      </c>
      <c r="H45" s="225">
        <v>0</v>
      </c>
      <c r="I45" s="226">
        <v>0</v>
      </c>
      <c r="J45" s="227">
        <f>VLOOKUP($B45,'Retained Provisional CHWM Calcs'!$B$10:$AD$50,29,FALSE)</f>
        <v>8.517</v>
      </c>
      <c r="K45" s="228">
        <v>8.4152290446</v>
      </c>
      <c r="L45" s="229">
        <f t="shared" si="0"/>
        <v>0.0011826</v>
      </c>
      <c r="M45" s="230">
        <f t="shared" si="2"/>
        <v>0.0011826</v>
      </c>
      <c r="N45" s="225">
        <f t="shared" si="1"/>
        <v>0</v>
      </c>
      <c r="O45" s="231" t="str">
        <f t="shared" si="3"/>
        <v>No</v>
      </c>
      <c r="R45" s="311"/>
    </row>
    <row r="46" spans="1:18" ht="13.5" thickBot="1">
      <c r="A46" s="276">
        <v>-41</v>
      </c>
      <c r="B46" s="210">
        <v>10502</v>
      </c>
      <c r="C46" s="211" t="s">
        <v>57</v>
      </c>
      <c r="D46" s="244">
        <v>0.0013887</v>
      </c>
      <c r="E46" s="245">
        <v>0.0014001</v>
      </c>
      <c r="F46" s="245">
        <v>0.0013887</v>
      </c>
      <c r="G46" s="245">
        <v>0.0014001</v>
      </c>
      <c r="H46" s="246">
        <v>0</v>
      </c>
      <c r="I46" s="247">
        <v>0</v>
      </c>
      <c r="J46" s="248">
        <f>VLOOKUP($B46,'Retained Provisional CHWM Calcs'!$B$10:$AD$50,29,FALSE)</f>
        <v>9.963</v>
      </c>
      <c r="K46" s="249">
        <v>9.881810057700001</v>
      </c>
      <c r="L46" s="250">
        <f t="shared" si="0"/>
        <v>0.0013887</v>
      </c>
      <c r="M46" s="251">
        <f t="shared" si="2"/>
        <v>0.0013887</v>
      </c>
      <c r="N46" s="246">
        <f t="shared" si="1"/>
        <v>0</v>
      </c>
      <c r="O46" s="252" t="str">
        <f t="shared" si="3"/>
        <v>No</v>
      </c>
      <c r="R46" s="311"/>
    </row>
    <row r="47" spans="2:11" ht="12.75">
      <c r="B47" s="253"/>
      <c r="C47" s="254"/>
      <c r="D47" s="255"/>
      <c r="E47" s="255"/>
      <c r="F47" s="255"/>
      <c r="G47" s="255"/>
      <c r="H47" s="256"/>
      <c r="I47" s="256"/>
      <c r="J47" s="256"/>
      <c r="K47" s="256"/>
    </row>
    <row r="48" spans="2:15" ht="12.75">
      <c r="B48" s="257"/>
      <c r="C48" s="257"/>
      <c r="D48" s="257"/>
      <c r="E48" s="257"/>
      <c r="F48" s="257"/>
      <c r="G48" s="257"/>
      <c r="K48" s="258" t="s">
        <v>447</v>
      </c>
      <c r="L48" s="61">
        <v>7115.875</v>
      </c>
      <c r="O48" s="266">
        <f>COUNTIF(O6:O46,"Yes")</f>
        <v>9</v>
      </c>
    </row>
    <row r="49" ht="12.75">
      <c r="B49" s="264" t="s">
        <v>54</v>
      </c>
    </row>
    <row r="50" ht="12.75">
      <c r="B50" s="205" t="s">
        <v>452</v>
      </c>
    </row>
    <row r="51" ht="12.75">
      <c r="B51" s="205" t="s">
        <v>454</v>
      </c>
    </row>
  </sheetData>
  <mergeCells count="3">
    <mergeCell ref="D4:I4"/>
    <mergeCell ref="J4:O4"/>
    <mergeCell ref="A2:C2"/>
  </mergeCells>
  <printOptions/>
  <pageMargins left="0.75" right="0.75" top="1" bottom="1" header="0.5" footer="0.5"/>
  <pageSetup horizontalDpi="600" verticalDpi="600" orientation="portrait" scale="7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workbookViewId="0" topLeftCell="A1"/>
  </sheetViews>
  <sheetFormatPr defaultColWidth="9.140625" defaultRowHeight="12.75"/>
  <cols>
    <col min="1" max="1" width="4.421875" style="4" customWidth="1"/>
    <col min="2" max="2" width="9.421875" style="4" bestFit="1" customWidth="1"/>
    <col min="3" max="3" width="23.140625" style="4" customWidth="1"/>
    <col min="4" max="27" width="10.28125" style="4" bestFit="1" customWidth="1"/>
    <col min="28" max="16384" width="9.140625" style="4" customWidth="1"/>
  </cols>
  <sheetData>
    <row r="1" ht="20.25">
      <c r="A1" s="273" t="s">
        <v>497</v>
      </c>
    </row>
    <row r="2" ht="15.75">
      <c r="A2" s="275" t="s">
        <v>455</v>
      </c>
    </row>
    <row r="3" spans="1:3" ht="15">
      <c r="A3" s="329">
        <v>41736</v>
      </c>
      <c r="B3" s="329"/>
      <c r="C3" s="329"/>
    </row>
    <row r="4" spans="2:3" ht="15">
      <c r="B4" s="274"/>
      <c r="C4" s="274"/>
    </row>
    <row r="5" spans="4:27" ht="12.75">
      <c r="D5" s="330" t="s">
        <v>442</v>
      </c>
      <c r="E5" s="331"/>
      <c r="F5" s="331"/>
      <c r="G5" s="331"/>
      <c r="H5" s="331"/>
      <c r="I5" s="331"/>
      <c r="J5" s="331"/>
      <c r="K5" s="331"/>
      <c r="L5" s="331"/>
      <c r="M5" s="331"/>
      <c r="N5" s="331"/>
      <c r="O5" s="331"/>
      <c r="P5" s="331"/>
      <c r="Q5" s="331"/>
      <c r="R5" s="331"/>
      <c r="S5" s="331"/>
      <c r="T5" s="331"/>
      <c r="U5" s="331"/>
      <c r="V5" s="331"/>
      <c r="W5" s="331"/>
      <c r="X5" s="331"/>
      <c r="Y5" s="331"/>
      <c r="Z5" s="331"/>
      <c r="AA5" s="332"/>
    </row>
    <row r="6" spans="4:27" ht="12.75">
      <c r="D6" s="282">
        <v>41548</v>
      </c>
      <c r="E6" s="282">
        <v>41548</v>
      </c>
      <c r="F6" s="282">
        <v>41579</v>
      </c>
      <c r="G6" s="282">
        <v>41579</v>
      </c>
      <c r="H6" s="282">
        <v>41609</v>
      </c>
      <c r="I6" s="282">
        <v>41609</v>
      </c>
      <c r="J6" s="282">
        <v>41640</v>
      </c>
      <c r="K6" s="282">
        <v>41640</v>
      </c>
      <c r="L6" s="282">
        <v>41671</v>
      </c>
      <c r="M6" s="282">
        <v>41671</v>
      </c>
      <c r="N6" s="282">
        <v>41699</v>
      </c>
      <c r="O6" s="282">
        <v>41699</v>
      </c>
      <c r="P6" s="282">
        <v>41730</v>
      </c>
      <c r="Q6" s="282">
        <v>41730</v>
      </c>
      <c r="R6" s="282">
        <v>41760</v>
      </c>
      <c r="S6" s="282">
        <v>41760</v>
      </c>
      <c r="T6" s="282">
        <v>41791</v>
      </c>
      <c r="U6" s="282">
        <v>41791</v>
      </c>
      <c r="V6" s="282">
        <v>41821</v>
      </c>
      <c r="W6" s="282">
        <v>41821</v>
      </c>
      <c r="X6" s="282">
        <v>41852</v>
      </c>
      <c r="Y6" s="282">
        <v>41852</v>
      </c>
      <c r="Z6" s="282">
        <v>41883</v>
      </c>
      <c r="AA6" s="282">
        <v>41883</v>
      </c>
    </row>
    <row r="7" spans="2:27" ht="12.75">
      <c r="B7" s="279" t="s">
        <v>0</v>
      </c>
      <c r="C7" s="279" t="s">
        <v>55</v>
      </c>
      <c r="D7" s="281" t="s">
        <v>440</v>
      </c>
      <c r="E7" s="281" t="s">
        <v>441</v>
      </c>
      <c r="F7" s="281" t="s">
        <v>440</v>
      </c>
      <c r="G7" s="281" t="s">
        <v>441</v>
      </c>
      <c r="H7" s="281" t="s">
        <v>440</v>
      </c>
      <c r="I7" s="281" t="s">
        <v>441</v>
      </c>
      <c r="J7" s="281" t="s">
        <v>440</v>
      </c>
      <c r="K7" s="281" t="s">
        <v>441</v>
      </c>
      <c r="L7" s="281" t="s">
        <v>440</v>
      </c>
      <c r="M7" s="281" t="s">
        <v>441</v>
      </c>
      <c r="N7" s="281" t="s">
        <v>440</v>
      </c>
      <c r="O7" s="281" t="s">
        <v>441</v>
      </c>
      <c r="P7" s="281" t="s">
        <v>440</v>
      </c>
      <c r="Q7" s="281" t="s">
        <v>441</v>
      </c>
      <c r="R7" s="281" t="s">
        <v>440</v>
      </c>
      <c r="S7" s="281" t="s">
        <v>441</v>
      </c>
      <c r="T7" s="281" t="s">
        <v>440</v>
      </c>
      <c r="U7" s="281" t="s">
        <v>441</v>
      </c>
      <c r="V7" s="281" t="s">
        <v>440</v>
      </c>
      <c r="W7" s="281" t="s">
        <v>441</v>
      </c>
      <c r="X7" s="281" t="s">
        <v>440</v>
      </c>
      <c r="Y7" s="281" t="s">
        <v>441</v>
      </c>
      <c r="Z7" s="281" t="s">
        <v>440</v>
      </c>
      <c r="AA7" s="281" t="s">
        <v>441</v>
      </c>
    </row>
    <row r="8" spans="1:27" ht="12.75">
      <c r="A8" s="278">
        <v>-1</v>
      </c>
      <c r="B8" s="210">
        <v>10015</v>
      </c>
      <c r="C8" s="286" t="str">
        <f>VLOOKUP(B8,'Retained Provisional CHWM Calcs'!$B$10:$C$50,2,FALSE)</f>
        <v>ASOTIN</v>
      </c>
      <c r="D8" s="47">
        <f>(VLOOKUP($B8,'TOCA Updates'!$B$6:$M$46,12,FALSE))*$D$22</f>
        <v>241.76231057724235</v>
      </c>
      <c r="E8" s="47">
        <f>(VLOOKUP($B8,'TOCA Updates'!$B$6:$M$46,12,FALSE))*$E$22</f>
        <v>134.01616408213974</v>
      </c>
      <c r="F8" s="47">
        <f>(VLOOKUP($B8,'TOCA Updates'!$B$6:$M$46,12,FALSE))*$F$22</f>
        <v>286.5807281314975</v>
      </c>
      <c r="G8" s="47">
        <f>(VLOOKUP($B8,'TOCA Updates'!$B$6:$M$46,12,FALSE))*$G$22</f>
        <v>173.68957621951918</v>
      </c>
      <c r="H8" s="47">
        <f>(VLOOKUP($B8,'TOCA Updates'!$B$6:$M$46,12,FALSE))*$H$22</f>
        <v>286.2397462903144</v>
      </c>
      <c r="I8" s="47">
        <f>(VLOOKUP($B8,'TOCA Updates'!$B$6:$M$46,12,FALSE))*$I$22</f>
        <v>178.16528527630027</v>
      </c>
      <c r="J8" s="47">
        <f>(VLOOKUP($B8,'TOCA Updates'!$B$6:$M$46,12,FALSE))*$J$22</f>
        <v>294.2377713984256</v>
      </c>
      <c r="K8" s="47">
        <f>(VLOOKUP($B8,'TOCA Updates'!$B$6:$M$46,12,FALSE))*$K$22</f>
        <v>167.54077944565293</v>
      </c>
      <c r="L8" s="47">
        <f>(VLOOKUP($B8,'TOCA Updates'!$B$6:$M$46,12,FALSE))*$L$22</f>
        <v>235.4637552728857</v>
      </c>
      <c r="M8" s="47">
        <f>(VLOOKUP($B8,'TOCA Updates'!$B$6:$M$46,12,FALSE))*$M$22</f>
        <v>138.47521637755727</v>
      </c>
      <c r="N8" s="47">
        <f>(VLOOKUP($B8,'TOCA Updates'!$B$6:$M$46,12,FALSE))*$N$22</f>
        <v>238.6912598438065</v>
      </c>
      <c r="O8" s="47">
        <f>(VLOOKUP($B8,'TOCA Updates'!$B$6:$M$46,12,FALSE))*$O$22</f>
        <v>150.17467789267477</v>
      </c>
      <c r="P8" s="47">
        <f>(VLOOKUP($B8,'TOCA Updates'!$B$6:$M$46,12,FALSE))*$P$22</f>
        <v>171.87717998608036</v>
      </c>
      <c r="Q8" s="47">
        <f>(VLOOKUP($B8,'TOCA Updates'!$B$6:$M$46,12,FALSE))*$Q$22</f>
        <v>112.54251887863303</v>
      </c>
      <c r="R8" s="47">
        <f>(VLOOKUP($B8,'TOCA Updates'!$B$6:$M$46,12,FALSE))*$R$22</f>
        <v>334.91847597456996</v>
      </c>
      <c r="S8" s="47">
        <f>(VLOOKUP($B8,'TOCA Updates'!$B$6:$M$46,12,FALSE))*$S$22</f>
        <v>208.18509572862288</v>
      </c>
      <c r="T8" s="47">
        <f>(VLOOKUP($B8,'TOCA Updates'!$B$6:$M$46,12,FALSE))*$T$22</f>
        <v>288.63515253290507</v>
      </c>
      <c r="U8" s="47">
        <f>(VLOOKUP($B8,'TOCA Updates'!$B$6:$M$46,12,FALSE))*$U$22</f>
        <v>158.6483148160517</v>
      </c>
      <c r="V8" s="47">
        <f>(VLOOKUP($B8,'TOCA Updates'!$B$6:$M$46,12,FALSE))*$V$22</f>
        <v>309.784954283485</v>
      </c>
      <c r="W8" s="47">
        <f>(VLOOKUP($B8,'TOCA Updates'!$B$6:$M$46,12,FALSE))*$W$22</f>
        <v>156.82340632471858</v>
      </c>
      <c r="X8" s="47">
        <f>(VLOOKUP($B8,'TOCA Updates'!$B$6:$M$46,12,FALSE))*$X$22</f>
        <v>265.1771207184349</v>
      </c>
      <c r="Y8" s="47">
        <f>(VLOOKUP($B8,'TOCA Updates'!$B$6:$M$46,12,FALSE))*$Y$22</f>
        <v>144.19295356948516</v>
      </c>
      <c r="Z8" s="47">
        <f>(VLOOKUP($B8,'TOCA Updates'!$B$6:$M$46,12,FALSE))*$Z$22</f>
        <v>230.8289292249832</v>
      </c>
      <c r="AA8" s="47">
        <f>(VLOOKUP($B8,'TOCA Updates'!$B$6:$M$46,12,FALSE))*$AA$22</f>
        <v>136.37231851401376</v>
      </c>
    </row>
    <row r="9" spans="1:27" ht="12.75">
      <c r="A9" s="278">
        <v>-2</v>
      </c>
      <c r="B9" s="221">
        <v>10068</v>
      </c>
      <c r="C9" s="268" t="str">
        <f>VLOOKUP(B9,'Retained Provisional CHWM Calcs'!$B$10:$C$50,2,FALSE)</f>
        <v>CHEWELAH</v>
      </c>
      <c r="D9" s="17">
        <f>(VLOOKUP($B9,'TOCA Updates'!$B$6:$M$46,12,FALSE))*$D$22</f>
        <v>1167.870345779806</v>
      </c>
      <c r="E9" s="17">
        <f>(VLOOKUP($B9,'TOCA Updates'!$B$6:$M$46,12,FALSE))*$E$22</f>
        <v>647.3858704981485</v>
      </c>
      <c r="F9" s="17">
        <f>(VLOOKUP($B9,'TOCA Updates'!$B$6:$M$46,12,FALSE))*$F$22</f>
        <v>1384.3726644473327</v>
      </c>
      <c r="G9" s="17">
        <f>(VLOOKUP($B9,'TOCA Updates'!$B$6:$M$46,12,FALSE))*$G$22</f>
        <v>839.0344423558479</v>
      </c>
      <c r="H9" s="17">
        <f>(VLOOKUP($B9,'TOCA Updates'!$B$6:$M$46,12,FALSE))*$H$22</f>
        <v>1382.7254987670563</v>
      </c>
      <c r="I9" s="17">
        <f>(VLOOKUP($B9,'TOCA Updates'!$B$6:$M$46,12,FALSE))*$I$22</f>
        <v>860.6550492704343</v>
      </c>
      <c r="J9" s="17">
        <f>(VLOOKUP($B9,'TOCA Updates'!$B$6:$M$46,12,FALSE))*$J$22</f>
        <v>1421.3611997837418</v>
      </c>
      <c r="K9" s="17">
        <f>(VLOOKUP($B9,'TOCA Updates'!$B$6:$M$46,12,FALSE))*$K$22</f>
        <v>809.3317256781355</v>
      </c>
      <c r="L9" s="17">
        <f>(VLOOKUP($B9,'TOCA Updates'!$B$6:$M$46,12,FALSE))*$L$22</f>
        <v>1137.4441972885504</v>
      </c>
      <c r="M9" s="17">
        <f>(VLOOKUP($B9,'TOCA Updates'!$B$6:$M$46,12,FALSE))*$M$22</f>
        <v>668.9260143430084</v>
      </c>
      <c r="N9" s="17">
        <f>(VLOOKUP($B9,'TOCA Updates'!$B$6:$M$46,12,FALSE))*$N$22</f>
        <v>1153.0351588004894</v>
      </c>
      <c r="O9" s="17">
        <f>(VLOOKUP($B9,'TOCA Updates'!$B$6:$M$46,12,FALSE))*$O$22</f>
        <v>725.4420781267899</v>
      </c>
      <c r="P9" s="17">
        <f>(VLOOKUP($B9,'TOCA Updates'!$B$6:$M$46,12,FALSE))*$P$22</f>
        <v>830.2793811935749</v>
      </c>
      <c r="Q9" s="17">
        <f>(VLOOKUP($B9,'TOCA Updates'!$B$6:$M$46,12,FALSE))*$Q$22</f>
        <v>543.6540961405412</v>
      </c>
      <c r="R9" s="17">
        <f>(VLOOKUP($B9,'TOCA Updates'!$B$6:$M$46,12,FALSE))*$R$22</f>
        <v>1617.8756540279596</v>
      </c>
      <c r="S9" s="17">
        <f>(VLOOKUP($B9,'TOCA Updates'!$B$6:$M$46,12,FALSE))*$S$22</f>
        <v>1005.6704006272661</v>
      </c>
      <c r="T9" s="17">
        <f>(VLOOKUP($B9,'TOCA Updates'!$B$6:$M$46,12,FALSE))*$T$22</f>
        <v>1394.2968802207579</v>
      </c>
      <c r="U9" s="17">
        <f>(VLOOKUP($B9,'TOCA Updates'!$B$6:$M$46,12,FALSE))*$U$22</f>
        <v>766.3752957986774</v>
      </c>
      <c r="V9" s="17">
        <f>(VLOOKUP($B9,'TOCA Updates'!$B$6:$M$46,12,FALSE))*$V$22</f>
        <v>1496.4642785412354</v>
      </c>
      <c r="W9" s="17">
        <f>(VLOOKUP($B9,'TOCA Updates'!$B$6:$M$46,12,FALSE))*$W$22</f>
        <v>757.559792233622</v>
      </c>
      <c r="X9" s="17">
        <f>(VLOOKUP($B9,'TOCA Updates'!$B$6:$M$46,12,FALSE))*$X$22</f>
        <v>1280.9792185014135</v>
      </c>
      <c r="Y9" s="17">
        <f>(VLOOKUP($B9,'TOCA Updates'!$B$6:$M$46,12,FALSE))*$Y$22</f>
        <v>696.5464308399852</v>
      </c>
      <c r="Z9" s="17">
        <f>(VLOOKUP($B9,'TOCA Updates'!$B$6:$M$46,12,FALSE))*$Z$22</f>
        <v>1115.0549510645667</v>
      </c>
      <c r="AA9" s="17">
        <f>(VLOOKUP($B9,'TOCA Updates'!$B$6:$M$46,12,FALSE))*$AA$22</f>
        <v>658.7676399910579</v>
      </c>
    </row>
    <row r="10" spans="1:27" ht="12.75">
      <c r="A10" s="278">
        <v>-3</v>
      </c>
      <c r="B10" s="210">
        <v>10071</v>
      </c>
      <c r="C10" s="286" t="str">
        <f>VLOOKUP(B10,'Retained Provisional CHWM Calcs'!$B$10:$C$50,2,FALSE)</f>
        <v>DRAIN</v>
      </c>
      <c r="D10" s="47">
        <f>(VLOOKUP($B10,'TOCA Updates'!$B$6:$M$46,12,FALSE))*$D$22</f>
        <v>807.1693459445383</v>
      </c>
      <c r="E10" s="47">
        <f>(VLOOKUP($B10,'TOCA Updates'!$B$6:$M$46,12,FALSE))*$E$22</f>
        <v>447.43839207151973</v>
      </c>
      <c r="F10" s="47">
        <f>(VLOOKUP($B10,'TOCA Updates'!$B$6:$M$46,12,FALSE))*$F$22</f>
        <v>956.8041368148018</v>
      </c>
      <c r="G10" s="47">
        <f>(VLOOKUP($B10,'TOCA Updates'!$B$6:$M$46,12,FALSE))*$G$22</f>
        <v>579.8956061420536</v>
      </c>
      <c r="H10" s="47">
        <f>(VLOOKUP($B10,'TOCA Updates'!$B$6:$M$46,12,FALSE))*$H$22</f>
        <v>955.6657042399742</v>
      </c>
      <c r="I10" s="47">
        <f>(VLOOKUP($B10,'TOCA Updates'!$B$6:$M$46,12,FALSE))*$I$22</f>
        <v>594.8386100510346</v>
      </c>
      <c r="J10" s="47">
        <f>(VLOOKUP($B10,'TOCA Updates'!$B$6:$M$46,12,FALSE))*$J$22</f>
        <v>982.3686286120488</v>
      </c>
      <c r="K10" s="47">
        <f>(VLOOKUP($B10,'TOCA Updates'!$B$6:$M$46,12,FALSE))*$K$22</f>
        <v>559.366681437217</v>
      </c>
      <c r="L10" s="47">
        <f>(VLOOKUP($B10,'TOCA Updates'!$B$6:$M$46,12,FALSE))*$L$22</f>
        <v>786.1404239704132</v>
      </c>
      <c r="M10" s="47">
        <f>(VLOOKUP($B10,'TOCA Updates'!$B$6:$M$46,12,FALSE))*$M$22</f>
        <v>462.3257842222277</v>
      </c>
      <c r="N10" s="47">
        <f>(VLOOKUP($B10,'TOCA Updates'!$B$6:$M$46,12,FALSE))*$N$22</f>
        <v>796.916060368506</v>
      </c>
      <c r="O10" s="47">
        <f>(VLOOKUP($B10,'TOCA Updates'!$B$6:$M$46,12,FALSE))*$O$22</f>
        <v>501.38665635119224</v>
      </c>
      <c r="P10" s="47">
        <f>(VLOOKUP($B10,'TOCA Updates'!$B$6:$M$46,12,FALSE))*$P$22</f>
        <v>573.844577431895</v>
      </c>
      <c r="Q10" s="47">
        <f>(VLOOKUP($B10,'TOCA Updates'!$B$6:$M$46,12,FALSE))*$Q$22</f>
        <v>375.74455314114687</v>
      </c>
      <c r="R10" s="47">
        <f>(VLOOKUP($B10,'TOCA Updates'!$B$6:$M$46,12,FALSE))*$R$22</f>
        <v>1118.1888796134901</v>
      </c>
      <c r="S10" s="47">
        <f>(VLOOKUP($B10,'TOCA Updates'!$B$6:$M$46,12,FALSE))*$S$22</f>
        <v>695.0654432175654</v>
      </c>
      <c r="T10" s="47">
        <f>(VLOOKUP($B10,'TOCA Updates'!$B$6:$M$46,12,FALSE))*$T$22</f>
        <v>963.6632224862504</v>
      </c>
      <c r="U10" s="47">
        <f>(VLOOKUP($B10,'TOCA Updates'!$B$6:$M$46,12,FALSE))*$U$22</f>
        <v>529.6775010113172</v>
      </c>
      <c r="V10" s="47">
        <f>(VLOOKUP($B10,'TOCA Updates'!$B$6:$M$46,12,FALSE))*$V$22</f>
        <v>1034.2758486028345</v>
      </c>
      <c r="W10" s="47">
        <f>(VLOOKUP($B10,'TOCA Updates'!$B$6:$M$46,12,FALSE))*$W$22</f>
        <v>523.5846977540975</v>
      </c>
      <c r="X10" s="47">
        <f>(VLOOKUP($B10,'TOCA Updates'!$B$6:$M$46,12,FALSE))*$X$22</f>
        <v>885.3441323368265</v>
      </c>
      <c r="Y10" s="47">
        <f>(VLOOKUP($B10,'TOCA Updates'!$B$6:$M$46,12,FALSE))*$Y$22</f>
        <v>481.41553472333675</v>
      </c>
      <c r="Z10" s="47">
        <f>(VLOOKUP($B10,'TOCA Updates'!$B$6:$M$46,12,FALSE))*$Z$22</f>
        <v>770.6661777956485</v>
      </c>
      <c r="AA10" s="47">
        <f>(VLOOKUP($B10,'TOCA Updates'!$B$6:$M$46,12,FALSE))*$AA$22</f>
        <v>455.3048607000633</v>
      </c>
    </row>
    <row r="11" spans="1:27" ht="12.75">
      <c r="A11" s="278">
        <v>-4</v>
      </c>
      <c r="B11" s="221">
        <v>10105</v>
      </c>
      <c r="C11" s="268" t="str">
        <f>VLOOKUP(B11,'Retained Provisional CHWM Calcs'!$B$10:$C$50,2,FALSE)</f>
        <v>CLATSKANIE PUD</v>
      </c>
      <c r="D11" s="17">
        <f>(VLOOKUP($B11,'TOCA Updates'!$B$6:$M$46,12,FALSE))*$D$22</f>
        <v>17437.06929526763</v>
      </c>
      <c r="E11" s="17">
        <f>(VLOOKUP($B11,'TOCA Updates'!$B$6:$M$46,12,FALSE))*$E$22</f>
        <v>9665.89512735324</v>
      </c>
      <c r="F11" s="17">
        <f>(VLOOKUP($B11,'TOCA Updates'!$B$6:$M$46,12,FALSE))*$F$22</f>
        <v>20669.59073639647</v>
      </c>
      <c r="G11" s="17">
        <f>(VLOOKUP($B11,'TOCA Updates'!$B$6:$M$46,12,FALSE))*$G$22</f>
        <v>12527.333847753676</v>
      </c>
      <c r="H11" s="17">
        <f>(VLOOKUP($B11,'TOCA Updates'!$B$6:$M$46,12,FALSE))*$H$22</f>
        <v>20644.997473786836</v>
      </c>
      <c r="I11" s="17">
        <f>(VLOOKUP($B11,'TOCA Updates'!$B$6:$M$46,12,FALSE))*$I$22</f>
        <v>12850.143671924403</v>
      </c>
      <c r="J11" s="17">
        <f>(VLOOKUP($B11,'TOCA Updates'!$B$6:$M$46,12,FALSE))*$J$22</f>
        <v>21221.853798920558</v>
      </c>
      <c r="K11" s="17">
        <f>(VLOOKUP($B11,'TOCA Updates'!$B$6:$M$46,12,FALSE))*$K$22</f>
        <v>12083.852830499878</v>
      </c>
      <c r="L11" s="17">
        <f>(VLOOKUP($B11,'TOCA Updates'!$B$6:$M$46,12,FALSE))*$L$22</f>
        <v>16982.786967141663</v>
      </c>
      <c r="M11" s="17">
        <f>(VLOOKUP($B11,'TOCA Updates'!$B$6:$M$46,12,FALSE))*$M$22</f>
        <v>9987.503585184288</v>
      </c>
      <c r="N11" s="17">
        <f>(VLOOKUP($B11,'TOCA Updates'!$B$6:$M$46,12,FALSE))*$N$22</f>
        <v>17215.57023563197</v>
      </c>
      <c r="O11" s="17">
        <f>(VLOOKUP($B11,'TOCA Updates'!$B$6:$M$46,12,FALSE))*$O$22</f>
        <v>10831.325439257947</v>
      </c>
      <c r="P11" s="17">
        <f>(VLOOKUP($B11,'TOCA Updates'!$B$6:$M$46,12,FALSE))*$P$22</f>
        <v>12396.615049453403</v>
      </c>
      <c r="Q11" s="17">
        <f>(VLOOKUP($B11,'TOCA Updates'!$B$6:$M$46,12,FALSE))*$Q$22</f>
        <v>8117.111784980665</v>
      </c>
      <c r="R11" s="17">
        <f>(VLOOKUP($B11,'TOCA Updates'!$B$6:$M$46,12,FALSE))*$R$22</f>
        <v>24155.943330828406</v>
      </c>
      <c r="S11" s="17">
        <f>(VLOOKUP($B11,'TOCA Updates'!$B$6:$M$46,12,FALSE))*$S$22</f>
        <v>15015.31786238494</v>
      </c>
      <c r="T11" s="17">
        <f>(VLOOKUP($B11,'TOCA Updates'!$B$6:$M$46,12,FALSE))*$T$22</f>
        <v>20817.765778915298</v>
      </c>
      <c r="U11" s="17">
        <f>(VLOOKUP($B11,'TOCA Updates'!$B$6:$M$46,12,FALSE))*$U$22</f>
        <v>11442.485193080098</v>
      </c>
      <c r="V11" s="17">
        <f>(VLOOKUP($B11,'TOCA Updates'!$B$6:$M$46,12,FALSE))*$V$22</f>
        <v>22343.191962283145</v>
      </c>
      <c r="W11" s="17">
        <f>(VLOOKUP($B11,'TOCA Updates'!$B$6:$M$46,12,FALSE))*$W$22</f>
        <v>11310.863950112489</v>
      </c>
      <c r="X11" s="17">
        <f>(VLOOKUP($B11,'TOCA Updates'!$B$6:$M$46,12,FALSE))*$X$22</f>
        <v>19125.85885883802</v>
      </c>
      <c r="Y11" s="17">
        <f>(VLOOKUP($B11,'TOCA Updates'!$B$6:$M$46,12,FALSE))*$Y$22</f>
        <v>10399.894496694547</v>
      </c>
      <c r="Z11" s="17">
        <f>(VLOOKUP($B11,'TOCA Updates'!$B$6:$M$46,12,FALSE))*$Z$22</f>
        <v>16648.500854571746</v>
      </c>
      <c r="AA11" s="17">
        <f>(VLOOKUP($B11,'TOCA Updates'!$B$6:$M$46,12,FALSE))*$AA$22</f>
        <v>9835.832401698626</v>
      </c>
    </row>
    <row r="12" spans="1:27" ht="12.75">
      <c r="A12" s="278">
        <v>-5</v>
      </c>
      <c r="B12" s="210">
        <v>10172</v>
      </c>
      <c r="C12" s="286" t="str">
        <f>VLOOKUP(B12,'Retained Provisional CHWM Calcs'!$B$10:$C$50,2,FALSE)</f>
        <v>FAIRCHILD</v>
      </c>
      <c r="D12" s="47">
        <f>(VLOOKUP($B12,'TOCA Updates'!$B$6:$M$46,12,FALSE))*$D$22</f>
        <v>2573.0203882200944</v>
      </c>
      <c r="E12" s="47">
        <f>(VLOOKUP($B12,'TOCA Updates'!$B$6:$M$46,12,FALSE))*$E$22</f>
        <v>1426.3030565478655</v>
      </c>
      <c r="F12" s="47">
        <f>(VLOOKUP($B12,'TOCA Updates'!$B$6:$M$46,12,FALSE))*$F$22</f>
        <v>3050.012446492204</v>
      </c>
      <c r="G12" s="47">
        <f>(VLOOKUP($B12,'TOCA Updates'!$B$6:$M$46,12,FALSE))*$G$22</f>
        <v>1848.5380114339432</v>
      </c>
      <c r="H12" s="47">
        <f>(VLOOKUP($B12,'TOCA Updates'!$B$6:$M$46,12,FALSE))*$H$22</f>
        <v>3046.3834555742974</v>
      </c>
      <c r="I12" s="47">
        <f>(VLOOKUP($B12,'TOCA Updates'!$B$6:$M$46,12,FALSE))*$I$22</f>
        <v>1896.1719483670522</v>
      </c>
      <c r="J12" s="47">
        <f>(VLOOKUP($B12,'TOCA Updates'!$B$6:$M$46,12,FALSE))*$J$22</f>
        <v>3131.5045880598814</v>
      </c>
      <c r="K12" s="47">
        <f>(VLOOKUP($B12,'TOCA Updates'!$B$6:$M$46,12,FALSE))*$K$22</f>
        <v>1783.097788661399</v>
      </c>
      <c r="L12" s="47">
        <f>(VLOOKUP($B12,'TOCA Updates'!$B$6:$M$46,12,FALSE))*$L$22</f>
        <v>2505.9863200241602</v>
      </c>
      <c r="M12" s="47">
        <f>(VLOOKUP($B12,'TOCA Updates'!$B$6:$M$46,12,FALSE))*$M$22</f>
        <v>1473.7597194199855</v>
      </c>
      <c r="N12" s="47">
        <f>(VLOOKUP($B12,'TOCA Updates'!$B$6:$M$46,12,FALSE))*$N$22</f>
        <v>2540.3359051361854</v>
      </c>
      <c r="O12" s="47">
        <f>(VLOOKUP($B12,'TOCA Updates'!$B$6:$M$46,12,FALSE))*$O$22</f>
        <v>1598.274383999913</v>
      </c>
      <c r="P12" s="47">
        <f>(VLOOKUP($B12,'TOCA Updates'!$B$6:$M$46,12,FALSE))*$P$22</f>
        <v>1829.2490972560593</v>
      </c>
      <c r="Q12" s="47">
        <f>(VLOOKUP($B12,'TOCA Updates'!$B$6:$M$46,12,FALSE))*$Q$22</f>
        <v>1197.764014270742</v>
      </c>
      <c r="R12" s="47">
        <f>(VLOOKUP($B12,'TOCA Updates'!$B$6:$M$46,12,FALSE))*$R$22</f>
        <v>3564.459923536523</v>
      </c>
      <c r="S12" s="47">
        <f>(VLOOKUP($B12,'TOCA Updates'!$B$6:$M$46,12,FALSE))*$S$22</f>
        <v>2215.6658519449234</v>
      </c>
      <c r="T12" s="47">
        <f>(VLOOKUP($B12,'TOCA Updates'!$B$6:$M$46,12,FALSE))*$T$22</f>
        <v>3071.8772105170738</v>
      </c>
      <c r="U12" s="47">
        <f>(VLOOKUP($B12,'TOCA Updates'!$B$6:$M$46,12,FALSE))*$U$22</f>
        <v>1688.4573430979049</v>
      </c>
      <c r="V12" s="47">
        <f>(VLOOKUP($B12,'TOCA Updates'!$B$6:$M$46,12,FALSE))*$V$22</f>
        <v>3296.9696617809714</v>
      </c>
      <c r="W12" s="47">
        <f>(VLOOKUP($B12,'TOCA Updates'!$B$6:$M$46,12,FALSE))*$W$22</f>
        <v>1669.0352638514548</v>
      </c>
      <c r="X12" s="47">
        <f>(VLOOKUP($B12,'TOCA Updates'!$B$6:$M$46,12,FALSE))*$X$22</f>
        <v>2822.218800229573</v>
      </c>
      <c r="Y12" s="47">
        <f>(VLOOKUP($B12,'TOCA Updates'!$B$6:$M$46,12,FALSE))*$Y$22</f>
        <v>1534.6122747011955</v>
      </c>
      <c r="Z12" s="47">
        <f>(VLOOKUP($B12,'TOCA Updates'!$B$6:$M$46,12,FALSE))*$Z$22</f>
        <v>2456.65893773437</v>
      </c>
      <c r="AA12" s="47">
        <f>(VLOOKUP($B12,'TOCA Updates'!$B$6:$M$46,12,FALSE))*$AA$22</f>
        <v>1451.379063542223</v>
      </c>
    </row>
    <row r="13" spans="1:27" ht="12.75">
      <c r="A13" s="278">
        <v>-6</v>
      </c>
      <c r="B13" s="221">
        <v>10286</v>
      </c>
      <c r="C13" s="268" t="str">
        <f>VLOOKUP(B13,'Retained Provisional CHWM Calcs'!$B$10:$C$50,2,FALSE)</f>
        <v>OKANOGAN PUD</v>
      </c>
      <c r="D13" s="17">
        <f>(VLOOKUP($B13,'TOCA Updates'!$B$6:$M$46,12,FALSE))*$D$22</f>
        <v>8555.218080599869</v>
      </c>
      <c r="E13" s="17">
        <f>(VLOOKUP($B13,'TOCA Updates'!$B$6:$M$46,12,FALSE))*$E$22</f>
        <v>4742.416248879476</v>
      </c>
      <c r="F13" s="17">
        <f>(VLOOKUP($B13,'TOCA Updates'!$B$6:$M$46,12,FALSE))*$F$22</f>
        <v>10141.202824411013</v>
      </c>
      <c r="G13" s="17">
        <f>(VLOOKUP($B13,'TOCA Updates'!$B$6:$M$46,12,FALSE))*$G$22</f>
        <v>6146.335213859574</v>
      </c>
      <c r="H13" s="17">
        <f>(VLOOKUP($B13,'TOCA Updates'!$B$6:$M$46,12,FALSE))*$H$22</f>
        <v>10129.13653498037</v>
      </c>
      <c r="I13" s="17">
        <f>(VLOOKUP($B13,'TOCA Updates'!$B$6:$M$46,12,FALSE))*$I$22</f>
        <v>6304.716671062946</v>
      </c>
      <c r="J13" s="17">
        <f>(VLOOKUP($B13,'TOCA Updates'!$B$6:$M$46,12,FALSE))*$J$22</f>
        <v>10412.161828917338</v>
      </c>
      <c r="K13" s="17">
        <f>(VLOOKUP($B13,'TOCA Updates'!$B$6:$M$46,12,FALSE))*$K$22</f>
        <v>5928.7483732634755</v>
      </c>
      <c r="L13" s="17">
        <f>(VLOOKUP($B13,'TOCA Updates'!$B$6:$M$46,12,FALSE))*$L$22</f>
        <v>8332.331750249903</v>
      </c>
      <c r="M13" s="17">
        <f>(VLOOKUP($B13,'TOCA Updates'!$B$6:$M$46,12,FALSE))*$M$22</f>
        <v>4900.208274977392</v>
      </c>
      <c r="N13" s="17">
        <f>(VLOOKUP($B13,'TOCA Updates'!$B$6:$M$46,12,FALSE))*$N$22</f>
        <v>8446.543123372674</v>
      </c>
      <c r="O13" s="17">
        <f>(VLOOKUP($B13,'TOCA Updates'!$B$6:$M$46,12,FALSE))*$O$22</f>
        <v>5314.215919297272</v>
      </c>
      <c r="P13" s="17">
        <f>(VLOOKUP($B13,'TOCA Updates'!$B$6:$M$46,12,FALSE))*$P$22</f>
        <v>6082.200134291111</v>
      </c>
      <c r="Q13" s="17">
        <f>(VLOOKUP($B13,'TOCA Updates'!$B$6:$M$46,12,FALSE))*$Q$22</f>
        <v>3982.530569168735</v>
      </c>
      <c r="R13" s="17">
        <f>(VLOOKUP($B13,'TOCA Updates'!$B$6:$M$46,12,FALSE))*$R$22</f>
        <v>11851.72574808404</v>
      </c>
      <c r="S13" s="17">
        <f>(VLOOKUP($B13,'TOCA Updates'!$B$6:$M$46,12,FALSE))*$S$22</f>
        <v>7367.0246236329</v>
      </c>
      <c r="T13" s="17">
        <f>(VLOOKUP($B13,'TOCA Updates'!$B$6:$M$46,12,FALSE))*$T$22</f>
        <v>10213.902529928315</v>
      </c>
      <c r="U13" s="17">
        <f>(VLOOKUP($B13,'TOCA Updates'!$B$6:$M$46,12,FALSE))*$U$22</f>
        <v>5614.071639745275</v>
      </c>
      <c r="V13" s="17">
        <f>(VLOOKUP($B13,'TOCA Updates'!$B$6:$M$46,12,FALSE))*$V$22</f>
        <v>10962.328394595314</v>
      </c>
      <c r="W13" s="17">
        <f>(VLOOKUP($B13,'TOCA Updates'!$B$6:$M$46,12,FALSE))*$W$22</f>
        <v>5549.493790190412</v>
      </c>
      <c r="X13" s="17">
        <f>(VLOOKUP($B13,'TOCA Updates'!$B$6:$M$46,12,FALSE))*$X$22</f>
        <v>9383.795564805134</v>
      </c>
      <c r="Y13" s="17">
        <f>(VLOOKUP($B13,'TOCA Updates'!$B$6:$M$46,12,FALSE))*$Y$22</f>
        <v>5102.541254372338</v>
      </c>
      <c r="Z13" s="17">
        <f>(VLOOKUP($B13,'TOCA Updates'!$B$6:$M$46,12,FALSE))*$Z$22</f>
        <v>8168.3196364064515</v>
      </c>
      <c r="AA13" s="17">
        <f>(VLOOKUP($B13,'TOCA Updates'!$B$6:$M$46,12,FALSE))*$AA$22</f>
        <v>4825.79324402866</v>
      </c>
    </row>
    <row r="14" spans="1:27" ht="12.75">
      <c r="A14" s="278">
        <v>-7</v>
      </c>
      <c r="B14" s="210">
        <v>10306</v>
      </c>
      <c r="C14" s="286" t="str">
        <f>VLOOKUP(B14,'Retained Provisional CHWM Calcs'!$B$10:$C$50,2,FALSE)</f>
        <v>PEND OREILLE PUD</v>
      </c>
      <c r="D14" s="47">
        <f>(VLOOKUP($B14,'TOCA Updates'!$B$6:$M$46,12,FALSE))*$D$22</f>
        <v>10867.051497936762</v>
      </c>
      <c r="E14" s="47">
        <f>(VLOOKUP($B14,'TOCA Updates'!$B$6:$M$46,12,FALSE))*$E$22</f>
        <v>6023.935464379394</v>
      </c>
      <c r="F14" s="47">
        <f>(VLOOKUP($B14,'TOCA Updates'!$B$6:$M$46,12,FALSE))*$F$22</f>
        <v>12881.608897124566</v>
      </c>
      <c r="G14" s="47">
        <f>(VLOOKUP($B14,'TOCA Updates'!$B$6:$M$46,12,FALSE))*$G$22</f>
        <v>7807.228367919154</v>
      </c>
      <c r="H14" s="47">
        <f>(VLOOKUP($B14,'TOCA Updates'!$B$6:$M$46,12,FALSE))*$H$22</f>
        <v>12866.28199518046</v>
      </c>
      <c r="I14" s="47">
        <f>(VLOOKUP($B14,'TOCA Updates'!$B$6:$M$46,12,FALSE))*$I$22</f>
        <v>8008.408447203192</v>
      </c>
      <c r="J14" s="47">
        <f>(VLOOKUP($B14,'TOCA Updates'!$B$6:$M$46,12,FALSE))*$J$22</f>
        <v>13225.787786319343</v>
      </c>
      <c r="K14" s="47">
        <f>(VLOOKUP($B14,'TOCA Updates'!$B$6:$M$46,12,FALSE))*$K$22</f>
        <v>7530.844133203614</v>
      </c>
      <c r="L14" s="47">
        <f>(VLOOKUP($B14,'TOCA Updates'!$B$6:$M$46,12,FALSE))*$L$22</f>
        <v>10583.935719089264</v>
      </c>
      <c r="M14" s="47">
        <f>(VLOOKUP($B14,'TOCA Updates'!$B$6:$M$46,12,FALSE))*$M$22</f>
        <v>6224.366833564268</v>
      </c>
      <c r="N14" s="47">
        <f>(VLOOKUP($B14,'TOCA Updates'!$B$6:$M$46,12,FALSE))*$N$22</f>
        <v>10729.009855327788</v>
      </c>
      <c r="O14" s="47">
        <f>(VLOOKUP($B14,'TOCA Updates'!$B$6:$M$46,12,FALSE))*$O$22</f>
        <v>6750.249674770364</v>
      </c>
      <c r="P14" s="47">
        <f>(VLOOKUP($B14,'TOCA Updates'!$B$6:$M$46,12,FALSE))*$P$22</f>
        <v>7725.762389386683</v>
      </c>
      <c r="Q14" s="47">
        <f>(VLOOKUP($B14,'TOCA Updates'!$B$6:$M$46,12,FALSE))*$Q$22</f>
        <v>5058.7097113752925</v>
      </c>
      <c r="R14" s="47">
        <f>(VLOOKUP($B14,'TOCA Updates'!$B$6:$M$46,12,FALSE))*$R$22</f>
        <v>15054.357800172142</v>
      </c>
      <c r="S14" s="47">
        <f>(VLOOKUP($B14,'TOCA Updates'!$B$6:$M$46,12,FALSE))*$S$22</f>
        <v>9357.778518016865</v>
      </c>
      <c r="T14" s="47">
        <f>(VLOOKUP($B14,'TOCA Updates'!$B$6:$M$46,12,FALSE))*$T$22</f>
        <v>12973.95387726398</v>
      </c>
      <c r="U14" s="47">
        <f>(VLOOKUP($B14,'TOCA Updates'!$B$6:$M$46,12,FALSE))*$U$22</f>
        <v>7131.133893659956</v>
      </c>
      <c r="V14" s="47">
        <f>(VLOOKUP($B14,'TOCA Updates'!$B$6:$M$46,12,FALSE))*$V$22</f>
        <v>13924.623087224534</v>
      </c>
      <c r="W14" s="47">
        <f>(VLOOKUP($B14,'TOCA Updates'!$B$6:$M$46,12,FALSE))*$W$22</f>
        <v>7049.105497641615</v>
      </c>
      <c r="X14" s="47">
        <f>(VLOOKUP($B14,'TOCA Updates'!$B$6:$M$46,12,FALSE))*$X$22</f>
        <v>11919.53129518562</v>
      </c>
      <c r="Y14" s="47">
        <f>(VLOOKUP($B14,'TOCA Updates'!$B$6:$M$46,12,FALSE))*$Y$22</f>
        <v>6481.375233128255</v>
      </c>
      <c r="Z14" s="47">
        <f>(VLOOKUP($B14,'TOCA Updates'!$B$6:$M$46,12,FALSE))*$Z$22</f>
        <v>10375.603439230272</v>
      </c>
      <c r="AA14" s="47">
        <f>(VLOOKUP($B14,'TOCA Updates'!$B$6:$M$46,12,FALSE))*$AA$22</f>
        <v>6129.843004256609</v>
      </c>
    </row>
    <row r="15" spans="1:27" ht="12.75">
      <c r="A15" s="278">
        <v>-8</v>
      </c>
      <c r="B15" s="221">
        <v>10342</v>
      </c>
      <c r="C15" s="268" t="str">
        <f>VLOOKUP(B15,'Retained Provisional CHWM Calcs'!$B$10:$C$50,2,FALSE)</f>
        <v>SALEM ELEC</v>
      </c>
      <c r="D15" s="17">
        <f>(VLOOKUP($B15,'TOCA Updates'!$B$6:$M$46,12,FALSE))*$D$22</f>
        <v>16316.415816077693</v>
      </c>
      <c r="E15" s="17">
        <f>(VLOOKUP($B15,'TOCA Updates'!$B$6:$M$46,12,FALSE))*$E$22</f>
        <v>9044.682994710443</v>
      </c>
      <c r="F15" s="17">
        <f>(VLOOKUP($B15,'TOCA Updates'!$B$6:$M$46,12,FALSE))*$F$22</f>
        <v>19341.188102906835</v>
      </c>
      <c r="G15" s="17">
        <f>(VLOOKUP($B15,'TOCA Updates'!$B$6:$M$46,12,FALSE))*$G$22</f>
        <v>11722.221473435757</v>
      </c>
      <c r="H15" s="17">
        <f>(VLOOKUP($B15,'TOCA Updates'!$B$6:$M$46,12,FALSE))*$H$22</f>
        <v>19318.17541125448</v>
      </c>
      <c r="I15" s="17">
        <f>(VLOOKUP($B15,'TOCA Updates'!$B$6:$M$46,12,FALSE))*$I$22</f>
        <v>12024.284809395202</v>
      </c>
      <c r="J15" s="17">
        <f>(VLOOKUP($B15,'TOCA Updates'!$B$6:$M$46,12,FALSE))*$J$22</f>
        <v>19857.958072413643</v>
      </c>
      <c r="K15" s="17">
        <f>(VLOOKUP($B15,'TOCA Updates'!$B$6:$M$46,12,FALSE))*$K$22</f>
        <v>11307.24229536861</v>
      </c>
      <c r="L15" s="17">
        <f>(VLOOKUP($B15,'TOCA Updates'!$B$6:$M$46,12,FALSE))*$L$22</f>
        <v>15891.32951068515</v>
      </c>
      <c r="M15" s="17">
        <f>(VLOOKUP($B15,'TOCA Updates'!$B$6:$M$46,12,FALSE))*$M$22</f>
        <v>9345.622174287082</v>
      </c>
      <c r="N15" s="17">
        <f>(VLOOKUP($B15,'TOCA Updates'!$B$6:$M$46,12,FALSE))*$N$22</f>
        <v>16109.152158482066</v>
      </c>
      <c r="O15" s="17">
        <f>(VLOOKUP($B15,'TOCA Updates'!$B$6:$M$46,12,FALSE))*$O$22</f>
        <v>10135.21290267262</v>
      </c>
      <c r="P15" s="17">
        <f>(VLOOKUP($B15,'TOCA Updates'!$B$6:$M$46,12,FALSE))*$P$22</f>
        <v>11599.903770160694</v>
      </c>
      <c r="Q15" s="17">
        <f>(VLOOKUP($B15,'TOCA Updates'!$B$6:$M$46,12,FALSE))*$Q$22</f>
        <v>7595.437562737312</v>
      </c>
      <c r="R15" s="17">
        <f>(VLOOKUP($B15,'TOCA Updates'!$B$6:$M$46,12,FALSE))*$R$22</f>
        <v>22603.47820733689</v>
      </c>
      <c r="S15" s="17">
        <f>(VLOOKUP($B15,'TOCA Updates'!$B$6:$M$46,12,FALSE))*$S$22</f>
        <v>14050.306602827048</v>
      </c>
      <c r="T15" s="17">
        <f>(VLOOKUP($B15,'TOCA Updates'!$B$6:$M$46,12,FALSE))*$T$22</f>
        <v>19479.840164578596</v>
      </c>
      <c r="U15" s="17">
        <f>(VLOOKUP($B15,'TOCA Updates'!$B$6:$M$46,12,FALSE))*$U$22</f>
        <v>10707.094364204706</v>
      </c>
      <c r="V15" s="17">
        <f>(VLOOKUP($B15,'TOCA Updates'!$B$6:$M$46,12,FALSE))*$V$22</f>
        <v>20907.22956603708</v>
      </c>
      <c r="W15" s="17">
        <f>(VLOOKUP($B15,'TOCA Updates'!$B$6:$M$46,12,FALSE))*$W$22</f>
        <v>10583.93221498555</v>
      </c>
      <c r="X15" s="17">
        <f>(VLOOKUP($B15,'TOCA Updates'!$B$6:$M$46,12,FALSE))*$X$22</f>
        <v>17896.669485915732</v>
      </c>
      <c r="Y15" s="17">
        <f>(VLOOKUP($B15,'TOCA Updates'!$B$6:$M$46,12,FALSE))*$Y$22</f>
        <v>9731.509359629568</v>
      </c>
      <c r="Z15" s="17">
        <f>(VLOOKUP($B15,'TOCA Updates'!$B$6:$M$46,12,FALSE))*$Z$22</f>
        <v>15578.527449635178</v>
      </c>
      <c r="AA15" s="17">
        <f>(VLOOKUP($B15,'TOCA Updates'!$B$6:$M$46,12,FALSE))*$AA$22</f>
        <v>9203.698663222049</v>
      </c>
    </row>
    <row r="16" spans="1:27" ht="12.75">
      <c r="A16" s="278">
        <v>-9</v>
      </c>
      <c r="B16" s="210">
        <v>10378</v>
      </c>
      <c r="C16" s="286" t="str">
        <f>VLOOKUP(B16,'Retained Provisional CHWM Calcs'!$B$10:$C$50,2,FALSE)</f>
        <v>COULEE DAM</v>
      </c>
      <c r="D16" s="47">
        <f>(VLOOKUP($B16,'TOCA Updates'!$B$6:$M$46,12,FALSE))*$D$22</f>
        <v>851.9954851121358</v>
      </c>
      <c r="E16" s="47">
        <f>(VLOOKUP($B16,'TOCA Updates'!$B$6:$M$46,12,FALSE))*$E$22</f>
        <v>472.28687737723163</v>
      </c>
      <c r="F16" s="47">
        <f>(VLOOKUP($B16,'TOCA Updates'!$B$6:$M$46,12,FALSE))*$F$22</f>
        <v>1009.9402421543872</v>
      </c>
      <c r="G16" s="47">
        <f>(VLOOKUP($B16,'TOCA Updates'!$B$6:$M$46,12,FALSE))*$G$22</f>
        <v>612.1001011147703</v>
      </c>
      <c r="H16" s="47">
        <f>(VLOOKUP($B16,'TOCA Updates'!$B$6:$M$46,12,FALSE))*$H$22</f>
        <v>1008.7385867412685</v>
      </c>
      <c r="I16" s="47">
        <f>(VLOOKUP($B16,'TOCA Updates'!$B$6:$M$46,12,FALSE))*$I$22</f>
        <v>627.8729645522027</v>
      </c>
      <c r="J16" s="47">
        <f>(VLOOKUP($B16,'TOCA Updates'!$B$6:$M$46,12,FALSE))*$J$22</f>
        <v>1036.9244576723254</v>
      </c>
      <c r="K16" s="47">
        <f>(VLOOKUP($B16,'TOCA Updates'!$B$6:$M$46,12,FALSE))*$K$22</f>
        <v>590.4311028424678</v>
      </c>
      <c r="L16" s="47">
        <f>(VLOOKUP($B16,'TOCA Updates'!$B$6:$M$46,12,FALSE))*$L$22</f>
        <v>829.7987222286737</v>
      </c>
      <c r="M16" s="47">
        <f>(VLOOKUP($B16,'TOCA Updates'!$B$6:$M$46,12,FALSE))*$M$22</f>
        <v>488.0010406581159</v>
      </c>
      <c r="N16" s="47">
        <f>(VLOOKUP($B16,'TOCA Updates'!$B$6:$M$46,12,FALSE))*$N$22</f>
        <v>841.1727834545022</v>
      </c>
      <c r="O16" s="47">
        <f>(VLOOKUP($B16,'TOCA Updates'!$B$6:$M$46,12,FALSE))*$O$22</f>
        <v>529.2311578146054</v>
      </c>
      <c r="P16" s="47">
        <f>(VLOOKUP($B16,'TOCA Updates'!$B$6:$M$46,12,FALSE))*$P$22</f>
        <v>605.7130286036033</v>
      </c>
      <c r="Q16" s="47">
        <f>(VLOOKUP($B16,'TOCA Updates'!$B$6:$M$46,12,FALSE))*$Q$22</f>
        <v>396.611522030881</v>
      </c>
      <c r="R16" s="47">
        <f>(VLOOKUP($B16,'TOCA Updates'!$B$6:$M$46,12,FALSE))*$R$22</f>
        <v>1180.2874845531508</v>
      </c>
      <c r="S16" s="47">
        <f>(VLOOKUP($B16,'TOCA Updates'!$B$6:$M$46,12,FALSE))*$S$22</f>
        <v>733.6658935998811</v>
      </c>
      <c r="T16" s="47">
        <f>(VLOOKUP($B16,'TOCA Updates'!$B$6:$M$46,12,FALSE))*$T$22</f>
        <v>1017.1802470597186</v>
      </c>
      <c r="U16" s="47">
        <f>(VLOOKUP($B16,'TOCA Updates'!$B$6:$M$46,12,FALSE))*$U$22</f>
        <v>559.093134166333</v>
      </c>
      <c r="V16" s="47">
        <f>(VLOOKUP($B16,'TOCA Updates'!$B$6:$M$46,12,FALSE))*$V$22</f>
        <v>1091.714344452677</v>
      </c>
      <c r="W16" s="47">
        <f>(VLOOKUP($B16,'TOCA Updates'!$B$6:$M$46,12,FALSE))*$W$22</f>
        <v>552.6619671591751</v>
      </c>
      <c r="X16" s="47">
        <f>(VLOOKUP($B16,'TOCA Updates'!$B$6:$M$46,12,FALSE))*$X$22</f>
        <v>934.511707253718</v>
      </c>
      <c r="Y16" s="47">
        <f>(VLOOKUP($B16,'TOCA Updates'!$B$6:$M$46,12,FALSE))*$Y$22</f>
        <v>508.1509402059359</v>
      </c>
      <c r="Z16" s="47">
        <f>(VLOOKUP($B16,'TOCA Updates'!$B$6:$M$46,12,FALSE))*$Z$22</f>
        <v>813.4651139931113</v>
      </c>
      <c r="AA16" s="47">
        <f>(VLOOKUP($B16,'TOCA Updates'!$B$6:$M$46,12,FALSE))*$AA$22</f>
        <v>480.59021023912635</v>
      </c>
    </row>
    <row r="18" ht="12.75">
      <c r="D18" s="312"/>
    </row>
    <row r="20" spans="3:27" ht="12.75">
      <c r="C20" s="285" t="s">
        <v>456</v>
      </c>
      <c r="D20" s="283">
        <v>41548</v>
      </c>
      <c r="E20" s="283">
        <v>41548</v>
      </c>
      <c r="F20" s="283">
        <v>41579</v>
      </c>
      <c r="G20" s="283">
        <v>41579</v>
      </c>
      <c r="H20" s="283">
        <v>41609</v>
      </c>
      <c r="I20" s="283">
        <v>41609</v>
      </c>
      <c r="J20" s="283">
        <v>41640</v>
      </c>
      <c r="K20" s="283">
        <v>41640</v>
      </c>
      <c r="L20" s="283">
        <v>41671</v>
      </c>
      <c r="M20" s="283">
        <v>41671</v>
      </c>
      <c r="N20" s="283">
        <v>41699</v>
      </c>
      <c r="O20" s="283">
        <v>41699</v>
      </c>
      <c r="P20" s="283">
        <v>41730</v>
      </c>
      <c r="Q20" s="283">
        <v>41730</v>
      </c>
      <c r="R20" s="283">
        <v>41760</v>
      </c>
      <c r="S20" s="283">
        <v>41760</v>
      </c>
      <c r="T20" s="283">
        <v>41791</v>
      </c>
      <c r="U20" s="283">
        <v>41791</v>
      </c>
      <c r="V20" s="283">
        <v>41821</v>
      </c>
      <c r="W20" s="283">
        <v>41821</v>
      </c>
      <c r="X20" s="283">
        <v>41852</v>
      </c>
      <c r="Y20" s="283">
        <v>41852</v>
      </c>
      <c r="Z20" s="283">
        <v>41883</v>
      </c>
      <c r="AA20" s="283">
        <v>41883</v>
      </c>
    </row>
    <row r="21" spans="2:29" ht="12.75">
      <c r="B21" s="269"/>
      <c r="C21" s="271"/>
      <c r="D21" s="284" t="s">
        <v>440</v>
      </c>
      <c r="E21" s="284" t="s">
        <v>441</v>
      </c>
      <c r="F21" s="284" t="s">
        <v>440</v>
      </c>
      <c r="G21" s="284" t="s">
        <v>441</v>
      </c>
      <c r="H21" s="284" t="s">
        <v>440</v>
      </c>
      <c r="I21" s="284" t="s">
        <v>441</v>
      </c>
      <c r="J21" s="284" t="s">
        <v>440</v>
      </c>
      <c r="K21" s="284" t="s">
        <v>441</v>
      </c>
      <c r="L21" s="284" t="s">
        <v>440</v>
      </c>
      <c r="M21" s="284" t="s">
        <v>441</v>
      </c>
      <c r="N21" s="284" t="s">
        <v>440</v>
      </c>
      <c r="O21" s="284" t="s">
        <v>441</v>
      </c>
      <c r="P21" s="284" t="s">
        <v>440</v>
      </c>
      <c r="Q21" s="284" t="s">
        <v>441</v>
      </c>
      <c r="R21" s="284" t="s">
        <v>440</v>
      </c>
      <c r="S21" s="284" t="s">
        <v>441</v>
      </c>
      <c r="T21" s="284" t="s">
        <v>440</v>
      </c>
      <c r="U21" s="284" t="s">
        <v>441</v>
      </c>
      <c r="V21" s="284" t="s">
        <v>440</v>
      </c>
      <c r="W21" s="284" t="s">
        <v>441</v>
      </c>
      <c r="X21" s="284" t="s">
        <v>440</v>
      </c>
      <c r="Y21" s="284" t="s">
        <v>441</v>
      </c>
      <c r="Z21" s="284" t="s">
        <v>440</v>
      </c>
      <c r="AA21" s="284" t="s">
        <v>441</v>
      </c>
      <c r="AB21" s="270"/>
      <c r="AC21" s="270"/>
    </row>
    <row r="22" spans="4:29" ht="12.75">
      <c r="D22" s="287">
        <v>2988409.277839831</v>
      </c>
      <c r="E22" s="287">
        <v>1656565.687047463</v>
      </c>
      <c r="F22" s="287">
        <v>3542407.022639029</v>
      </c>
      <c r="G22" s="287">
        <v>2146966.331514452</v>
      </c>
      <c r="H22" s="287">
        <v>3538192.1667529587</v>
      </c>
      <c r="I22" s="287">
        <v>2202290.300077877</v>
      </c>
      <c r="J22" s="287">
        <v>3637055.270685112</v>
      </c>
      <c r="K22" s="287">
        <v>2070961.4270167234</v>
      </c>
      <c r="L22" s="287">
        <v>2910553.2172173755</v>
      </c>
      <c r="M22" s="287">
        <v>1711683.7623925498</v>
      </c>
      <c r="N22" s="287">
        <v>2950448.205733084</v>
      </c>
      <c r="O22" s="287">
        <v>1856300.0975608747</v>
      </c>
      <c r="P22" s="287">
        <v>2124563.4114472233</v>
      </c>
      <c r="Q22" s="287">
        <v>1391131.2593156123</v>
      </c>
      <c r="R22" s="287">
        <v>4139906.995977379</v>
      </c>
      <c r="S22" s="287">
        <v>2573363.3588210493</v>
      </c>
      <c r="T22" s="287">
        <v>3567801.6382312123</v>
      </c>
      <c r="U22" s="287">
        <v>1961042.2103343843</v>
      </c>
      <c r="V22" s="287">
        <v>3829233.0566561804</v>
      </c>
      <c r="W22" s="287">
        <v>1938484.627005174</v>
      </c>
      <c r="X22" s="287">
        <v>3277838.3277927674</v>
      </c>
      <c r="Y22" s="287">
        <v>1782360.365506615</v>
      </c>
      <c r="Z22" s="287">
        <v>2853262.413164193</v>
      </c>
      <c r="AA22" s="287">
        <v>1685689.9692708747</v>
      </c>
      <c r="AB22" s="272"/>
      <c r="AC22" s="272"/>
    </row>
    <row r="23" spans="2:29" ht="12.75">
      <c r="B23" s="269"/>
      <c r="AA23" s="272"/>
      <c r="AB23" s="272"/>
      <c r="AC23" s="272"/>
    </row>
    <row r="24" spans="3:4" ht="12.75">
      <c r="C24" s="190"/>
      <c r="D24" s="4" t="s">
        <v>457</v>
      </c>
    </row>
  </sheetData>
  <mergeCells count="2">
    <mergeCell ref="A3:C3"/>
    <mergeCell ref="D5:AA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1"/>
  <sheetViews>
    <sheetView view="pageBreakPreview" zoomScale="50" zoomScaleSheetLayoutView="50" workbookViewId="0" topLeftCell="A1">
      <pane xSplit="3" ySplit="11" topLeftCell="AH12" activePane="bottomRight" state="frozen"/>
      <selection pane="topLeft" activeCell="F16" sqref="F16"/>
      <selection pane="topRight" activeCell="F16" sqref="F16"/>
      <selection pane="bottomLeft" activeCell="F16" sqref="F16"/>
      <selection pane="bottomRight" activeCell="A2" sqref="A2"/>
    </sheetView>
  </sheetViews>
  <sheetFormatPr defaultColWidth="9.140625" defaultRowHeight="12.75"/>
  <cols>
    <col min="1" max="1" width="12.57421875" style="90" bestFit="1" customWidth="1"/>
    <col min="2" max="2" width="9.140625" style="76" customWidth="1"/>
    <col min="3" max="3" width="28.8515625" style="76" customWidth="1"/>
    <col min="4" max="4" width="8.8515625" style="76" customWidth="1"/>
    <col min="5" max="5" width="12.140625" style="76" customWidth="1"/>
    <col min="6" max="6" width="21.28125" style="76" customWidth="1"/>
    <col min="7" max="9" width="12.140625" style="76" customWidth="1"/>
    <col min="10" max="10" width="12.28125" style="76" customWidth="1"/>
    <col min="11" max="11" width="13.57421875" style="76" customWidth="1"/>
    <col min="12" max="13" width="12.140625" style="77" customWidth="1"/>
    <col min="14" max="14" width="21.00390625" style="77" customWidth="1"/>
    <col min="15" max="17" width="12.140625" style="77" customWidth="1"/>
    <col min="18" max="18" width="15.57421875" style="77" bestFit="1" customWidth="1"/>
    <col min="19" max="22" width="12.140625" style="77" customWidth="1"/>
    <col min="23" max="23" width="20.140625" style="77" customWidth="1"/>
    <col min="24" max="29" width="12.140625" style="77" customWidth="1"/>
    <col min="30" max="31" width="20.00390625" style="77" customWidth="1"/>
    <col min="32" max="32" width="4.28125" style="77" customWidth="1"/>
    <col min="33" max="37" width="12.140625" style="77" customWidth="1"/>
    <col min="38" max="38" width="13.8515625" style="77" customWidth="1"/>
    <col min="39" max="39" width="14.8515625" style="77" customWidth="1"/>
    <col min="40" max="40" width="12.140625" style="77" customWidth="1"/>
    <col min="41" max="41" width="11.7109375" style="77" customWidth="1"/>
    <col min="42" max="42" width="4.28125" style="77" customWidth="1"/>
    <col min="43" max="43" width="12.421875" style="77" customWidth="1"/>
    <col min="44" max="44" width="17.57421875" style="77" customWidth="1"/>
    <col min="45" max="16384" width="9.140625" style="76" customWidth="1"/>
  </cols>
  <sheetData>
    <row r="1" spans="1:44" ht="19.5" thickBot="1">
      <c r="A1" s="75" t="s">
        <v>141</v>
      </c>
      <c r="M1" s="335" t="s">
        <v>142</v>
      </c>
      <c r="N1" s="336"/>
      <c r="O1" s="336"/>
      <c r="P1" s="336"/>
      <c r="Q1" s="336"/>
      <c r="R1" s="337"/>
      <c r="AG1" s="335" t="s">
        <v>142</v>
      </c>
      <c r="AH1" s="338"/>
      <c r="AI1" s="338"/>
      <c r="AJ1" s="338"/>
      <c r="AK1" s="338"/>
      <c r="AL1" s="338"/>
      <c r="AM1" s="336"/>
      <c r="AN1" s="336"/>
      <c r="AO1" s="336"/>
      <c r="AP1" s="336"/>
      <c r="AQ1" s="336"/>
      <c r="AR1" s="337"/>
    </row>
    <row r="2" spans="1:44" ht="13.5" thickTop="1">
      <c r="A2" s="78">
        <v>40647</v>
      </c>
      <c r="M2" s="79"/>
      <c r="Q2" s="80" t="s">
        <v>2</v>
      </c>
      <c r="R2" s="81" t="s">
        <v>143</v>
      </c>
      <c r="AG2" s="79"/>
      <c r="AK2" s="80" t="s">
        <v>2</v>
      </c>
      <c r="AL2" s="82" t="s">
        <v>143</v>
      </c>
      <c r="AQ2" s="80" t="s">
        <v>2</v>
      </c>
      <c r="AR2" s="81" t="s">
        <v>143</v>
      </c>
    </row>
    <row r="3" spans="1:44" ht="12.75">
      <c r="A3" s="83"/>
      <c r="M3" s="79" t="s">
        <v>144</v>
      </c>
      <c r="Q3" s="84">
        <f>U149</f>
        <v>8063.833999999998</v>
      </c>
      <c r="R3" s="85">
        <f>U150</f>
        <v>133</v>
      </c>
      <c r="AG3" s="86" t="s">
        <v>145</v>
      </c>
      <c r="AH3" s="87"/>
      <c r="AI3" s="87"/>
      <c r="AJ3" s="87"/>
      <c r="AK3" s="88">
        <f>AJ149</f>
        <v>6773.260459680477</v>
      </c>
      <c r="AL3" s="89">
        <f>AJ150</f>
        <v>133</v>
      </c>
      <c r="AN3" s="77" t="s">
        <v>146</v>
      </c>
      <c r="AQ3" s="84">
        <f>AQ149</f>
        <v>45.994</v>
      </c>
      <c r="AR3" s="85">
        <v>4</v>
      </c>
    </row>
    <row r="4" spans="13:44" ht="12.75">
      <c r="M4" s="79" t="s">
        <v>147</v>
      </c>
      <c r="Q4" s="84">
        <f>AC149</f>
        <v>8135.685999999997</v>
      </c>
      <c r="R4" s="85">
        <f>AC150</f>
        <v>133</v>
      </c>
      <c r="AG4" s="86" t="s">
        <v>148</v>
      </c>
      <c r="AH4" s="87"/>
      <c r="AI4" s="87"/>
      <c r="AJ4" s="87"/>
      <c r="AK4" s="88">
        <f>AK149</f>
        <v>7134.999999999995</v>
      </c>
      <c r="AL4" s="89">
        <f>AK150</f>
        <v>133</v>
      </c>
      <c r="AN4" s="77" t="s">
        <v>149</v>
      </c>
      <c r="AQ4" s="84">
        <f>AQ147</f>
        <v>40.772</v>
      </c>
      <c r="AR4" s="85">
        <v>1</v>
      </c>
    </row>
    <row r="5" spans="13:44" ht="12.75">
      <c r="M5" s="86" t="s">
        <v>150</v>
      </c>
      <c r="Q5" s="84">
        <f>AD149</f>
        <v>72.94500000000015</v>
      </c>
      <c r="R5" s="91">
        <f>AD150</f>
        <v>40</v>
      </c>
      <c r="AG5" s="86" t="s">
        <v>151</v>
      </c>
      <c r="AH5" s="87"/>
      <c r="AI5" s="87"/>
      <c r="AJ5" s="87"/>
      <c r="AK5" s="88">
        <f>AM149</f>
        <v>7301.112999999997</v>
      </c>
      <c r="AL5" s="89">
        <f>AM150</f>
        <v>133</v>
      </c>
      <c r="AN5" s="77" t="s">
        <v>152</v>
      </c>
      <c r="AO5" s="92"/>
      <c r="AP5" s="92"/>
      <c r="AQ5" s="84">
        <f>AQ143+AQ127</f>
        <v>1.3049999999999995</v>
      </c>
      <c r="AR5" s="85">
        <v>2</v>
      </c>
    </row>
    <row r="6" spans="13:44" ht="13.5" thickBot="1">
      <c r="M6" s="93" t="s">
        <v>153</v>
      </c>
      <c r="N6" s="94"/>
      <c r="O6" s="94"/>
      <c r="P6" s="94"/>
      <c r="Q6" s="95">
        <f>AE149</f>
        <v>26.172</v>
      </c>
      <c r="R6" s="96">
        <f>AE150</f>
        <v>3</v>
      </c>
      <c r="AG6" s="97" t="s">
        <v>154</v>
      </c>
      <c r="AH6" s="87"/>
      <c r="AI6" s="87"/>
      <c r="AJ6" s="87"/>
      <c r="AK6" s="98">
        <v>7135</v>
      </c>
      <c r="AL6" s="89" t="s">
        <v>155</v>
      </c>
      <c r="AM6" s="99"/>
      <c r="AN6" s="77" t="s">
        <v>156</v>
      </c>
      <c r="AQ6" s="84">
        <f>AQ131</f>
        <v>3.916999999999998</v>
      </c>
      <c r="AR6" s="85">
        <v>1</v>
      </c>
    </row>
    <row r="7" spans="33:44" ht="13.5" thickBot="1">
      <c r="AG7" s="93" t="s">
        <v>157</v>
      </c>
      <c r="AH7" s="94"/>
      <c r="AI7" s="94"/>
      <c r="AJ7" s="94"/>
      <c r="AK7" s="95">
        <f>AO149</f>
        <v>80.61699999999999</v>
      </c>
      <c r="AL7" s="100">
        <f>AO150</f>
        <v>41</v>
      </c>
      <c r="AM7" s="94"/>
      <c r="AN7" s="101"/>
      <c r="AO7" s="101"/>
      <c r="AP7" s="101"/>
      <c r="AQ7" s="94"/>
      <c r="AR7" s="102"/>
    </row>
    <row r="8" spans="1:44" s="77" customFormat="1" ht="22.5" customHeight="1" thickBot="1">
      <c r="A8" s="90"/>
      <c r="B8" s="89" t="s">
        <v>158</v>
      </c>
      <c r="C8" s="89" t="s">
        <v>159</v>
      </c>
      <c r="D8" s="89" t="s">
        <v>160</v>
      </c>
      <c r="E8" s="89" t="s">
        <v>161</v>
      </c>
      <c r="F8" s="89" t="s">
        <v>162</v>
      </c>
      <c r="G8" s="89" t="s">
        <v>163</v>
      </c>
      <c r="H8" s="89" t="s">
        <v>164</v>
      </c>
      <c r="I8" s="89" t="s">
        <v>165</v>
      </c>
      <c r="J8" s="89" t="s">
        <v>166</v>
      </c>
      <c r="K8" s="89" t="s">
        <v>167</v>
      </c>
      <c r="L8" s="89" t="s">
        <v>168</v>
      </c>
      <c r="M8" s="89" t="s">
        <v>169</v>
      </c>
      <c r="N8" s="89" t="s">
        <v>170</v>
      </c>
      <c r="O8" s="89" t="s">
        <v>171</v>
      </c>
      <c r="P8" s="89" t="s">
        <v>172</v>
      </c>
      <c r="Q8" s="89" t="s">
        <v>173</v>
      </c>
      <c r="R8" s="89" t="s">
        <v>174</v>
      </c>
      <c r="S8" s="89" t="s">
        <v>175</v>
      </c>
      <c r="T8" s="89" t="s">
        <v>176</v>
      </c>
      <c r="U8" s="89" t="s">
        <v>177</v>
      </c>
      <c r="V8" s="89" t="s">
        <v>178</v>
      </c>
      <c r="W8" s="89" t="s">
        <v>179</v>
      </c>
      <c r="X8" s="89" t="s">
        <v>180</v>
      </c>
      <c r="Y8" s="89" t="s">
        <v>181</v>
      </c>
      <c r="Z8" s="89" t="s">
        <v>182</v>
      </c>
      <c r="AA8" s="89" t="s">
        <v>183</v>
      </c>
      <c r="AB8" s="89" t="s">
        <v>184</v>
      </c>
      <c r="AC8" s="89" t="s">
        <v>185</v>
      </c>
      <c r="AD8" s="89" t="s">
        <v>186</v>
      </c>
      <c r="AE8" s="89" t="s">
        <v>187</v>
      </c>
      <c r="AF8" s="89" t="s">
        <v>188</v>
      </c>
      <c r="AG8" s="89" t="s">
        <v>189</v>
      </c>
      <c r="AH8" s="89" t="s">
        <v>190</v>
      </c>
      <c r="AI8" s="89" t="s">
        <v>191</v>
      </c>
      <c r="AJ8" s="89" t="s">
        <v>192</v>
      </c>
      <c r="AK8" s="89" t="s">
        <v>193</v>
      </c>
      <c r="AL8" s="89" t="s">
        <v>194</v>
      </c>
      <c r="AM8" s="89" t="s">
        <v>195</v>
      </c>
      <c r="AN8" s="89" t="s">
        <v>196</v>
      </c>
      <c r="AO8" s="89" t="s">
        <v>197</v>
      </c>
      <c r="AP8" s="89" t="s">
        <v>198</v>
      </c>
      <c r="AQ8" s="89" t="s">
        <v>199</v>
      </c>
      <c r="AR8" s="89" t="s">
        <v>200</v>
      </c>
    </row>
    <row r="9" spans="1:44" ht="30.75" customHeight="1" thickBot="1">
      <c r="A9" s="103" t="s">
        <v>59</v>
      </c>
      <c r="B9" s="104"/>
      <c r="C9" s="104"/>
      <c r="D9" s="104"/>
      <c r="E9" s="339" t="s">
        <v>201</v>
      </c>
      <c r="F9" s="340"/>
      <c r="G9" s="340"/>
      <c r="H9" s="340"/>
      <c r="I9" s="340"/>
      <c r="J9" s="340"/>
      <c r="K9" s="340"/>
      <c r="L9" s="341"/>
      <c r="M9" s="339" t="s">
        <v>202</v>
      </c>
      <c r="N9" s="340"/>
      <c r="O9" s="340"/>
      <c r="P9" s="340"/>
      <c r="Q9" s="340"/>
      <c r="R9" s="340"/>
      <c r="S9" s="340"/>
      <c r="T9" s="341"/>
      <c r="U9" s="105" t="s">
        <v>203</v>
      </c>
      <c r="V9" s="339" t="s">
        <v>204</v>
      </c>
      <c r="W9" s="342"/>
      <c r="X9" s="342"/>
      <c r="Y9" s="342"/>
      <c r="Z9" s="342"/>
      <c r="AA9" s="342"/>
      <c r="AB9" s="343"/>
      <c r="AC9" s="344"/>
      <c r="AD9" s="106" t="s">
        <v>205</v>
      </c>
      <c r="AE9" s="106" t="s">
        <v>206</v>
      </c>
      <c r="AF9" s="107"/>
      <c r="AG9" s="345" t="s">
        <v>207</v>
      </c>
      <c r="AH9" s="343"/>
      <c r="AI9" s="343"/>
      <c r="AJ9" s="343"/>
      <c r="AK9" s="343"/>
      <c r="AL9" s="343"/>
      <c r="AM9" s="343"/>
      <c r="AN9" s="343"/>
      <c r="AO9" s="344"/>
      <c r="AP9" s="108"/>
      <c r="AQ9" s="339" t="s">
        <v>208</v>
      </c>
      <c r="AR9" s="344"/>
    </row>
    <row r="10" spans="1:44" ht="51">
      <c r="A10" s="103" t="s">
        <v>60</v>
      </c>
      <c r="B10" s="109" t="s">
        <v>0</v>
      </c>
      <c r="C10" s="109" t="s">
        <v>209</v>
      </c>
      <c r="D10" s="110" t="s">
        <v>1</v>
      </c>
      <c r="E10" s="111" t="s">
        <v>210</v>
      </c>
      <c r="F10" s="112" t="s">
        <v>211</v>
      </c>
      <c r="G10" s="112" t="s">
        <v>212</v>
      </c>
      <c r="H10" s="112" t="s">
        <v>213</v>
      </c>
      <c r="I10" s="112" t="s">
        <v>214</v>
      </c>
      <c r="J10" s="112" t="s">
        <v>215</v>
      </c>
      <c r="K10" s="112" t="s">
        <v>216</v>
      </c>
      <c r="L10" s="113" t="s">
        <v>217</v>
      </c>
      <c r="M10" s="111" t="s">
        <v>210</v>
      </c>
      <c r="N10" s="112" t="s">
        <v>211</v>
      </c>
      <c r="O10" s="112" t="s">
        <v>212</v>
      </c>
      <c r="P10" s="112" t="s">
        <v>213</v>
      </c>
      <c r="Q10" s="112" t="s">
        <v>214</v>
      </c>
      <c r="R10" s="112" t="s">
        <v>215</v>
      </c>
      <c r="S10" s="112" t="s">
        <v>218</v>
      </c>
      <c r="T10" s="113" t="s">
        <v>219</v>
      </c>
      <c r="U10" s="114" t="s">
        <v>220</v>
      </c>
      <c r="V10" s="111" t="s">
        <v>210</v>
      </c>
      <c r="W10" s="112" t="s">
        <v>211</v>
      </c>
      <c r="X10" s="112" t="s">
        <v>212</v>
      </c>
      <c r="Y10" s="112" t="s">
        <v>213</v>
      </c>
      <c r="Z10" s="112" t="s">
        <v>214</v>
      </c>
      <c r="AA10" s="112" t="s">
        <v>215</v>
      </c>
      <c r="AB10" s="112" t="s">
        <v>221</v>
      </c>
      <c r="AC10" s="113" t="s">
        <v>222</v>
      </c>
      <c r="AD10" s="115" t="s">
        <v>223</v>
      </c>
      <c r="AE10" s="115" t="s">
        <v>224</v>
      </c>
      <c r="AF10" s="116"/>
      <c r="AG10" s="117" t="s">
        <v>225</v>
      </c>
      <c r="AH10" s="118" t="s">
        <v>226</v>
      </c>
      <c r="AI10" s="118" t="s">
        <v>227</v>
      </c>
      <c r="AJ10" s="118" t="s">
        <v>228</v>
      </c>
      <c r="AK10" s="118" t="s">
        <v>229</v>
      </c>
      <c r="AL10" s="118" t="s">
        <v>230</v>
      </c>
      <c r="AM10" s="118" t="s">
        <v>231</v>
      </c>
      <c r="AN10" s="118" t="s">
        <v>232</v>
      </c>
      <c r="AO10" s="119" t="s">
        <v>233</v>
      </c>
      <c r="AP10" s="108"/>
      <c r="AQ10" s="111" t="s">
        <v>234</v>
      </c>
      <c r="AR10" s="113" t="s">
        <v>235</v>
      </c>
    </row>
    <row r="11" spans="1:44" s="128" customFormat="1" ht="13.5" thickBot="1">
      <c r="A11" s="103" t="s">
        <v>61</v>
      </c>
      <c r="B11" s="120"/>
      <c r="C11" s="121"/>
      <c r="D11" s="122"/>
      <c r="E11" s="123" t="s">
        <v>2</v>
      </c>
      <c r="F11" s="124" t="s">
        <v>2</v>
      </c>
      <c r="G11" s="124" t="s">
        <v>2</v>
      </c>
      <c r="H11" s="124" t="s">
        <v>2</v>
      </c>
      <c r="I11" s="124" t="s">
        <v>2</v>
      </c>
      <c r="J11" s="124" t="s">
        <v>2</v>
      </c>
      <c r="K11" s="124" t="s">
        <v>2</v>
      </c>
      <c r="L11" s="125" t="s">
        <v>2</v>
      </c>
      <c r="M11" s="123" t="s">
        <v>2</v>
      </c>
      <c r="N11" s="124" t="s">
        <v>2</v>
      </c>
      <c r="O11" s="124" t="s">
        <v>2</v>
      </c>
      <c r="P11" s="124" t="s">
        <v>2</v>
      </c>
      <c r="Q11" s="124" t="s">
        <v>2</v>
      </c>
      <c r="R11" s="124" t="s">
        <v>2</v>
      </c>
      <c r="S11" s="124" t="s">
        <v>2</v>
      </c>
      <c r="T11" s="125" t="s">
        <v>2</v>
      </c>
      <c r="U11" s="126" t="s">
        <v>2</v>
      </c>
      <c r="V11" s="123" t="s">
        <v>2</v>
      </c>
      <c r="W11" s="124" t="s">
        <v>2</v>
      </c>
      <c r="X11" s="124" t="s">
        <v>2</v>
      </c>
      <c r="Y11" s="124" t="s">
        <v>2</v>
      </c>
      <c r="Z11" s="124" t="s">
        <v>2</v>
      </c>
      <c r="AA11" s="124" t="s">
        <v>2</v>
      </c>
      <c r="AB11" s="124" t="s">
        <v>2</v>
      </c>
      <c r="AC11" s="125" t="s">
        <v>2</v>
      </c>
      <c r="AD11" s="126" t="s">
        <v>2</v>
      </c>
      <c r="AE11" s="126" t="s">
        <v>2</v>
      </c>
      <c r="AF11" s="122"/>
      <c r="AG11" s="123" t="s">
        <v>2</v>
      </c>
      <c r="AH11" s="124" t="s">
        <v>2</v>
      </c>
      <c r="AI11" s="124" t="s">
        <v>2</v>
      </c>
      <c r="AJ11" s="124" t="s">
        <v>2</v>
      </c>
      <c r="AK11" s="124" t="s">
        <v>2</v>
      </c>
      <c r="AL11" s="124" t="s">
        <v>2</v>
      </c>
      <c r="AM11" s="124" t="s">
        <v>2</v>
      </c>
      <c r="AN11" s="124" t="s">
        <v>2</v>
      </c>
      <c r="AO11" s="125" t="s">
        <v>2</v>
      </c>
      <c r="AP11" s="127"/>
      <c r="AQ11" s="123" t="s">
        <v>2</v>
      </c>
      <c r="AR11" s="125" t="s">
        <v>2</v>
      </c>
    </row>
    <row r="12" spans="1:44" ht="12.75">
      <c r="A12" s="129" t="s">
        <v>62</v>
      </c>
      <c r="B12" s="130">
        <v>10055</v>
      </c>
      <c r="C12" s="131" t="s">
        <v>236</v>
      </c>
      <c r="D12" s="132">
        <v>102</v>
      </c>
      <c r="E12" s="133">
        <v>0.377</v>
      </c>
      <c r="F12" s="134">
        <v>0</v>
      </c>
      <c r="G12" s="134">
        <v>-0.001</v>
      </c>
      <c r="H12" s="134">
        <v>0</v>
      </c>
      <c r="I12" s="134">
        <v>0</v>
      </c>
      <c r="J12" s="134">
        <f aca="true" t="shared" si="0" ref="J12:J75">SUM(E12:I12)</f>
        <v>0.376</v>
      </c>
      <c r="K12" s="134">
        <v>0</v>
      </c>
      <c r="L12" s="135">
        <f aca="true" t="shared" si="1" ref="L12:L75">ROUND(J12+K12,3)</f>
        <v>0.376</v>
      </c>
      <c r="M12" s="133">
        <v>0.407</v>
      </c>
      <c r="N12" s="134">
        <v>0</v>
      </c>
      <c r="O12" s="134">
        <v>-0.012</v>
      </c>
      <c r="P12" s="134">
        <v>0</v>
      </c>
      <c r="Q12" s="134">
        <v>0</v>
      </c>
      <c r="R12" s="134">
        <f aca="true" t="shared" si="2" ref="R12:R75">SUM(M12:Q12)</f>
        <v>0.39499999999999996</v>
      </c>
      <c r="S12" s="134">
        <v>0</v>
      </c>
      <c r="T12" s="135">
        <f aca="true" t="shared" si="3" ref="T12:T75">ROUND(R12+S12,3)</f>
        <v>0.395</v>
      </c>
      <c r="U12" s="136">
        <f aca="true" t="shared" si="4" ref="U12:U75">ROUND(+(L12+T12)/2,3)</f>
        <v>0.386</v>
      </c>
      <c r="V12" s="133">
        <v>0.399</v>
      </c>
      <c r="W12" s="134">
        <v>0</v>
      </c>
      <c r="X12" s="134">
        <v>-0.008</v>
      </c>
      <c r="Y12" s="134">
        <v>0</v>
      </c>
      <c r="Z12" s="134">
        <v>0</v>
      </c>
      <c r="AA12" s="134">
        <f aca="true" t="shared" si="5" ref="AA12:AA75">SUM(V12:Z12)</f>
        <v>0.391</v>
      </c>
      <c r="AB12" s="134">
        <v>0.002</v>
      </c>
      <c r="AC12" s="135">
        <f aca="true" t="shared" si="6" ref="AC12:AC75">ROUND(AA12+AB12,3)</f>
        <v>0.393</v>
      </c>
      <c r="AD12" s="136">
        <f aca="true" t="shared" si="7" ref="AD12:AD75">IF(U12-AC12&gt;0,U12-AC12,0)</f>
        <v>0</v>
      </c>
      <c r="AE12" s="136">
        <v>0</v>
      </c>
      <c r="AF12" s="137"/>
      <c r="AG12" s="133">
        <f aca="true" t="shared" si="8" ref="AG12:AG75">AA12</f>
        <v>0.391</v>
      </c>
      <c r="AH12" s="134">
        <f aca="true" t="shared" si="9" ref="AH12:AH57">IF(AD12&gt;AE12,AD12,AE12)</f>
        <v>0</v>
      </c>
      <c r="AI12" s="134">
        <v>0</v>
      </c>
      <c r="AJ12" s="134">
        <f aca="true" t="shared" si="10" ref="AJ12:AJ75">SUM(AG12:AI12)</f>
        <v>0.391</v>
      </c>
      <c r="AK12" s="134">
        <f aca="true" t="shared" si="11" ref="AK12:AK75">AJ12*($AK$6/$AK$3)</f>
        <v>0.4118821380938901</v>
      </c>
      <c r="AL12" s="134">
        <f aca="true" t="shared" si="12" ref="AL12:AL75">AB12</f>
        <v>0.002</v>
      </c>
      <c r="AM12" s="134">
        <f aca="true" t="shared" si="13" ref="AM12:AM75">AK12+AL12</f>
        <v>0.41388213809389013</v>
      </c>
      <c r="AN12" s="134">
        <f aca="true" t="shared" si="14" ref="AN12:AN75">ROUND(AM12*($AK$4/$AK$5),3)</f>
        <v>0.404</v>
      </c>
      <c r="AO12" s="135">
        <f aca="true" t="shared" si="15" ref="AO12:AO75">ROUND(IF(AH12&gt;0,AN12*(AH12/AJ12),0),3)</f>
        <v>0</v>
      </c>
      <c r="AP12" s="138"/>
      <c r="AQ12" s="133">
        <v>0</v>
      </c>
      <c r="AR12" s="135">
        <f aca="true" t="shared" si="16" ref="AR12:AR75">AN12+AQ12</f>
        <v>0.404</v>
      </c>
    </row>
    <row r="13" spans="1:44" ht="12.75">
      <c r="A13" s="139" t="s">
        <v>63</v>
      </c>
      <c r="B13" s="140">
        <v>10005</v>
      </c>
      <c r="C13" s="141" t="s">
        <v>237</v>
      </c>
      <c r="D13" s="142">
        <v>301</v>
      </c>
      <c r="E13" s="143">
        <v>0.481</v>
      </c>
      <c r="F13" s="144">
        <v>0</v>
      </c>
      <c r="G13" s="144">
        <v>-0.008</v>
      </c>
      <c r="H13" s="144">
        <v>0</v>
      </c>
      <c r="I13" s="144">
        <v>0</v>
      </c>
      <c r="J13" s="144">
        <f t="shared" si="0"/>
        <v>0.473</v>
      </c>
      <c r="K13" s="144">
        <v>0</v>
      </c>
      <c r="L13" s="145">
        <f t="shared" si="1"/>
        <v>0.473</v>
      </c>
      <c r="M13" s="143">
        <v>0.54</v>
      </c>
      <c r="N13" s="144">
        <v>0</v>
      </c>
      <c r="O13" s="144">
        <v>-0.02</v>
      </c>
      <c r="P13" s="144">
        <v>0</v>
      </c>
      <c r="Q13" s="144">
        <v>0</v>
      </c>
      <c r="R13" s="144">
        <f t="shared" si="2"/>
        <v>0.52</v>
      </c>
      <c r="S13" s="144">
        <v>0</v>
      </c>
      <c r="T13" s="145">
        <f t="shared" si="3"/>
        <v>0.52</v>
      </c>
      <c r="U13" s="146">
        <f t="shared" si="4"/>
        <v>0.497</v>
      </c>
      <c r="V13" s="143">
        <v>0.535</v>
      </c>
      <c r="W13" s="144">
        <v>0</v>
      </c>
      <c r="X13" s="144">
        <v>0.005</v>
      </c>
      <c r="Y13" s="144">
        <v>0</v>
      </c>
      <c r="Z13" s="144">
        <v>0</v>
      </c>
      <c r="AA13" s="144">
        <f t="shared" si="5"/>
        <v>0.54</v>
      </c>
      <c r="AB13" s="144">
        <v>0</v>
      </c>
      <c r="AC13" s="145">
        <f t="shared" si="6"/>
        <v>0.54</v>
      </c>
      <c r="AD13" s="146">
        <f t="shared" si="7"/>
        <v>0</v>
      </c>
      <c r="AE13" s="146">
        <v>0</v>
      </c>
      <c r="AF13" s="147"/>
      <c r="AG13" s="143">
        <f t="shared" si="8"/>
        <v>0.54</v>
      </c>
      <c r="AH13" s="144">
        <f t="shared" si="9"/>
        <v>0</v>
      </c>
      <c r="AI13" s="144">
        <v>0</v>
      </c>
      <c r="AJ13" s="144">
        <f t="shared" si="10"/>
        <v>0.54</v>
      </c>
      <c r="AK13" s="144">
        <f t="shared" si="11"/>
        <v>0.5688397815107434</v>
      </c>
      <c r="AL13" s="144">
        <f t="shared" si="12"/>
        <v>0</v>
      </c>
      <c r="AM13" s="144">
        <f t="shared" si="13"/>
        <v>0.5688397815107434</v>
      </c>
      <c r="AN13" s="144">
        <f t="shared" si="14"/>
        <v>0.556</v>
      </c>
      <c r="AO13" s="145">
        <f t="shared" si="15"/>
        <v>0</v>
      </c>
      <c r="AP13" s="148"/>
      <c r="AQ13" s="143">
        <v>0</v>
      </c>
      <c r="AR13" s="145">
        <f t="shared" si="16"/>
        <v>0.556</v>
      </c>
    </row>
    <row r="14" spans="1:44" ht="12.75">
      <c r="A14" s="129" t="s">
        <v>64</v>
      </c>
      <c r="B14" s="130">
        <v>10057</v>
      </c>
      <c r="C14" s="131" t="s">
        <v>3</v>
      </c>
      <c r="D14" s="132">
        <v>103</v>
      </c>
      <c r="E14" s="149">
        <v>20.746</v>
      </c>
      <c r="F14" s="150">
        <v>0</v>
      </c>
      <c r="G14" s="150">
        <v>-0.07</v>
      </c>
      <c r="H14" s="150">
        <v>0</v>
      </c>
      <c r="I14" s="150">
        <v>0</v>
      </c>
      <c r="J14" s="150">
        <f t="shared" si="0"/>
        <v>20.676</v>
      </c>
      <c r="K14" s="150">
        <v>0.043</v>
      </c>
      <c r="L14" s="151">
        <f t="shared" si="1"/>
        <v>20.719</v>
      </c>
      <c r="M14" s="149">
        <v>21.202</v>
      </c>
      <c r="N14" s="150">
        <v>0</v>
      </c>
      <c r="O14" s="150">
        <v>-0.428</v>
      </c>
      <c r="P14" s="150">
        <v>0</v>
      </c>
      <c r="Q14" s="150">
        <v>0</v>
      </c>
      <c r="R14" s="150">
        <f t="shared" si="2"/>
        <v>20.774</v>
      </c>
      <c r="S14" s="150">
        <v>0.09</v>
      </c>
      <c r="T14" s="151">
        <f t="shared" si="3"/>
        <v>20.864</v>
      </c>
      <c r="U14" s="152">
        <f t="shared" si="4"/>
        <v>20.792</v>
      </c>
      <c r="V14" s="149">
        <v>19.734</v>
      </c>
      <c r="W14" s="150">
        <v>0</v>
      </c>
      <c r="X14" s="150">
        <v>-0.072</v>
      </c>
      <c r="Y14" s="150">
        <v>0</v>
      </c>
      <c r="Z14" s="150">
        <v>0</v>
      </c>
      <c r="AA14" s="150">
        <f t="shared" si="5"/>
        <v>19.662000000000003</v>
      </c>
      <c r="AB14" s="150">
        <v>0.397</v>
      </c>
      <c r="AC14" s="151">
        <f t="shared" si="6"/>
        <v>20.059</v>
      </c>
      <c r="AD14" s="152">
        <f t="shared" si="7"/>
        <v>0.7330000000000005</v>
      </c>
      <c r="AE14" s="152">
        <v>0</v>
      </c>
      <c r="AF14" s="137"/>
      <c r="AG14" s="149">
        <f t="shared" si="8"/>
        <v>19.662000000000003</v>
      </c>
      <c r="AH14" s="150">
        <f t="shared" si="9"/>
        <v>0.7330000000000005</v>
      </c>
      <c r="AI14" s="150">
        <v>0</v>
      </c>
      <c r="AJ14" s="150">
        <f t="shared" si="10"/>
        <v>20.395000000000003</v>
      </c>
      <c r="AK14" s="150">
        <f t="shared" si="11"/>
        <v>21.484235822058544</v>
      </c>
      <c r="AL14" s="150">
        <f t="shared" si="12"/>
        <v>0.397</v>
      </c>
      <c r="AM14" s="150">
        <f t="shared" si="13"/>
        <v>21.881235822058542</v>
      </c>
      <c r="AN14" s="150">
        <f t="shared" si="14"/>
        <v>21.383</v>
      </c>
      <c r="AO14" s="151">
        <f t="shared" si="15"/>
        <v>0.769</v>
      </c>
      <c r="AP14" s="138"/>
      <c r="AQ14" s="149">
        <v>0</v>
      </c>
      <c r="AR14" s="151">
        <f t="shared" si="16"/>
        <v>21.383</v>
      </c>
    </row>
    <row r="15" spans="1:44" ht="12.75">
      <c r="A15" s="139" t="s">
        <v>65</v>
      </c>
      <c r="B15" s="140">
        <v>10015</v>
      </c>
      <c r="C15" s="141" t="s">
        <v>4</v>
      </c>
      <c r="D15" s="142">
        <v>201</v>
      </c>
      <c r="E15" s="143">
        <v>0.632</v>
      </c>
      <c r="F15" s="144">
        <v>0</v>
      </c>
      <c r="G15" s="144">
        <v>-0.025</v>
      </c>
      <c r="H15" s="144">
        <v>0</v>
      </c>
      <c r="I15" s="144">
        <v>0</v>
      </c>
      <c r="J15" s="144">
        <f t="shared" si="0"/>
        <v>0.607</v>
      </c>
      <c r="K15" s="144">
        <v>0</v>
      </c>
      <c r="L15" s="145">
        <f t="shared" si="1"/>
        <v>0.607</v>
      </c>
      <c r="M15" s="143">
        <v>0.588</v>
      </c>
      <c r="N15" s="144">
        <v>0</v>
      </c>
      <c r="O15" s="144">
        <v>-0.009</v>
      </c>
      <c r="P15" s="144">
        <v>0</v>
      </c>
      <c r="Q15" s="144">
        <v>0</v>
      </c>
      <c r="R15" s="144">
        <f t="shared" si="2"/>
        <v>0.579</v>
      </c>
      <c r="S15" s="144">
        <v>0</v>
      </c>
      <c r="T15" s="145">
        <f t="shared" si="3"/>
        <v>0.579</v>
      </c>
      <c r="U15" s="146">
        <f t="shared" si="4"/>
        <v>0.593</v>
      </c>
      <c r="V15" s="143">
        <v>0.544</v>
      </c>
      <c r="W15" s="144">
        <v>0</v>
      </c>
      <c r="X15" s="144">
        <v>0.012</v>
      </c>
      <c r="Y15" s="144">
        <v>0</v>
      </c>
      <c r="Z15" s="144">
        <v>0</v>
      </c>
      <c r="AA15" s="144">
        <f t="shared" si="5"/>
        <v>0.556</v>
      </c>
      <c r="AB15" s="144">
        <v>0.01</v>
      </c>
      <c r="AC15" s="145">
        <f t="shared" si="6"/>
        <v>0.566</v>
      </c>
      <c r="AD15" s="146">
        <f t="shared" si="7"/>
        <v>0.027000000000000024</v>
      </c>
      <c r="AE15" s="146">
        <v>0</v>
      </c>
      <c r="AF15" s="147"/>
      <c r="AG15" s="143">
        <f t="shared" si="8"/>
        <v>0.556</v>
      </c>
      <c r="AH15" s="144">
        <f t="shared" si="9"/>
        <v>0.027000000000000024</v>
      </c>
      <c r="AI15" s="144">
        <v>0</v>
      </c>
      <c r="AJ15" s="144">
        <f t="shared" si="10"/>
        <v>0.5830000000000001</v>
      </c>
      <c r="AK15" s="144">
        <f t="shared" si="11"/>
        <v>0.6141362826310434</v>
      </c>
      <c r="AL15" s="144">
        <f t="shared" si="12"/>
        <v>0.01</v>
      </c>
      <c r="AM15" s="144">
        <f t="shared" si="13"/>
        <v>0.6241362826310434</v>
      </c>
      <c r="AN15" s="144">
        <f t="shared" si="14"/>
        <v>0.61</v>
      </c>
      <c r="AO15" s="145">
        <f t="shared" si="15"/>
        <v>0.028</v>
      </c>
      <c r="AP15" s="148"/>
      <c r="AQ15" s="143">
        <v>0</v>
      </c>
      <c r="AR15" s="145">
        <f t="shared" si="16"/>
        <v>0.61</v>
      </c>
    </row>
    <row r="16" spans="1:44" ht="12.75">
      <c r="A16" s="129" t="s">
        <v>66</v>
      </c>
      <c r="B16" s="130">
        <v>10059</v>
      </c>
      <c r="C16" s="131" t="s">
        <v>238</v>
      </c>
      <c r="D16" s="132">
        <v>104</v>
      </c>
      <c r="E16" s="149">
        <v>7.612</v>
      </c>
      <c r="F16" s="150">
        <v>0</v>
      </c>
      <c r="G16" s="150">
        <v>-0.249</v>
      </c>
      <c r="H16" s="150">
        <v>0</v>
      </c>
      <c r="I16" s="150">
        <v>0</v>
      </c>
      <c r="J16" s="150">
        <f t="shared" si="0"/>
        <v>7.363</v>
      </c>
      <c r="K16" s="150">
        <v>0.003</v>
      </c>
      <c r="L16" s="151">
        <f t="shared" si="1"/>
        <v>7.366</v>
      </c>
      <c r="M16" s="149">
        <v>8.178</v>
      </c>
      <c r="N16" s="150">
        <v>0</v>
      </c>
      <c r="O16" s="150">
        <v>-0.506</v>
      </c>
      <c r="P16" s="150">
        <v>0</v>
      </c>
      <c r="Q16" s="150">
        <v>0</v>
      </c>
      <c r="R16" s="150">
        <f t="shared" si="2"/>
        <v>7.672000000000001</v>
      </c>
      <c r="S16" s="150">
        <v>0.033</v>
      </c>
      <c r="T16" s="151">
        <f t="shared" si="3"/>
        <v>7.705</v>
      </c>
      <c r="U16" s="152">
        <f t="shared" si="4"/>
        <v>7.536</v>
      </c>
      <c r="V16" s="149">
        <v>7.521</v>
      </c>
      <c r="W16" s="150">
        <v>0</v>
      </c>
      <c r="X16" s="150">
        <v>-0.174</v>
      </c>
      <c r="Y16" s="150">
        <v>0</v>
      </c>
      <c r="Z16" s="150">
        <v>0</v>
      </c>
      <c r="AA16" s="150">
        <f t="shared" si="5"/>
        <v>7.3469999999999995</v>
      </c>
      <c r="AB16" s="150">
        <v>0.194</v>
      </c>
      <c r="AC16" s="151">
        <f t="shared" si="6"/>
        <v>7.541</v>
      </c>
      <c r="AD16" s="152">
        <f t="shared" si="7"/>
        <v>0</v>
      </c>
      <c r="AE16" s="152">
        <v>0</v>
      </c>
      <c r="AF16" s="137"/>
      <c r="AG16" s="149">
        <f t="shared" si="8"/>
        <v>7.3469999999999995</v>
      </c>
      <c r="AH16" s="150">
        <f t="shared" si="9"/>
        <v>0</v>
      </c>
      <c r="AI16" s="150">
        <v>0</v>
      </c>
      <c r="AJ16" s="150">
        <f t="shared" si="10"/>
        <v>7.3469999999999995</v>
      </c>
      <c r="AK16" s="150">
        <f t="shared" si="11"/>
        <v>7.739381249554503</v>
      </c>
      <c r="AL16" s="150">
        <f t="shared" si="12"/>
        <v>0.194</v>
      </c>
      <c r="AM16" s="150">
        <f t="shared" si="13"/>
        <v>7.933381249554503</v>
      </c>
      <c r="AN16" s="150">
        <f t="shared" si="14"/>
        <v>7.753</v>
      </c>
      <c r="AO16" s="151">
        <f t="shared" si="15"/>
        <v>0</v>
      </c>
      <c r="AP16" s="138"/>
      <c r="AQ16" s="149">
        <v>0</v>
      </c>
      <c r="AR16" s="151">
        <f t="shared" si="16"/>
        <v>7.753</v>
      </c>
    </row>
    <row r="17" spans="1:44" ht="12.75">
      <c r="A17" s="139" t="s">
        <v>67</v>
      </c>
      <c r="B17" s="140">
        <v>10024</v>
      </c>
      <c r="C17" s="141" t="s">
        <v>5</v>
      </c>
      <c r="D17" s="142">
        <v>203</v>
      </c>
      <c r="E17" s="143">
        <v>190.639</v>
      </c>
      <c r="F17" s="144">
        <v>0</v>
      </c>
      <c r="G17" s="144">
        <v>-1.436</v>
      </c>
      <c r="H17" s="144">
        <v>-47.577</v>
      </c>
      <c r="I17" s="144">
        <v>47.29</v>
      </c>
      <c r="J17" s="144">
        <f t="shared" si="0"/>
        <v>188.916</v>
      </c>
      <c r="K17" s="144">
        <v>0.313</v>
      </c>
      <c r="L17" s="145">
        <f t="shared" si="1"/>
        <v>189.229</v>
      </c>
      <c r="M17" s="143">
        <v>191.775</v>
      </c>
      <c r="N17" s="144">
        <v>0</v>
      </c>
      <c r="O17" s="144">
        <v>-0.813</v>
      </c>
      <c r="P17" s="144">
        <v>-47.144</v>
      </c>
      <c r="Q17" s="144">
        <v>47.613</v>
      </c>
      <c r="R17" s="144">
        <f t="shared" si="2"/>
        <v>191.431</v>
      </c>
      <c r="S17" s="144">
        <v>0.845</v>
      </c>
      <c r="T17" s="145">
        <f t="shared" si="3"/>
        <v>192.276</v>
      </c>
      <c r="U17" s="146">
        <f t="shared" si="4"/>
        <v>190.753</v>
      </c>
      <c r="V17" s="143">
        <v>190.136</v>
      </c>
      <c r="W17" s="144">
        <v>0</v>
      </c>
      <c r="X17" s="144">
        <v>0.684</v>
      </c>
      <c r="Y17" s="144">
        <v>-43.98154031952402</v>
      </c>
      <c r="Z17" s="144">
        <v>47.639</v>
      </c>
      <c r="AA17" s="144">
        <f t="shared" si="5"/>
        <v>194.477459680476</v>
      </c>
      <c r="AB17" s="144">
        <v>5.511</v>
      </c>
      <c r="AC17" s="145">
        <f t="shared" si="6"/>
        <v>199.988</v>
      </c>
      <c r="AD17" s="146">
        <f t="shared" si="7"/>
        <v>0</v>
      </c>
      <c r="AE17" s="146">
        <v>0</v>
      </c>
      <c r="AF17" s="147"/>
      <c r="AG17" s="143">
        <f t="shared" si="8"/>
        <v>194.477459680476</v>
      </c>
      <c r="AH17" s="144">
        <f t="shared" si="9"/>
        <v>0</v>
      </c>
      <c r="AI17" s="144">
        <v>-0.919</v>
      </c>
      <c r="AJ17" s="144">
        <f t="shared" si="10"/>
        <v>193.55845968047598</v>
      </c>
      <c r="AK17" s="144">
        <f t="shared" si="11"/>
        <v>203.89583687814442</v>
      </c>
      <c r="AL17" s="144">
        <f t="shared" si="12"/>
        <v>5.511</v>
      </c>
      <c r="AM17" s="144">
        <f t="shared" si="13"/>
        <v>209.40683687814442</v>
      </c>
      <c r="AN17" s="144">
        <f t="shared" si="14"/>
        <v>204.642</v>
      </c>
      <c r="AO17" s="145">
        <f t="shared" si="15"/>
        <v>0</v>
      </c>
      <c r="AP17" s="148"/>
      <c r="AQ17" s="143">
        <v>0</v>
      </c>
      <c r="AR17" s="145">
        <f t="shared" si="16"/>
        <v>204.642</v>
      </c>
    </row>
    <row r="18" spans="1:44" ht="12.75">
      <c r="A18" s="129" t="s">
        <v>68</v>
      </c>
      <c r="B18" s="130">
        <v>10025</v>
      </c>
      <c r="C18" s="131" t="s">
        <v>239</v>
      </c>
      <c r="D18" s="132">
        <v>303</v>
      </c>
      <c r="E18" s="149">
        <v>62.822</v>
      </c>
      <c r="F18" s="150">
        <v>0</v>
      </c>
      <c r="G18" s="150">
        <v>-0.481</v>
      </c>
      <c r="H18" s="150">
        <v>-13.543</v>
      </c>
      <c r="I18" s="150">
        <v>14.265</v>
      </c>
      <c r="J18" s="150">
        <f t="shared" si="0"/>
        <v>63.063</v>
      </c>
      <c r="K18" s="150">
        <v>0.038</v>
      </c>
      <c r="L18" s="151">
        <f t="shared" si="1"/>
        <v>63.101</v>
      </c>
      <c r="M18" s="149">
        <v>63.639</v>
      </c>
      <c r="N18" s="150">
        <v>0</v>
      </c>
      <c r="O18" s="150">
        <v>0.108</v>
      </c>
      <c r="P18" s="150">
        <v>-14.631</v>
      </c>
      <c r="Q18" s="150">
        <v>14.44</v>
      </c>
      <c r="R18" s="150">
        <f t="shared" si="2"/>
        <v>63.556</v>
      </c>
      <c r="S18" s="150">
        <v>0.448</v>
      </c>
      <c r="T18" s="151">
        <f t="shared" si="3"/>
        <v>64.004</v>
      </c>
      <c r="U18" s="152">
        <f t="shared" si="4"/>
        <v>63.553</v>
      </c>
      <c r="V18" s="149">
        <v>64.684</v>
      </c>
      <c r="W18" s="150">
        <v>0</v>
      </c>
      <c r="X18" s="150">
        <v>0.482</v>
      </c>
      <c r="Y18" s="150">
        <v>-15.466</v>
      </c>
      <c r="Z18" s="150">
        <v>15.091</v>
      </c>
      <c r="AA18" s="150">
        <f t="shared" si="5"/>
        <v>64.791</v>
      </c>
      <c r="AB18" s="150">
        <v>1.287</v>
      </c>
      <c r="AC18" s="151">
        <f t="shared" si="6"/>
        <v>66.078</v>
      </c>
      <c r="AD18" s="152">
        <f t="shared" si="7"/>
        <v>0</v>
      </c>
      <c r="AE18" s="152">
        <v>0</v>
      </c>
      <c r="AF18" s="137"/>
      <c r="AG18" s="149">
        <f t="shared" si="8"/>
        <v>64.791</v>
      </c>
      <c r="AH18" s="150">
        <f t="shared" si="9"/>
        <v>0</v>
      </c>
      <c r="AI18" s="150">
        <v>0</v>
      </c>
      <c r="AJ18" s="150">
        <f t="shared" si="10"/>
        <v>64.791</v>
      </c>
      <c r="AK18" s="150">
        <f t="shared" si="11"/>
        <v>68.25129311826403</v>
      </c>
      <c r="AL18" s="150">
        <f t="shared" si="12"/>
        <v>1.287</v>
      </c>
      <c r="AM18" s="150">
        <f t="shared" si="13"/>
        <v>69.53829311826404</v>
      </c>
      <c r="AN18" s="150">
        <f t="shared" si="14"/>
        <v>67.956</v>
      </c>
      <c r="AO18" s="151">
        <f t="shared" si="15"/>
        <v>0</v>
      </c>
      <c r="AP18" s="138"/>
      <c r="AQ18" s="149">
        <v>0</v>
      </c>
      <c r="AR18" s="151">
        <f t="shared" si="16"/>
        <v>67.956</v>
      </c>
    </row>
    <row r="19" spans="1:44" ht="12.75">
      <c r="A19" s="139" t="s">
        <v>69</v>
      </c>
      <c r="B19" s="140">
        <v>10027</v>
      </c>
      <c r="C19" s="141" t="s">
        <v>240</v>
      </c>
      <c r="D19" s="142">
        <v>306</v>
      </c>
      <c r="E19" s="143">
        <v>58.486</v>
      </c>
      <c r="F19" s="144">
        <v>0</v>
      </c>
      <c r="G19" s="144">
        <v>-0.255</v>
      </c>
      <c r="H19" s="144">
        <v>-34.051</v>
      </c>
      <c r="I19" s="144">
        <v>34.404</v>
      </c>
      <c r="J19" s="144">
        <f t="shared" si="0"/>
        <v>58.583999999999996</v>
      </c>
      <c r="K19" s="144">
        <v>0.099</v>
      </c>
      <c r="L19" s="145">
        <f t="shared" si="1"/>
        <v>58.683</v>
      </c>
      <c r="M19" s="143">
        <v>60.274</v>
      </c>
      <c r="N19" s="144">
        <v>0</v>
      </c>
      <c r="O19" s="144">
        <v>0.23</v>
      </c>
      <c r="P19" s="144">
        <v>-37.137</v>
      </c>
      <c r="Q19" s="144">
        <v>35.093</v>
      </c>
      <c r="R19" s="144">
        <f t="shared" si="2"/>
        <v>58.46</v>
      </c>
      <c r="S19" s="144">
        <v>0.322</v>
      </c>
      <c r="T19" s="145">
        <f t="shared" si="3"/>
        <v>58.782</v>
      </c>
      <c r="U19" s="146">
        <f t="shared" si="4"/>
        <v>58.733</v>
      </c>
      <c r="V19" s="143">
        <v>56.99</v>
      </c>
      <c r="W19" s="144">
        <v>0</v>
      </c>
      <c r="X19" s="144">
        <v>0.347</v>
      </c>
      <c r="Y19" s="144">
        <v>-33.549</v>
      </c>
      <c r="Z19" s="144">
        <v>35.576</v>
      </c>
      <c r="AA19" s="144">
        <f t="shared" si="5"/>
        <v>59.364000000000004</v>
      </c>
      <c r="AB19" s="144">
        <v>1.018</v>
      </c>
      <c r="AC19" s="145">
        <f t="shared" si="6"/>
        <v>60.382</v>
      </c>
      <c r="AD19" s="146">
        <f t="shared" si="7"/>
        <v>0</v>
      </c>
      <c r="AE19" s="146">
        <v>0</v>
      </c>
      <c r="AF19" s="147"/>
      <c r="AG19" s="143">
        <f t="shared" si="8"/>
        <v>59.364000000000004</v>
      </c>
      <c r="AH19" s="144">
        <f t="shared" si="9"/>
        <v>0</v>
      </c>
      <c r="AI19" s="144">
        <v>0</v>
      </c>
      <c r="AJ19" s="144">
        <f t="shared" si="10"/>
        <v>59.364000000000004</v>
      </c>
      <c r="AK19" s="144">
        <f t="shared" si="11"/>
        <v>62.53445331408106</v>
      </c>
      <c r="AL19" s="144">
        <f t="shared" si="12"/>
        <v>1.018</v>
      </c>
      <c r="AM19" s="144">
        <f t="shared" si="13"/>
        <v>63.55245331408106</v>
      </c>
      <c r="AN19" s="144">
        <f t="shared" si="14"/>
        <v>62.107</v>
      </c>
      <c r="AO19" s="145">
        <f t="shared" si="15"/>
        <v>0</v>
      </c>
      <c r="AP19" s="148"/>
      <c r="AQ19" s="143">
        <v>0</v>
      </c>
      <c r="AR19" s="145">
        <f t="shared" si="16"/>
        <v>62.107</v>
      </c>
    </row>
    <row r="20" spans="1:44" ht="12.75">
      <c r="A20" s="129" t="s">
        <v>70</v>
      </c>
      <c r="B20" s="130">
        <v>10029</v>
      </c>
      <c r="C20" s="131" t="s">
        <v>6</v>
      </c>
      <c r="D20" s="132">
        <v>309</v>
      </c>
      <c r="E20" s="149">
        <v>17.613</v>
      </c>
      <c r="F20" s="150">
        <v>0</v>
      </c>
      <c r="G20" s="150">
        <v>-0.061</v>
      </c>
      <c r="H20" s="150">
        <v>0</v>
      </c>
      <c r="I20" s="150">
        <v>0</v>
      </c>
      <c r="J20" s="150">
        <f t="shared" si="0"/>
        <v>17.552</v>
      </c>
      <c r="K20" s="150">
        <v>0.005</v>
      </c>
      <c r="L20" s="151">
        <f t="shared" si="1"/>
        <v>17.557</v>
      </c>
      <c r="M20" s="149">
        <v>17.476</v>
      </c>
      <c r="N20" s="150">
        <v>0</v>
      </c>
      <c r="O20" s="150">
        <v>-0.313</v>
      </c>
      <c r="P20" s="150">
        <v>0</v>
      </c>
      <c r="Q20" s="150">
        <v>0</v>
      </c>
      <c r="R20" s="150">
        <f t="shared" si="2"/>
        <v>17.163</v>
      </c>
      <c r="S20" s="150">
        <v>0.02</v>
      </c>
      <c r="T20" s="151">
        <f t="shared" si="3"/>
        <v>17.183</v>
      </c>
      <c r="U20" s="152">
        <f t="shared" si="4"/>
        <v>17.37</v>
      </c>
      <c r="V20" s="149">
        <v>16.122</v>
      </c>
      <c r="W20" s="150">
        <v>0</v>
      </c>
      <c r="X20" s="150">
        <v>-0.015</v>
      </c>
      <c r="Y20" s="150">
        <v>0</v>
      </c>
      <c r="Z20" s="150">
        <v>0</v>
      </c>
      <c r="AA20" s="150">
        <f t="shared" si="5"/>
        <v>16.107</v>
      </c>
      <c r="AB20" s="150">
        <v>0.039</v>
      </c>
      <c r="AC20" s="151">
        <f t="shared" si="6"/>
        <v>16.146</v>
      </c>
      <c r="AD20" s="152">
        <f t="shared" si="7"/>
        <v>1.2240000000000002</v>
      </c>
      <c r="AE20" s="152">
        <v>0</v>
      </c>
      <c r="AF20" s="137"/>
      <c r="AG20" s="149">
        <f t="shared" si="8"/>
        <v>16.107</v>
      </c>
      <c r="AH20" s="150">
        <f t="shared" si="9"/>
        <v>1.2240000000000002</v>
      </c>
      <c r="AI20" s="150">
        <v>0</v>
      </c>
      <c r="AJ20" s="150">
        <f t="shared" si="10"/>
        <v>17.331</v>
      </c>
      <c r="AK20" s="150">
        <f t="shared" si="11"/>
        <v>18.25659676548647</v>
      </c>
      <c r="AL20" s="150">
        <f t="shared" si="12"/>
        <v>0.039</v>
      </c>
      <c r="AM20" s="150">
        <f t="shared" si="13"/>
        <v>18.295596765486472</v>
      </c>
      <c r="AN20" s="150">
        <f t="shared" si="14"/>
        <v>17.879</v>
      </c>
      <c r="AO20" s="151">
        <f t="shared" si="15"/>
        <v>1.263</v>
      </c>
      <c r="AP20" s="138"/>
      <c r="AQ20" s="149">
        <v>0</v>
      </c>
      <c r="AR20" s="151">
        <f t="shared" si="16"/>
        <v>17.879</v>
      </c>
    </row>
    <row r="21" spans="1:44" ht="12.75">
      <c r="A21" s="139" t="s">
        <v>71</v>
      </c>
      <c r="B21" s="140">
        <v>10061</v>
      </c>
      <c r="C21" s="141" t="s">
        <v>241</v>
      </c>
      <c r="D21" s="142">
        <v>106</v>
      </c>
      <c r="E21" s="143">
        <v>8.471</v>
      </c>
      <c r="F21" s="144">
        <v>0</v>
      </c>
      <c r="G21" s="144">
        <v>-0.023</v>
      </c>
      <c r="H21" s="144">
        <v>0</v>
      </c>
      <c r="I21" s="144">
        <v>0</v>
      </c>
      <c r="J21" s="144">
        <f t="shared" si="0"/>
        <v>8.448</v>
      </c>
      <c r="K21" s="144">
        <v>0</v>
      </c>
      <c r="L21" s="145">
        <f t="shared" si="1"/>
        <v>8.448</v>
      </c>
      <c r="M21" s="143">
        <v>8.511</v>
      </c>
      <c r="N21" s="144">
        <v>0</v>
      </c>
      <c r="O21" s="144">
        <v>-0.117</v>
      </c>
      <c r="P21" s="144">
        <v>0</v>
      </c>
      <c r="Q21" s="144">
        <v>0</v>
      </c>
      <c r="R21" s="144">
        <f t="shared" si="2"/>
        <v>8.393999999999998</v>
      </c>
      <c r="S21" s="144">
        <v>0.016</v>
      </c>
      <c r="T21" s="145">
        <f t="shared" si="3"/>
        <v>8.41</v>
      </c>
      <c r="U21" s="146">
        <f t="shared" si="4"/>
        <v>8.429</v>
      </c>
      <c r="V21" s="143">
        <v>8.421</v>
      </c>
      <c r="W21" s="144">
        <v>0</v>
      </c>
      <c r="X21" s="144">
        <v>0.054</v>
      </c>
      <c r="Y21" s="144">
        <v>0</v>
      </c>
      <c r="Z21" s="144">
        <v>0</v>
      </c>
      <c r="AA21" s="144">
        <f t="shared" si="5"/>
        <v>8.475</v>
      </c>
      <c r="AB21" s="144">
        <v>0.156</v>
      </c>
      <c r="AC21" s="145">
        <f t="shared" si="6"/>
        <v>8.631</v>
      </c>
      <c r="AD21" s="146">
        <f t="shared" si="7"/>
        <v>0</v>
      </c>
      <c r="AE21" s="146">
        <v>0</v>
      </c>
      <c r="AF21" s="147"/>
      <c r="AG21" s="143">
        <f t="shared" si="8"/>
        <v>8.475</v>
      </c>
      <c r="AH21" s="144">
        <f t="shared" si="9"/>
        <v>0</v>
      </c>
      <c r="AI21" s="144">
        <v>0</v>
      </c>
      <c r="AJ21" s="144">
        <f t="shared" si="10"/>
        <v>8.475</v>
      </c>
      <c r="AK21" s="144">
        <f t="shared" si="11"/>
        <v>8.927624348710278</v>
      </c>
      <c r="AL21" s="144">
        <f t="shared" si="12"/>
        <v>0.156</v>
      </c>
      <c r="AM21" s="144">
        <f t="shared" si="13"/>
        <v>9.083624348710279</v>
      </c>
      <c r="AN21" s="144">
        <f t="shared" si="14"/>
        <v>8.877</v>
      </c>
      <c r="AO21" s="145">
        <f t="shared" si="15"/>
        <v>0</v>
      </c>
      <c r="AP21" s="148"/>
      <c r="AQ21" s="143">
        <v>0</v>
      </c>
      <c r="AR21" s="145">
        <f t="shared" si="16"/>
        <v>8.877</v>
      </c>
    </row>
    <row r="22" spans="1:44" ht="12.75">
      <c r="A22" s="129" t="s">
        <v>72</v>
      </c>
      <c r="B22" s="130">
        <v>10062</v>
      </c>
      <c r="C22" s="131" t="s">
        <v>242</v>
      </c>
      <c r="D22" s="132">
        <v>107</v>
      </c>
      <c r="E22" s="149">
        <v>7.83</v>
      </c>
      <c r="F22" s="150">
        <v>0</v>
      </c>
      <c r="G22" s="150">
        <v>-0.067</v>
      </c>
      <c r="H22" s="150">
        <v>0</v>
      </c>
      <c r="I22" s="150">
        <v>0</v>
      </c>
      <c r="J22" s="150">
        <f t="shared" si="0"/>
        <v>7.763</v>
      </c>
      <c r="K22" s="150">
        <v>0</v>
      </c>
      <c r="L22" s="151">
        <f t="shared" si="1"/>
        <v>7.763</v>
      </c>
      <c r="M22" s="149">
        <v>7.911</v>
      </c>
      <c r="N22" s="150">
        <v>0</v>
      </c>
      <c r="O22" s="150">
        <v>-0.134</v>
      </c>
      <c r="P22" s="150">
        <v>0</v>
      </c>
      <c r="Q22" s="150">
        <v>0</v>
      </c>
      <c r="R22" s="150">
        <f t="shared" si="2"/>
        <v>7.776999999999999</v>
      </c>
      <c r="S22" s="150">
        <v>0.021</v>
      </c>
      <c r="T22" s="151">
        <f t="shared" si="3"/>
        <v>7.798</v>
      </c>
      <c r="U22" s="152">
        <f t="shared" si="4"/>
        <v>7.781</v>
      </c>
      <c r="V22" s="149">
        <v>7.941</v>
      </c>
      <c r="W22" s="150">
        <v>0</v>
      </c>
      <c r="X22" s="150">
        <v>-0.023</v>
      </c>
      <c r="Y22" s="150">
        <v>0</v>
      </c>
      <c r="Z22" s="150">
        <v>0</v>
      </c>
      <c r="AA22" s="150">
        <f t="shared" si="5"/>
        <v>7.918</v>
      </c>
      <c r="AB22" s="150">
        <v>0.059</v>
      </c>
      <c r="AC22" s="151">
        <f t="shared" si="6"/>
        <v>7.977</v>
      </c>
      <c r="AD22" s="152">
        <f t="shared" si="7"/>
        <v>0</v>
      </c>
      <c r="AE22" s="152">
        <v>0</v>
      </c>
      <c r="AF22" s="137"/>
      <c r="AG22" s="149">
        <f t="shared" si="8"/>
        <v>7.918</v>
      </c>
      <c r="AH22" s="150">
        <f t="shared" si="9"/>
        <v>0</v>
      </c>
      <c r="AI22" s="150">
        <v>-2.729</v>
      </c>
      <c r="AJ22" s="150">
        <f t="shared" si="10"/>
        <v>5.189</v>
      </c>
      <c r="AK22" s="150">
        <f t="shared" si="11"/>
        <v>5.466128937517125</v>
      </c>
      <c r="AL22" s="150">
        <f t="shared" si="12"/>
        <v>0.059</v>
      </c>
      <c r="AM22" s="150">
        <f t="shared" si="13"/>
        <v>5.525128937517125</v>
      </c>
      <c r="AN22" s="150">
        <f t="shared" si="14"/>
        <v>5.399</v>
      </c>
      <c r="AO22" s="151">
        <f t="shared" si="15"/>
        <v>0</v>
      </c>
      <c r="AP22" s="138"/>
      <c r="AQ22" s="149">
        <v>0</v>
      </c>
      <c r="AR22" s="151">
        <f t="shared" si="16"/>
        <v>5.399</v>
      </c>
    </row>
    <row r="23" spans="1:44" ht="12.75">
      <c r="A23" s="139" t="s">
        <v>73</v>
      </c>
      <c r="B23" s="140">
        <v>10064</v>
      </c>
      <c r="C23" s="141" t="s">
        <v>243</v>
      </c>
      <c r="D23" s="142">
        <v>109</v>
      </c>
      <c r="E23" s="143">
        <v>13.418</v>
      </c>
      <c r="F23" s="144">
        <v>0</v>
      </c>
      <c r="G23" s="144">
        <v>-0.053</v>
      </c>
      <c r="H23" s="144">
        <v>0</v>
      </c>
      <c r="I23" s="144">
        <v>0</v>
      </c>
      <c r="J23" s="144">
        <f t="shared" si="0"/>
        <v>13.364999999999998</v>
      </c>
      <c r="K23" s="144">
        <v>0.007</v>
      </c>
      <c r="L23" s="145">
        <f t="shared" si="1"/>
        <v>13.372</v>
      </c>
      <c r="M23" s="143">
        <v>14.085</v>
      </c>
      <c r="N23" s="144">
        <v>0</v>
      </c>
      <c r="O23" s="144">
        <v>-0.149</v>
      </c>
      <c r="P23" s="144">
        <v>0</v>
      </c>
      <c r="Q23" s="144">
        <v>0</v>
      </c>
      <c r="R23" s="144">
        <f t="shared" si="2"/>
        <v>13.936000000000002</v>
      </c>
      <c r="S23" s="144">
        <v>0.049</v>
      </c>
      <c r="T23" s="145">
        <f t="shared" si="3"/>
        <v>13.985</v>
      </c>
      <c r="U23" s="146">
        <f t="shared" si="4"/>
        <v>13.679</v>
      </c>
      <c r="V23" s="143">
        <v>13.769</v>
      </c>
      <c r="W23" s="144">
        <v>0</v>
      </c>
      <c r="X23" s="144">
        <v>-0.029</v>
      </c>
      <c r="Y23" s="144">
        <v>0</v>
      </c>
      <c r="Z23" s="144">
        <v>0</v>
      </c>
      <c r="AA23" s="144">
        <f t="shared" si="5"/>
        <v>13.74</v>
      </c>
      <c r="AB23" s="144">
        <v>0.132</v>
      </c>
      <c r="AC23" s="145">
        <f t="shared" si="6"/>
        <v>13.872</v>
      </c>
      <c r="AD23" s="146">
        <f t="shared" si="7"/>
        <v>0</v>
      </c>
      <c r="AE23" s="146">
        <v>0</v>
      </c>
      <c r="AF23" s="147"/>
      <c r="AG23" s="143">
        <f t="shared" si="8"/>
        <v>13.74</v>
      </c>
      <c r="AH23" s="144">
        <f t="shared" si="9"/>
        <v>0</v>
      </c>
      <c r="AI23" s="144">
        <v>0</v>
      </c>
      <c r="AJ23" s="144">
        <f t="shared" si="10"/>
        <v>13.74</v>
      </c>
      <c r="AK23" s="144">
        <f t="shared" si="11"/>
        <v>14.473812218440028</v>
      </c>
      <c r="AL23" s="144">
        <f t="shared" si="12"/>
        <v>0.132</v>
      </c>
      <c r="AM23" s="144">
        <f t="shared" si="13"/>
        <v>14.605812218440027</v>
      </c>
      <c r="AN23" s="144">
        <f t="shared" si="14"/>
        <v>14.274</v>
      </c>
      <c r="AO23" s="145">
        <f t="shared" si="15"/>
        <v>0</v>
      </c>
      <c r="AP23" s="148"/>
      <c r="AQ23" s="143">
        <v>0</v>
      </c>
      <c r="AR23" s="145">
        <f t="shared" si="16"/>
        <v>14.274</v>
      </c>
    </row>
    <row r="24" spans="1:44" ht="12.75">
      <c r="A24" s="129" t="s">
        <v>74</v>
      </c>
      <c r="B24" s="130">
        <v>10044</v>
      </c>
      <c r="C24" s="131" t="s">
        <v>244</v>
      </c>
      <c r="D24" s="132">
        <v>111</v>
      </c>
      <c r="E24" s="149">
        <v>19.339</v>
      </c>
      <c r="F24" s="150">
        <v>0</v>
      </c>
      <c r="G24" s="150">
        <v>-0.032</v>
      </c>
      <c r="H24" s="150">
        <v>0</v>
      </c>
      <c r="I24" s="150">
        <v>0</v>
      </c>
      <c r="J24" s="150">
        <f t="shared" si="0"/>
        <v>19.307</v>
      </c>
      <c r="K24" s="150">
        <v>0.118</v>
      </c>
      <c r="L24" s="151">
        <f t="shared" si="1"/>
        <v>19.425</v>
      </c>
      <c r="M24" s="149">
        <v>20.048</v>
      </c>
      <c r="N24" s="150">
        <v>0</v>
      </c>
      <c r="O24" s="150">
        <v>-0.305</v>
      </c>
      <c r="P24" s="150">
        <v>0</v>
      </c>
      <c r="Q24" s="150">
        <v>0</v>
      </c>
      <c r="R24" s="150">
        <f t="shared" si="2"/>
        <v>19.743</v>
      </c>
      <c r="S24" s="150">
        <v>0.165</v>
      </c>
      <c r="T24" s="151">
        <f t="shared" si="3"/>
        <v>19.908</v>
      </c>
      <c r="U24" s="152">
        <f t="shared" si="4"/>
        <v>19.667</v>
      </c>
      <c r="V24" s="149">
        <v>19.592</v>
      </c>
      <c r="W24" s="150">
        <v>0</v>
      </c>
      <c r="X24" s="150">
        <v>0.125</v>
      </c>
      <c r="Y24" s="150">
        <v>0</v>
      </c>
      <c r="Z24" s="150">
        <v>0</v>
      </c>
      <c r="AA24" s="150">
        <f t="shared" si="5"/>
        <v>19.717</v>
      </c>
      <c r="AB24" s="150">
        <v>0.322</v>
      </c>
      <c r="AC24" s="151">
        <f t="shared" si="6"/>
        <v>20.039</v>
      </c>
      <c r="AD24" s="152">
        <f t="shared" si="7"/>
        <v>0</v>
      </c>
      <c r="AE24" s="152">
        <v>0</v>
      </c>
      <c r="AF24" s="137"/>
      <c r="AG24" s="149">
        <f t="shared" si="8"/>
        <v>19.717</v>
      </c>
      <c r="AH24" s="150">
        <f t="shared" si="9"/>
        <v>0</v>
      </c>
      <c r="AI24" s="150">
        <v>0</v>
      </c>
      <c r="AJ24" s="150">
        <f t="shared" si="10"/>
        <v>19.717</v>
      </c>
      <c r="AK24" s="150">
        <f t="shared" si="11"/>
        <v>20.770025874161718</v>
      </c>
      <c r="AL24" s="150">
        <f t="shared" si="12"/>
        <v>0.322</v>
      </c>
      <c r="AM24" s="150">
        <f t="shared" si="13"/>
        <v>21.092025874161717</v>
      </c>
      <c r="AN24" s="150">
        <f t="shared" si="14"/>
        <v>20.612</v>
      </c>
      <c r="AO24" s="151">
        <f t="shared" si="15"/>
        <v>0</v>
      </c>
      <c r="AP24" s="138"/>
      <c r="AQ24" s="149">
        <v>0</v>
      </c>
      <c r="AR24" s="151">
        <f t="shared" si="16"/>
        <v>20.612</v>
      </c>
    </row>
    <row r="25" spans="1:44" ht="12.75">
      <c r="A25" s="139" t="s">
        <v>75</v>
      </c>
      <c r="B25" s="140">
        <v>10065</v>
      </c>
      <c r="C25" s="141" t="s">
        <v>7</v>
      </c>
      <c r="D25" s="142">
        <v>115</v>
      </c>
      <c r="E25" s="143">
        <v>2.592</v>
      </c>
      <c r="F25" s="144">
        <v>0</v>
      </c>
      <c r="G25" s="144">
        <v>-0.011</v>
      </c>
      <c r="H25" s="144">
        <v>0</v>
      </c>
      <c r="I25" s="144">
        <v>0</v>
      </c>
      <c r="J25" s="144">
        <f t="shared" si="0"/>
        <v>2.581</v>
      </c>
      <c r="K25" s="144">
        <v>0</v>
      </c>
      <c r="L25" s="145">
        <f t="shared" si="1"/>
        <v>2.581</v>
      </c>
      <c r="M25" s="143">
        <v>2.587</v>
      </c>
      <c r="N25" s="144">
        <v>0</v>
      </c>
      <c r="O25" s="144">
        <v>-0.043</v>
      </c>
      <c r="P25" s="144">
        <v>0</v>
      </c>
      <c r="Q25" s="144">
        <v>0</v>
      </c>
      <c r="R25" s="144">
        <f t="shared" si="2"/>
        <v>2.544</v>
      </c>
      <c r="S25" s="144">
        <v>0.005</v>
      </c>
      <c r="T25" s="145">
        <f t="shared" si="3"/>
        <v>2.549</v>
      </c>
      <c r="U25" s="146">
        <f t="shared" si="4"/>
        <v>2.565</v>
      </c>
      <c r="V25" s="143">
        <v>2.31</v>
      </c>
      <c r="W25" s="144">
        <v>0</v>
      </c>
      <c r="X25" s="144">
        <v>-0.01</v>
      </c>
      <c r="Y25" s="144">
        <v>0</v>
      </c>
      <c r="Z25" s="144">
        <v>0</v>
      </c>
      <c r="AA25" s="144">
        <f t="shared" si="5"/>
        <v>2.3000000000000003</v>
      </c>
      <c r="AB25" s="144">
        <v>0.051</v>
      </c>
      <c r="AC25" s="145">
        <f t="shared" si="6"/>
        <v>2.351</v>
      </c>
      <c r="AD25" s="146">
        <f t="shared" si="7"/>
        <v>0.21399999999999997</v>
      </c>
      <c r="AE25" s="146">
        <v>0</v>
      </c>
      <c r="AF25" s="147"/>
      <c r="AG25" s="143">
        <f t="shared" si="8"/>
        <v>2.3000000000000003</v>
      </c>
      <c r="AH25" s="144">
        <f t="shared" si="9"/>
        <v>0.21399999999999997</v>
      </c>
      <c r="AI25" s="144">
        <v>0</v>
      </c>
      <c r="AJ25" s="144">
        <f t="shared" si="10"/>
        <v>2.5140000000000002</v>
      </c>
      <c r="AK25" s="144">
        <f t="shared" si="11"/>
        <v>2.64826520503335</v>
      </c>
      <c r="AL25" s="144">
        <f t="shared" si="12"/>
        <v>0.051</v>
      </c>
      <c r="AM25" s="144">
        <f t="shared" si="13"/>
        <v>2.6992652050333503</v>
      </c>
      <c r="AN25" s="144">
        <f t="shared" si="14"/>
        <v>2.638</v>
      </c>
      <c r="AO25" s="145">
        <f t="shared" si="15"/>
        <v>0.225</v>
      </c>
      <c r="AP25" s="148"/>
      <c r="AQ25" s="143">
        <v>0</v>
      </c>
      <c r="AR25" s="145">
        <f t="shared" si="16"/>
        <v>2.638</v>
      </c>
    </row>
    <row r="26" spans="1:44" ht="12.75">
      <c r="A26" s="129" t="s">
        <v>76</v>
      </c>
      <c r="B26" s="130">
        <v>10046</v>
      </c>
      <c r="C26" s="131" t="s">
        <v>245</v>
      </c>
      <c r="D26" s="132">
        <v>312</v>
      </c>
      <c r="E26" s="149">
        <v>79.35</v>
      </c>
      <c r="F26" s="150">
        <v>0</v>
      </c>
      <c r="G26" s="150">
        <v>-0.23</v>
      </c>
      <c r="H26" s="150">
        <v>-7.493</v>
      </c>
      <c r="I26" s="150">
        <v>6.732</v>
      </c>
      <c r="J26" s="150">
        <f t="shared" si="0"/>
        <v>78.359</v>
      </c>
      <c r="K26" s="150">
        <v>0.113</v>
      </c>
      <c r="L26" s="151">
        <f t="shared" si="1"/>
        <v>78.472</v>
      </c>
      <c r="M26" s="149">
        <v>83.023</v>
      </c>
      <c r="N26" s="150">
        <v>0</v>
      </c>
      <c r="O26" s="150">
        <v>-1.491</v>
      </c>
      <c r="P26" s="150">
        <v>-7.054</v>
      </c>
      <c r="Q26" s="150">
        <v>6.769</v>
      </c>
      <c r="R26" s="150">
        <f t="shared" si="2"/>
        <v>81.247</v>
      </c>
      <c r="S26" s="150">
        <v>0.206</v>
      </c>
      <c r="T26" s="151">
        <f t="shared" si="3"/>
        <v>81.453</v>
      </c>
      <c r="U26" s="152">
        <f t="shared" si="4"/>
        <v>79.963</v>
      </c>
      <c r="V26" s="149">
        <v>79.935</v>
      </c>
      <c r="W26" s="150">
        <v>0</v>
      </c>
      <c r="X26" s="150">
        <v>-0.132</v>
      </c>
      <c r="Y26" s="150">
        <v>-6.578</v>
      </c>
      <c r="Z26" s="150">
        <v>6.901</v>
      </c>
      <c r="AA26" s="150">
        <f t="shared" si="5"/>
        <v>80.12599999999999</v>
      </c>
      <c r="AB26" s="150">
        <v>0.601</v>
      </c>
      <c r="AC26" s="151">
        <f t="shared" si="6"/>
        <v>80.727</v>
      </c>
      <c r="AD26" s="152">
        <f t="shared" si="7"/>
        <v>0</v>
      </c>
      <c r="AE26" s="152">
        <v>0</v>
      </c>
      <c r="AF26" s="137" t="s">
        <v>246</v>
      </c>
      <c r="AG26" s="149">
        <f t="shared" si="8"/>
        <v>80.12599999999999</v>
      </c>
      <c r="AH26" s="150">
        <f t="shared" si="9"/>
        <v>0</v>
      </c>
      <c r="AI26" s="150">
        <v>0</v>
      </c>
      <c r="AJ26" s="150">
        <f t="shared" si="10"/>
        <v>80.12599999999999</v>
      </c>
      <c r="AK26" s="150">
        <f t="shared" si="11"/>
        <v>84.40528950616634</v>
      </c>
      <c r="AL26" s="150">
        <f t="shared" si="12"/>
        <v>0.601</v>
      </c>
      <c r="AM26" s="150">
        <f t="shared" si="13"/>
        <v>85.00628950616634</v>
      </c>
      <c r="AN26" s="150">
        <f t="shared" si="14"/>
        <v>83.072</v>
      </c>
      <c r="AO26" s="151">
        <f t="shared" si="15"/>
        <v>0</v>
      </c>
      <c r="AP26" s="138"/>
      <c r="AQ26" s="149">
        <v>0</v>
      </c>
      <c r="AR26" s="151">
        <f t="shared" si="16"/>
        <v>83.072</v>
      </c>
    </row>
    <row r="27" spans="1:44" ht="12.75">
      <c r="A27" s="139" t="s">
        <v>77</v>
      </c>
      <c r="B27" s="140">
        <v>10047</v>
      </c>
      <c r="C27" s="141" t="s">
        <v>247</v>
      </c>
      <c r="D27" s="142">
        <v>207</v>
      </c>
      <c r="E27" s="143">
        <v>154.458</v>
      </c>
      <c r="F27" s="144">
        <v>0</v>
      </c>
      <c r="G27" s="144">
        <v>-2.066</v>
      </c>
      <c r="H27" s="144">
        <v>0</v>
      </c>
      <c r="I27" s="144">
        <v>0</v>
      </c>
      <c r="J27" s="144">
        <f t="shared" si="0"/>
        <v>152.392</v>
      </c>
      <c r="K27" s="144">
        <v>0.096</v>
      </c>
      <c r="L27" s="145">
        <f t="shared" si="1"/>
        <v>152.488</v>
      </c>
      <c r="M27" s="143">
        <v>158.392</v>
      </c>
      <c r="N27" s="144">
        <v>0</v>
      </c>
      <c r="O27" s="144">
        <v>-3.709</v>
      </c>
      <c r="P27" s="144">
        <v>0</v>
      </c>
      <c r="Q27" s="144">
        <v>0</v>
      </c>
      <c r="R27" s="144">
        <f t="shared" si="2"/>
        <v>154.683</v>
      </c>
      <c r="S27" s="144">
        <v>0.331</v>
      </c>
      <c r="T27" s="145">
        <f t="shared" si="3"/>
        <v>155.014</v>
      </c>
      <c r="U27" s="146">
        <f t="shared" si="4"/>
        <v>153.751</v>
      </c>
      <c r="V27" s="143">
        <v>152.472</v>
      </c>
      <c r="W27" s="144">
        <v>0</v>
      </c>
      <c r="X27" s="144">
        <v>0.529</v>
      </c>
      <c r="Y27" s="144">
        <v>0</v>
      </c>
      <c r="Z27" s="144">
        <v>0</v>
      </c>
      <c r="AA27" s="144">
        <f t="shared" si="5"/>
        <v>153.001</v>
      </c>
      <c r="AB27" s="144">
        <v>1.54</v>
      </c>
      <c r="AC27" s="145">
        <f t="shared" si="6"/>
        <v>154.541</v>
      </c>
      <c r="AD27" s="146">
        <f t="shared" si="7"/>
        <v>0</v>
      </c>
      <c r="AE27" s="146">
        <v>0</v>
      </c>
      <c r="AF27" s="147"/>
      <c r="AG27" s="143">
        <f t="shared" si="8"/>
        <v>153.001</v>
      </c>
      <c r="AH27" s="144">
        <f t="shared" si="9"/>
        <v>0</v>
      </c>
      <c r="AI27" s="144">
        <v>0</v>
      </c>
      <c r="AJ27" s="144">
        <f t="shared" si="10"/>
        <v>153.001</v>
      </c>
      <c r="AK27" s="144">
        <f t="shared" si="11"/>
        <v>161.17232483504677</v>
      </c>
      <c r="AL27" s="144">
        <f t="shared" si="12"/>
        <v>1.54</v>
      </c>
      <c r="AM27" s="144">
        <f t="shared" si="13"/>
        <v>162.71232483504676</v>
      </c>
      <c r="AN27" s="144">
        <f t="shared" si="14"/>
        <v>159.01</v>
      </c>
      <c r="AO27" s="145">
        <f t="shared" si="15"/>
        <v>0</v>
      </c>
      <c r="AP27" s="148"/>
      <c r="AQ27" s="143">
        <v>0</v>
      </c>
      <c r="AR27" s="145">
        <f t="shared" si="16"/>
        <v>159.01</v>
      </c>
    </row>
    <row r="28" spans="1:44" ht="12.75">
      <c r="A28" s="129" t="s">
        <v>78</v>
      </c>
      <c r="B28" s="130">
        <v>10066</v>
      </c>
      <c r="C28" s="131" t="s">
        <v>248</v>
      </c>
      <c r="D28" s="132">
        <v>119</v>
      </c>
      <c r="E28" s="149">
        <v>29.943</v>
      </c>
      <c r="F28" s="150">
        <v>0</v>
      </c>
      <c r="G28" s="150">
        <v>-0.035</v>
      </c>
      <c r="H28" s="150">
        <v>0</v>
      </c>
      <c r="I28" s="150">
        <v>0</v>
      </c>
      <c r="J28" s="150">
        <f t="shared" si="0"/>
        <v>29.908</v>
      </c>
      <c r="K28" s="150">
        <v>0.104</v>
      </c>
      <c r="L28" s="151">
        <f t="shared" si="1"/>
        <v>30.012</v>
      </c>
      <c r="M28" s="149">
        <v>32.176</v>
      </c>
      <c r="N28" s="150">
        <v>0</v>
      </c>
      <c r="O28" s="150">
        <v>-0.814</v>
      </c>
      <c r="P28" s="150">
        <v>0</v>
      </c>
      <c r="Q28" s="150">
        <v>0</v>
      </c>
      <c r="R28" s="150">
        <f t="shared" si="2"/>
        <v>31.362000000000002</v>
      </c>
      <c r="S28" s="150">
        <v>0.268</v>
      </c>
      <c r="T28" s="151">
        <f t="shared" si="3"/>
        <v>31.63</v>
      </c>
      <c r="U28" s="152">
        <f t="shared" si="4"/>
        <v>30.821</v>
      </c>
      <c r="V28" s="149">
        <v>31.502</v>
      </c>
      <c r="W28" s="150">
        <v>0</v>
      </c>
      <c r="X28" s="150">
        <v>0.005</v>
      </c>
      <c r="Y28" s="150">
        <v>0</v>
      </c>
      <c r="Z28" s="150">
        <v>0</v>
      </c>
      <c r="AA28" s="150">
        <f t="shared" si="5"/>
        <v>31.506999999999998</v>
      </c>
      <c r="AB28" s="150">
        <v>0.375</v>
      </c>
      <c r="AC28" s="151">
        <f t="shared" si="6"/>
        <v>31.882</v>
      </c>
      <c r="AD28" s="152">
        <f t="shared" si="7"/>
        <v>0</v>
      </c>
      <c r="AE28" s="152">
        <v>0</v>
      </c>
      <c r="AF28" s="137"/>
      <c r="AG28" s="149">
        <f t="shared" si="8"/>
        <v>31.506999999999998</v>
      </c>
      <c r="AH28" s="150">
        <f t="shared" si="9"/>
        <v>0</v>
      </c>
      <c r="AI28" s="150">
        <v>-7.835</v>
      </c>
      <c r="AJ28" s="150">
        <f t="shared" si="10"/>
        <v>23.671999999999997</v>
      </c>
      <c r="AK28" s="150">
        <f t="shared" si="11"/>
        <v>24.936250570226512</v>
      </c>
      <c r="AL28" s="150">
        <f t="shared" si="12"/>
        <v>0.375</v>
      </c>
      <c r="AM28" s="150">
        <f t="shared" si="13"/>
        <v>25.311250570226512</v>
      </c>
      <c r="AN28" s="150">
        <f t="shared" si="14"/>
        <v>24.735</v>
      </c>
      <c r="AO28" s="151">
        <f t="shared" si="15"/>
        <v>0</v>
      </c>
      <c r="AP28" s="138"/>
      <c r="AQ28" s="149">
        <v>0</v>
      </c>
      <c r="AR28" s="151">
        <f t="shared" si="16"/>
        <v>24.735</v>
      </c>
    </row>
    <row r="29" spans="1:44" ht="12.75">
      <c r="A29" s="139" t="s">
        <v>79</v>
      </c>
      <c r="B29" s="140">
        <v>10067</v>
      </c>
      <c r="C29" s="141" t="s">
        <v>249</v>
      </c>
      <c r="D29" s="142">
        <v>123</v>
      </c>
      <c r="E29" s="143">
        <v>14.717</v>
      </c>
      <c r="F29" s="144">
        <v>0</v>
      </c>
      <c r="G29" s="144">
        <v>-0.045</v>
      </c>
      <c r="H29" s="144">
        <v>0</v>
      </c>
      <c r="I29" s="144">
        <v>0</v>
      </c>
      <c r="J29" s="144">
        <f t="shared" si="0"/>
        <v>14.672</v>
      </c>
      <c r="K29" s="144">
        <v>0.011</v>
      </c>
      <c r="L29" s="145">
        <f t="shared" si="1"/>
        <v>14.683</v>
      </c>
      <c r="M29" s="143">
        <v>15.016</v>
      </c>
      <c r="N29" s="144">
        <v>0</v>
      </c>
      <c r="O29" s="144">
        <v>-0.224</v>
      </c>
      <c r="P29" s="144">
        <v>0</v>
      </c>
      <c r="Q29" s="144">
        <v>0</v>
      </c>
      <c r="R29" s="144">
        <f t="shared" si="2"/>
        <v>14.792</v>
      </c>
      <c r="S29" s="144">
        <v>0.16</v>
      </c>
      <c r="T29" s="145">
        <f t="shared" si="3"/>
        <v>14.952</v>
      </c>
      <c r="U29" s="146">
        <f t="shared" si="4"/>
        <v>14.818</v>
      </c>
      <c r="V29" s="143">
        <v>15.266</v>
      </c>
      <c r="W29" s="144">
        <v>0</v>
      </c>
      <c r="X29" s="144">
        <v>0.089</v>
      </c>
      <c r="Y29" s="144">
        <v>0</v>
      </c>
      <c r="Z29" s="144">
        <v>0</v>
      </c>
      <c r="AA29" s="144">
        <f t="shared" si="5"/>
        <v>15.355</v>
      </c>
      <c r="AB29" s="144">
        <v>0.252</v>
      </c>
      <c r="AC29" s="145">
        <f t="shared" si="6"/>
        <v>15.607</v>
      </c>
      <c r="AD29" s="146">
        <f t="shared" si="7"/>
        <v>0</v>
      </c>
      <c r="AE29" s="146">
        <v>0</v>
      </c>
      <c r="AF29" s="147"/>
      <c r="AG29" s="143">
        <f t="shared" si="8"/>
        <v>15.355</v>
      </c>
      <c r="AH29" s="144">
        <f t="shared" si="9"/>
        <v>0</v>
      </c>
      <c r="AI29" s="144">
        <v>0</v>
      </c>
      <c r="AJ29" s="144">
        <f t="shared" si="10"/>
        <v>15.355</v>
      </c>
      <c r="AK29" s="144">
        <f t="shared" si="11"/>
        <v>16.17506452795827</v>
      </c>
      <c r="AL29" s="144">
        <f t="shared" si="12"/>
        <v>0.252</v>
      </c>
      <c r="AM29" s="144">
        <f t="shared" si="13"/>
        <v>16.42706452795827</v>
      </c>
      <c r="AN29" s="144">
        <f t="shared" si="14"/>
        <v>16.053</v>
      </c>
      <c r="AO29" s="145">
        <f t="shared" si="15"/>
        <v>0</v>
      </c>
      <c r="AP29" s="148"/>
      <c r="AQ29" s="143">
        <v>0</v>
      </c>
      <c r="AR29" s="145">
        <f t="shared" si="16"/>
        <v>16.053</v>
      </c>
    </row>
    <row r="30" spans="1:44" ht="12.75">
      <c r="A30" s="129" t="s">
        <v>80</v>
      </c>
      <c r="B30" s="130">
        <v>10068</v>
      </c>
      <c r="C30" s="131" t="s">
        <v>8</v>
      </c>
      <c r="D30" s="132">
        <v>124</v>
      </c>
      <c r="E30" s="149">
        <v>2.82</v>
      </c>
      <c r="F30" s="150">
        <v>0</v>
      </c>
      <c r="G30" s="150">
        <v>-0.009</v>
      </c>
      <c r="H30" s="150">
        <v>0</v>
      </c>
      <c r="I30" s="150">
        <v>0</v>
      </c>
      <c r="J30" s="150">
        <f t="shared" si="0"/>
        <v>2.811</v>
      </c>
      <c r="K30" s="150">
        <v>0</v>
      </c>
      <c r="L30" s="151">
        <f t="shared" si="1"/>
        <v>2.811</v>
      </c>
      <c r="M30" s="149">
        <v>2.832</v>
      </c>
      <c r="N30" s="150">
        <v>0</v>
      </c>
      <c r="O30" s="150">
        <v>-0.036</v>
      </c>
      <c r="P30" s="150">
        <v>0</v>
      </c>
      <c r="Q30" s="150">
        <v>0</v>
      </c>
      <c r="R30" s="150">
        <f t="shared" si="2"/>
        <v>2.796</v>
      </c>
      <c r="S30" s="150">
        <v>0.006</v>
      </c>
      <c r="T30" s="151">
        <f t="shared" si="3"/>
        <v>2.802</v>
      </c>
      <c r="U30" s="152">
        <f t="shared" si="4"/>
        <v>2.807</v>
      </c>
      <c r="V30" s="149">
        <v>2.666</v>
      </c>
      <c r="W30" s="150">
        <v>0</v>
      </c>
      <c r="X30" s="150">
        <v>0.015</v>
      </c>
      <c r="Y30" s="150">
        <v>0</v>
      </c>
      <c r="Z30" s="150">
        <v>0</v>
      </c>
      <c r="AA30" s="150">
        <f t="shared" si="5"/>
        <v>2.681</v>
      </c>
      <c r="AB30" s="150">
        <v>0.054</v>
      </c>
      <c r="AC30" s="151">
        <f t="shared" si="6"/>
        <v>2.735</v>
      </c>
      <c r="AD30" s="152">
        <f t="shared" si="7"/>
        <v>0.07200000000000006</v>
      </c>
      <c r="AE30" s="152">
        <v>0</v>
      </c>
      <c r="AF30" s="137"/>
      <c r="AG30" s="149">
        <f t="shared" si="8"/>
        <v>2.681</v>
      </c>
      <c r="AH30" s="150">
        <f t="shared" si="9"/>
        <v>0.07200000000000006</v>
      </c>
      <c r="AI30" s="150">
        <v>0</v>
      </c>
      <c r="AJ30" s="150">
        <f t="shared" si="10"/>
        <v>2.753</v>
      </c>
      <c r="AK30" s="150">
        <f t="shared" si="11"/>
        <v>2.900029478701994</v>
      </c>
      <c r="AL30" s="150">
        <f t="shared" si="12"/>
        <v>0.054</v>
      </c>
      <c r="AM30" s="150">
        <f t="shared" si="13"/>
        <v>2.954029478701994</v>
      </c>
      <c r="AN30" s="150">
        <f t="shared" si="14"/>
        <v>2.887</v>
      </c>
      <c r="AO30" s="151">
        <f t="shared" si="15"/>
        <v>0.076</v>
      </c>
      <c r="AP30" s="138"/>
      <c r="AQ30" s="149">
        <v>0</v>
      </c>
      <c r="AR30" s="151">
        <f t="shared" si="16"/>
        <v>2.887</v>
      </c>
    </row>
    <row r="31" spans="1:44" ht="12.75">
      <c r="A31" s="139" t="s">
        <v>81</v>
      </c>
      <c r="B31" s="140">
        <v>10101</v>
      </c>
      <c r="C31" s="141" t="s">
        <v>250</v>
      </c>
      <c r="D31" s="142">
        <v>213</v>
      </c>
      <c r="E31" s="143">
        <v>76.493</v>
      </c>
      <c r="F31" s="144">
        <v>0</v>
      </c>
      <c r="G31" s="144">
        <v>-2.611</v>
      </c>
      <c r="H31" s="144">
        <v>0</v>
      </c>
      <c r="I31" s="144">
        <v>0</v>
      </c>
      <c r="J31" s="144">
        <f t="shared" si="0"/>
        <v>73.88199999999999</v>
      </c>
      <c r="K31" s="144">
        <v>0.095</v>
      </c>
      <c r="L31" s="145">
        <f t="shared" si="1"/>
        <v>73.977</v>
      </c>
      <c r="M31" s="143">
        <v>79.81</v>
      </c>
      <c r="N31" s="144">
        <v>0</v>
      </c>
      <c r="O31" s="144">
        <v>-5.273</v>
      </c>
      <c r="P31" s="144">
        <v>0</v>
      </c>
      <c r="Q31" s="144">
        <v>0</v>
      </c>
      <c r="R31" s="144">
        <f t="shared" si="2"/>
        <v>74.537</v>
      </c>
      <c r="S31" s="144">
        <v>0.285</v>
      </c>
      <c r="T31" s="145">
        <f t="shared" si="3"/>
        <v>74.822</v>
      </c>
      <c r="U31" s="146">
        <f t="shared" si="4"/>
        <v>74.4</v>
      </c>
      <c r="V31" s="143">
        <v>75.336</v>
      </c>
      <c r="W31" s="144">
        <v>0</v>
      </c>
      <c r="X31" s="144">
        <v>-1.183</v>
      </c>
      <c r="Y31" s="144">
        <v>0</v>
      </c>
      <c r="Z31" s="144">
        <v>0</v>
      </c>
      <c r="AA31" s="144">
        <f t="shared" si="5"/>
        <v>74.15299999999999</v>
      </c>
      <c r="AB31" s="144">
        <v>1.33</v>
      </c>
      <c r="AC31" s="145">
        <f t="shared" si="6"/>
        <v>75.483</v>
      </c>
      <c r="AD31" s="146">
        <f t="shared" si="7"/>
        <v>0</v>
      </c>
      <c r="AE31" s="146">
        <v>0</v>
      </c>
      <c r="AF31" s="147"/>
      <c r="AG31" s="143">
        <f t="shared" si="8"/>
        <v>74.15299999999999</v>
      </c>
      <c r="AH31" s="144">
        <f t="shared" si="9"/>
        <v>0</v>
      </c>
      <c r="AI31" s="144">
        <v>-0.46</v>
      </c>
      <c r="AJ31" s="144">
        <f t="shared" si="10"/>
        <v>73.693</v>
      </c>
      <c r="AK31" s="144">
        <f t="shared" si="11"/>
        <v>77.62872225716892</v>
      </c>
      <c r="AL31" s="144">
        <f t="shared" si="12"/>
        <v>1.33</v>
      </c>
      <c r="AM31" s="144">
        <f t="shared" si="13"/>
        <v>78.95872225716892</v>
      </c>
      <c r="AN31" s="144">
        <f t="shared" si="14"/>
        <v>77.162</v>
      </c>
      <c r="AO31" s="145">
        <f t="shared" si="15"/>
        <v>0</v>
      </c>
      <c r="AP31" s="148"/>
      <c r="AQ31" s="143">
        <v>0</v>
      </c>
      <c r="AR31" s="145">
        <f t="shared" si="16"/>
        <v>77.162</v>
      </c>
    </row>
    <row r="32" spans="1:44" ht="12.75">
      <c r="A32" s="129" t="s">
        <v>82</v>
      </c>
      <c r="B32" s="130">
        <v>10103</v>
      </c>
      <c r="C32" s="131" t="s">
        <v>9</v>
      </c>
      <c r="D32" s="132">
        <v>216</v>
      </c>
      <c r="E32" s="149">
        <v>534.896</v>
      </c>
      <c r="F32" s="150">
        <v>0</v>
      </c>
      <c r="G32" s="150">
        <v>-0.647</v>
      </c>
      <c r="H32" s="150">
        <v>0</v>
      </c>
      <c r="I32" s="150">
        <v>0</v>
      </c>
      <c r="J32" s="150">
        <f t="shared" si="0"/>
        <v>534.2489999999999</v>
      </c>
      <c r="K32" s="150">
        <v>1.206</v>
      </c>
      <c r="L32" s="151">
        <f t="shared" si="1"/>
        <v>535.455</v>
      </c>
      <c r="M32" s="149">
        <v>553.194</v>
      </c>
      <c r="N32" s="150">
        <v>0</v>
      </c>
      <c r="O32" s="150">
        <v>-10.415</v>
      </c>
      <c r="P32" s="150">
        <v>0</v>
      </c>
      <c r="Q32" s="150">
        <v>0</v>
      </c>
      <c r="R32" s="150">
        <f t="shared" si="2"/>
        <v>542.779</v>
      </c>
      <c r="S32" s="150">
        <v>2.915</v>
      </c>
      <c r="T32" s="151">
        <f t="shared" si="3"/>
        <v>545.694</v>
      </c>
      <c r="U32" s="152">
        <f t="shared" si="4"/>
        <v>540.575</v>
      </c>
      <c r="V32" s="149">
        <v>521.316</v>
      </c>
      <c r="W32" s="150">
        <v>0</v>
      </c>
      <c r="X32" s="150">
        <v>1.168</v>
      </c>
      <c r="Y32" s="150">
        <v>0</v>
      </c>
      <c r="Z32" s="150">
        <v>0</v>
      </c>
      <c r="AA32" s="150">
        <f t="shared" si="5"/>
        <v>522.484</v>
      </c>
      <c r="AB32" s="150">
        <v>9.085</v>
      </c>
      <c r="AC32" s="151">
        <f t="shared" si="6"/>
        <v>531.569</v>
      </c>
      <c r="AD32" s="152">
        <f t="shared" si="7"/>
        <v>9.006000000000085</v>
      </c>
      <c r="AE32" s="152">
        <v>0</v>
      </c>
      <c r="AF32" s="137"/>
      <c r="AG32" s="149">
        <f t="shared" si="8"/>
        <v>522.484</v>
      </c>
      <c r="AH32" s="150">
        <f t="shared" si="9"/>
        <v>9.006000000000085</v>
      </c>
      <c r="AI32" s="150">
        <v>-226.11399999999998</v>
      </c>
      <c r="AJ32" s="150">
        <f t="shared" si="10"/>
        <v>305.37600000000015</v>
      </c>
      <c r="AK32" s="150">
        <f t="shared" si="11"/>
        <v>321.68521688634235</v>
      </c>
      <c r="AL32" s="150">
        <f t="shared" si="12"/>
        <v>9.085</v>
      </c>
      <c r="AM32" s="150">
        <f t="shared" si="13"/>
        <v>330.7702168863423</v>
      </c>
      <c r="AN32" s="150">
        <f t="shared" si="14"/>
        <v>323.245</v>
      </c>
      <c r="AO32" s="151">
        <f t="shared" si="15"/>
        <v>9.533</v>
      </c>
      <c r="AP32" s="138"/>
      <c r="AQ32" s="149">
        <v>0</v>
      </c>
      <c r="AR32" s="151">
        <f t="shared" si="16"/>
        <v>323.245</v>
      </c>
    </row>
    <row r="33" spans="1:44" ht="12.75">
      <c r="A33" s="139" t="s">
        <v>83</v>
      </c>
      <c r="B33" s="140">
        <v>10105</v>
      </c>
      <c r="C33" s="141" t="s">
        <v>10</v>
      </c>
      <c r="D33" s="142">
        <v>219</v>
      </c>
      <c r="E33" s="143">
        <v>85.772</v>
      </c>
      <c r="F33" s="144">
        <v>0</v>
      </c>
      <c r="G33" s="144">
        <v>-0.187</v>
      </c>
      <c r="H33" s="144">
        <v>0</v>
      </c>
      <c r="I33" s="144">
        <v>0</v>
      </c>
      <c r="J33" s="144">
        <f t="shared" si="0"/>
        <v>85.58500000000001</v>
      </c>
      <c r="K33" s="144">
        <v>0.496</v>
      </c>
      <c r="L33" s="145">
        <f t="shared" si="1"/>
        <v>86.081</v>
      </c>
      <c r="M33" s="143">
        <v>94.37</v>
      </c>
      <c r="N33" s="144">
        <v>0</v>
      </c>
      <c r="O33" s="144">
        <v>-0.498</v>
      </c>
      <c r="P33" s="144">
        <v>0</v>
      </c>
      <c r="Q33" s="144">
        <v>0</v>
      </c>
      <c r="R33" s="144">
        <f t="shared" si="2"/>
        <v>93.872</v>
      </c>
      <c r="S33" s="144">
        <v>0.537</v>
      </c>
      <c r="T33" s="145">
        <f t="shared" si="3"/>
        <v>94.409</v>
      </c>
      <c r="U33" s="146">
        <f t="shared" si="4"/>
        <v>90.245</v>
      </c>
      <c r="V33" s="143">
        <v>89.182</v>
      </c>
      <c r="W33" s="144">
        <v>0</v>
      </c>
      <c r="X33" s="144">
        <v>0.19</v>
      </c>
      <c r="Y33" s="144">
        <v>0</v>
      </c>
      <c r="Z33" s="144">
        <v>0</v>
      </c>
      <c r="AA33" s="144">
        <f t="shared" si="5"/>
        <v>89.372</v>
      </c>
      <c r="AB33" s="144">
        <v>1.114</v>
      </c>
      <c r="AC33" s="145">
        <f t="shared" si="6"/>
        <v>90.486</v>
      </c>
      <c r="AD33" s="146">
        <f t="shared" si="7"/>
        <v>0</v>
      </c>
      <c r="AE33" s="146">
        <v>1.828</v>
      </c>
      <c r="AF33" s="147"/>
      <c r="AG33" s="143">
        <f t="shared" si="8"/>
        <v>89.372</v>
      </c>
      <c r="AH33" s="144">
        <f t="shared" si="9"/>
        <v>1.828</v>
      </c>
      <c r="AI33" s="144">
        <v>0</v>
      </c>
      <c r="AJ33" s="144">
        <f t="shared" si="10"/>
        <v>91.2</v>
      </c>
      <c r="AK33" s="144">
        <f t="shared" si="11"/>
        <v>96.07071865514777</v>
      </c>
      <c r="AL33" s="144">
        <f t="shared" si="12"/>
        <v>1.114</v>
      </c>
      <c r="AM33" s="144">
        <f t="shared" si="13"/>
        <v>97.18471865514778</v>
      </c>
      <c r="AN33" s="144">
        <f t="shared" si="14"/>
        <v>94.974</v>
      </c>
      <c r="AO33" s="145">
        <f t="shared" si="15"/>
        <v>1.904</v>
      </c>
      <c r="AP33" s="148"/>
      <c r="AQ33" s="143">
        <v>0</v>
      </c>
      <c r="AR33" s="145">
        <f t="shared" si="16"/>
        <v>94.974</v>
      </c>
    </row>
    <row r="34" spans="1:44" ht="12.75">
      <c r="A34" s="129" t="s">
        <v>84</v>
      </c>
      <c r="B34" s="130">
        <v>10106</v>
      </c>
      <c r="C34" s="131" t="s">
        <v>11</v>
      </c>
      <c r="D34" s="132">
        <v>315</v>
      </c>
      <c r="E34" s="149">
        <v>23.765</v>
      </c>
      <c r="F34" s="150">
        <v>0</v>
      </c>
      <c r="G34" s="150">
        <v>0.066</v>
      </c>
      <c r="H34" s="150">
        <v>0</v>
      </c>
      <c r="I34" s="150">
        <v>0</v>
      </c>
      <c r="J34" s="150">
        <f t="shared" si="0"/>
        <v>23.831</v>
      </c>
      <c r="K34" s="150">
        <v>0.052</v>
      </c>
      <c r="L34" s="151">
        <f t="shared" si="1"/>
        <v>23.883</v>
      </c>
      <c r="M34" s="149">
        <v>23.793</v>
      </c>
      <c r="N34" s="150">
        <v>0</v>
      </c>
      <c r="O34" s="150">
        <v>-0.181</v>
      </c>
      <c r="P34" s="150">
        <v>0</v>
      </c>
      <c r="Q34" s="150">
        <v>0</v>
      </c>
      <c r="R34" s="150">
        <f t="shared" si="2"/>
        <v>23.612</v>
      </c>
      <c r="S34" s="150">
        <v>0.178</v>
      </c>
      <c r="T34" s="151">
        <f t="shared" si="3"/>
        <v>23.79</v>
      </c>
      <c r="U34" s="152">
        <f t="shared" si="4"/>
        <v>23.837</v>
      </c>
      <c r="V34" s="149">
        <v>21.926</v>
      </c>
      <c r="W34" s="150">
        <v>0</v>
      </c>
      <c r="X34" s="150">
        <v>0.025</v>
      </c>
      <c r="Y34" s="150">
        <v>0</v>
      </c>
      <c r="Z34" s="150">
        <v>0</v>
      </c>
      <c r="AA34" s="150">
        <f t="shared" si="5"/>
        <v>21.950999999999997</v>
      </c>
      <c r="AB34" s="150">
        <v>0.294</v>
      </c>
      <c r="AC34" s="151">
        <f t="shared" si="6"/>
        <v>22.245</v>
      </c>
      <c r="AD34" s="152">
        <f t="shared" si="7"/>
        <v>1.5919999999999987</v>
      </c>
      <c r="AE34" s="152">
        <v>0</v>
      </c>
      <c r="AF34" s="137"/>
      <c r="AG34" s="149">
        <f t="shared" si="8"/>
        <v>21.950999999999997</v>
      </c>
      <c r="AH34" s="150">
        <f t="shared" si="9"/>
        <v>1.5919999999999987</v>
      </c>
      <c r="AI34" s="150">
        <v>0</v>
      </c>
      <c r="AJ34" s="150">
        <f t="shared" si="10"/>
        <v>23.542999999999996</v>
      </c>
      <c r="AK34" s="150">
        <f t="shared" si="11"/>
        <v>24.80036106686561</v>
      </c>
      <c r="AL34" s="150">
        <f t="shared" si="12"/>
        <v>0.294</v>
      </c>
      <c r="AM34" s="150">
        <f t="shared" si="13"/>
        <v>25.09436106686561</v>
      </c>
      <c r="AN34" s="150">
        <f t="shared" si="14"/>
        <v>24.523</v>
      </c>
      <c r="AO34" s="151">
        <f t="shared" si="15"/>
        <v>1.658</v>
      </c>
      <c r="AP34" s="138"/>
      <c r="AQ34" s="149">
        <v>0</v>
      </c>
      <c r="AR34" s="151">
        <f t="shared" si="16"/>
        <v>24.523</v>
      </c>
    </row>
    <row r="35" spans="1:44" ht="12.75">
      <c r="A35" s="139" t="s">
        <v>85</v>
      </c>
      <c r="B35" s="140">
        <v>10109</v>
      </c>
      <c r="C35" s="141" t="s">
        <v>251</v>
      </c>
      <c r="D35" s="142">
        <v>318</v>
      </c>
      <c r="E35" s="143">
        <v>11.605</v>
      </c>
      <c r="F35" s="144">
        <v>0</v>
      </c>
      <c r="G35" s="144">
        <v>-0.057</v>
      </c>
      <c r="H35" s="144">
        <v>-3.774</v>
      </c>
      <c r="I35" s="144">
        <v>3.629</v>
      </c>
      <c r="J35" s="144">
        <f t="shared" si="0"/>
        <v>11.403</v>
      </c>
      <c r="K35" s="144">
        <v>0.002</v>
      </c>
      <c r="L35" s="145">
        <f t="shared" si="1"/>
        <v>11.405</v>
      </c>
      <c r="M35" s="143">
        <v>11.825</v>
      </c>
      <c r="N35" s="144">
        <v>0</v>
      </c>
      <c r="O35" s="144">
        <v>-0.091</v>
      </c>
      <c r="P35" s="144">
        <v>-3.429</v>
      </c>
      <c r="Q35" s="144">
        <v>3.636</v>
      </c>
      <c r="R35" s="144">
        <f t="shared" si="2"/>
        <v>11.940999999999999</v>
      </c>
      <c r="S35" s="144">
        <v>0.045</v>
      </c>
      <c r="T35" s="145">
        <f t="shared" si="3"/>
        <v>11.986</v>
      </c>
      <c r="U35" s="146">
        <f t="shared" si="4"/>
        <v>11.696</v>
      </c>
      <c r="V35" s="143">
        <v>11.846</v>
      </c>
      <c r="W35" s="144">
        <v>0</v>
      </c>
      <c r="X35" s="144">
        <v>0.013</v>
      </c>
      <c r="Y35" s="144">
        <v>-3.712</v>
      </c>
      <c r="Z35" s="144">
        <v>3.639</v>
      </c>
      <c r="AA35" s="144">
        <f t="shared" si="5"/>
        <v>11.786</v>
      </c>
      <c r="AB35" s="144">
        <v>0.17</v>
      </c>
      <c r="AC35" s="145">
        <f t="shared" si="6"/>
        <v>11.956</v>
      </c>
      <c r="AD35" s="146">
        <f t="shared" si="7"/>
        <v>0</v>
      </c>
      <c r="AE35" s="146">
        <v>0</v>
      </c>
      <c r="AF35" s="147"/>
      <c r="AG35" s="143">
        <f t="shared" si="8"/>
        <v>11.786</v>
      </c>
      <c r="AH35" s="144">
        <f t="shared" si="9"/>
        <v>0</v>
      </c>
      <c r="AI35" s="144">
        <v>0</v>
      </c>
      <c r="AJ35" s="144">
        <f t="shared" si="10"/>
        <v>11.786</v>
      </c>
      <c r="AK35" s="144">
        <f t="shared" si="11"/>
        <v>12.415454934973374</v>
      </c>
      <c r="AL35" s="144">
        <f t="shared" si="12"/>
        <v>0.17</v>
      </c>
      <c r="AM35" s="144">
        <f t="shared" si="13"/>
        <v>12.585454934973374</v>
      </c>
      <c r="AN35" s="144">
        <f t="shared" si="14"/>
        <v>12.299</v>
      </c>
      <c r="AO35" s="145">
        <f t="shared" si="15"/>
        <v>0</v>
      </c>
      <c r="AP35" s="148"/>
      <c r="AQ35" s="143">
        <v>0</v>
      </c>
      <c r="AR35" s="145">
        <f t="shared" si="16"/>
        <v>12.299</v>
      </c>
    </row>
    <row r="36" spans="1:44" ht="12.75">
      <c r="A36" s="129" t="s">
        <v>86</v>
      </c>
      <c r="B36" s="130">
        <v>10111</v>
      </c>
      <c r="C36" s="131" t="s">
        <v>252</v>
      </c>
      <c r="D36" s="132">
        <v>321</v>
      </c>
      <c r="E36" s="149">
        <v>3.158</v>
      </c>
      <c r="F36" s="150">
        <v>0</v>
      </c>
      <c r="G36" s="150">
        <v>-0.009</v>
      </c>
      <c r="H36" s="150">
        <v>-0.603</v>
      </c>
      <c r="I36" s="150">
        <v>0.611</v>
      </c>
      <c r="J36" s="150">
        <f t="shared" si="0"/>
        <v>3.157</v>
      </c>
      <c r="K36" s="150">
        <v>0.01</v>
      </c>
      <c r="L36" s="151">
        <f t="shared" si="1"/>
        <v>3.167</v>
      </c>
      <c r="M36" s="149">
        <v>3.199</v>
      </c>
      <c r="N36" s="150">
        <v>0</v>
      </c>
      <c r="O36" s="150">
        <v>-0.042</v>
      </c>
      <c r="P36" s="150">
        <v>-0.63</v>
      </c>
      <c r="Q36" s="150">
        <v>0.611</v>
      </c>
      <c r="R36" s="150">
        <f t="shared" si="2"/>
        <v>3.138</v>
      </c>
      <c r="S36" s="150">
        <v>0.015</v>
      </c>
      <c r="T36" s="151">
        <f t="shared" si="3"/>
        <v>3.153</v>
      </c>
      <c r="U36" s="152">
        <f t="shared" si="4"/>
        <v>3.16</v>
      </c>
      <c r="V36" s="149">
        <v>3.104</v>
      </c>
      <c r="W36" s="150">
        <v>0</v>
      </c>
      <c r="X36" s="150">
        <v>-0.006</v>
      </c>
      <c r="Y36" s="150">
        <v>-0.55</v>
      </c>
      <c r="Z36" s="150">
        <v>0.615</v>
      </c>
      <c r="AA36" s="150">
        <f t="shared" si="5"/>
        <v>3.1630000000000003</v>
      </c>
      <c r="AB36" s="150">
        <v>0.028</v>
      </c>
      <c r="AC36" s="151">
        <f t="shared" si="6"/>
        <v>3.191</v>
      </c>
      <c r="AD36" s="152">
        <f t="shared" si="7"/>
        <v>0</v>
      </c>
      <c r="AE36" s="152">
        <v>0</v>
      </c>
      <c r="AF36" s="137"/>
      <c r="AG36" s="149">
        <f t="shared" si="8"/>
        <v>3.1630000000000003</v>
      </c>
      <c r="AH36" s="150">
        <f t="shared" si="9"/>
        <v>0</v>
      </c>
      <c r="AI36" s="150">
        <v>0</v>
      </c>
      <c r="AJ36" s="150">
        <f t="shared" si="10"/>
        <v>3.1630000000000003</v>
      </c>
      <c r="AK36" s="150">
        <f t="shared" si="11"/>
        <v>3.3319263498490397</v>
      </c>
      <c r="AL36" s="150">
        <f t="shared" si="12"/>
        <v>0.028</v>
      </c>
      <c r="AM36" s="150">
        <f t="shared" si="13"/>
        <v>3.3599263498490397</v>
      </c>
      <c r="AN36" s="150">
        <f t="shared" si="14"/>
        <v>3.283</v>
      </c>
      <c r="AO36" s="151">
        <f t="shared" si="15"/>
        <v>0</v>
      </c>
      <c r="AP36" s="138"/>
      <c r="AQ36" s="149">
        <v>0</v>
      </c>
      <c r="AR36" s="151">
        <f t="shared" si="16"/>
        <v>3.283</v>
      </c>
    </row>
    <row r="37" spans="1:44" ht="12.75">
      <c r="A37" s="139" t="s">
        <v>87</v>
      </c>
      <c r="B37" s="140">
        <v>10113</v>
      </c>
      <c r="C37" s="141" t="s">
        <v>253</v>
      </c>
      <c r="D37" s="142">
        <v>324</v>
      </c>
      <c r="E37" s="143">
        <v>33.46</v>
      </c>
      <c r="F37" s="144">
        <v>0</v>
      </c>
      <c r="G37" s="144">
        <v>-0.135</v>
      </c>
      <c r="H37" s="144">
        <v>-19.886</v>
      </c>
      <c r="I37" s="144">
        <v>20.251</v>
      </c>
      <c r="J37" s="144">
        <f t="shared" si="0"/>
        <v>33.690000000000005</v>
      </c>
      <c r="K37" s="144">
        <v>0.07</v>
      </c>
      <c r="L37" s="145">
        <f t="shared" si="1"/>
        <v>33.76</v>
      </c>
      <c r="M37" s="143">
        <v>34.086</v>
      </c>
      <c r="N37" s="144">
        <v>0</v>
      </c>
      <c r="O37" s="144">
        <v>0.111</v>
      </c>
      <c r="P37" s="144">
        <v>-20.5</v>
      </c>
      <c r="Q37" s="144">
        <v>20.366</v>
      </c>
      <c r="R37" s="144">
        <f t="shared" si="2"/>
        <v>34.062999999999995</v>
      </c>
      <c r="S37" s="144">
        <v>0.25</v>
      </c>
      <c r="T37" s="145">
        <f t="shared" si="3"/>
        <v>34.313</v>
      </c>
      <c r="U37" s="146">
        <f t="shared" si="4"/>
        <v>34.037</v>
      </c>
      <c r="V37" s="143">
        <v>35.151</v>
      </c>
      <c r="W37" s="144">
        <v>0</v>
      </c>
      <c r="X37" s="144">
        <v>0.179</v>
      </c>
      <c r="Y37" s="144">
        <v>-20.057</v>
      </c>
      <c r="Z37" s="144">
        <v>20.449</v>
      </c>
      <c r="AA37" s="144">
        <f t="shared" si="5"/>
        <v>35.72200000000001</v>
      </c>
      <c r="AB37" s="144">
        <v>1.516</v>
      </c>
      <c r="AC37" s="145">
        <f t="shared" si="6"/>
        <v>37.238</v>
      </c>
      <c r="AD37" s="146">
        <f t="shared" si="7"/>
        <v>0</v>
      </c>
      <c r="AE37" s="146">
        <v>0</v>
      </c>
      <c r="AF37" s="147"/>
      <c r="AG37" s="143">
        <f t="shared" si="8"/>
        <v>35.72200000000001</v>
      </c>
      <c r="AH37" s="144">
        <f t="shared" si="9"/>
        <v>0</v>
      </c>
      <c r="AI37" s="144">
        <v>0</v>
      </c>
      <c r="AJ37" s="144">
        <f t="shared" si="10"/>
        <v>35.72200000000001</v>
      </c>
      <c r="AK37" s="144">
        <f t="shared" si="11"/>
        <v>37.62980495393848</v>
      </c>
      <c r="AL37" s="144">
        <f t="shared" si="12"/>
        <v>1.516</v>
      </c>
      <c r="AM37" s="144">
        <f t="shared" si="13"/>
        <v>39.14580495393848</v>
      </c>
      <c r="AN37" s="144">
        <f t="shared" si="14"/>
        <v>38.255</v>
      </c>
      <c r="AO37" s="145">
        <f t="shared" si="15"/>
        <v>0</v>
      </c>
      <c r="AP37" s="148"/>
      <c r="AQ37" s="143">
        <v>0</v>
      </c>
      <c r="AR37" s="145">
        <f t="shared" si="16"/>
        <v>38.255</v>
      </c>
    </row>
    <row r="38" spans="1:44" ht="12.75">
      <c r="A38" s="129" t="s">
        <v>88</v>
      </c>
      <c r="B38" s="130">
        <v>10112</v>
      </c>
      <c r="C38" s="131" t="s">
        <v>12</v>
      </c>
      <c r="D38" s="132">
        <v>221</v>
      </c>
      <c r="E38" s="149">
        <v>59.183</v>
      </c>
      <c r="F38" s="150">
        <v>0</v>
      </c>
      <c r="G38" s="150">
        <v>-0.041</v>
      </c>
      <c r="H38" s="150">
        <v>0</v>
      </c>
      <c r="I38" s="150">
        <v>0</v>
      </c>
      <c r="J38" s="150">
        <f t="shared" si="0"/>
        <v>59.142</v>
      </c>
      <c r="K38" s="150">
        <v>0.095</v>
      </c>
      <c r="L38" s="151">
        <f t="shared" si="1"/>
        <v>59.237</v>
      </c>
      <c r="M38" s="149">
        <v>60.281</v>
      </c>
      <c r="N38" s="150">
        <v>0</v>
      </c>
      <c r="O38" s="150">
        <v>-0.732</v>
      </c>
      <c r="P38" s="150">
        <v>0</v>
      </c>
      <c r="Q38" s="150">
        <v>0</v>
      </c>
      <c r="R38" s="150">
        <f t="shared" si="2"/>
        <v>59.549</v>
      </c>
      <c r="S38" s="150">
        <v>0.29</v>
      </c>
      <c r="T38" s="151">
        <f t="shared" si="3"/>
        <v>59.839</v>
      </c>
      <c r="U38" s="152">
        <f t="shared" si="4"/>
        <v>59.538</v>
      </c>
      <c r="V38" s="149">
        <v>53.34</v>
      </c>
      <c r="W38" s="150">
        <v>0</v>
      </c>
      <c r="X38" s="150">
        <v>0.127</v>
      </c>
      <c r="Y38" s="150">
        <v>0</v>
      </c>
      <c r="Z38" s="150">
        <v>0</v>
      </c>
      <c r="AA38" s="150">
        <f t="shared" si="5"/>
        <v>53.467000000000006</v>
      </c>
      <c r="AB38" s="150">
        <v>0.696</v>
      </c>
      <c r="AC38" s="151">
        <f t="shared" si="6"/>
        <v>54.163</v>
      </c>
      <c r="AD38" s="152">
        <f t="shared" si="7"/>
        <v>5.375</v>
      </c>
      <c r="AE38" s="152">
        <v>0</v>
      </c>
      <c r="AF38" s="137"/>
      <c r="AG38" s="149">
        <f t="shared" si="8"/>
        <v>53.467000000000006</v>
      </c>
      <c r="AH38" s="150">
        <f t="shared" si="9"/>
        <v>5.375</v>
      </c>
      <c r="AI38" s="150">
        <v>0</v>
      </c>
      <c r="AJ38" s="150">
        <f t="shared" si="10"/>
        <v>58.842000000000006</v>
      </c>
      <c r="AK38" s="150">
        <f t="shared" si="11"/>
        <v>61.984574858620675</v>
      </c>
      <c r="AL38" s="150">
        <f t="shared" si="12"/>
        <v>0.696</v>
      </c>
      <c r="AM38" s="150">
        <f t="shared" si="13"/>
        <v>62.68057485862067</v>
      </c>
      <c r="AN38" s="150">
        <f t="shared" si="14"/>
        <v>61.254</v>
      </c>
      <c r="AO38" s="151">
        <f t="shared" si="15"/>
        <v>5.595</v>
      </c>
      <c r="AP38" s="138"/>
      <c r="AQ38" s="149">
        <v>0</v>
      </c>
      <c r="AR38" s="151">
        <f t="shared" si="16"/>
        <v>61.254</v>
      </c>
    </row>
    <row r="39" spans="1:44" ht="12.75">
      <c r="A39" s="139" t="s">
        <v>89</v>
      </c>
      <c r="B39" s="140">
        <v>10116</v>
      </c>
      <c r="C39" s="141" t="s">
        <v>254</v>
      </c>
      <c r="D39" s="142">
        <v>192</v>
      </c>
      <c r="E39" s="143">
        <v>0.219</v>
      </c>
      <c r="F39" s="144">
        <v>0</v>
      </c>
      <c r="G39" s="144">
        <v>0</v>
      </c>
      <c r="H39" s="144">
        <v>0</v>
      </c>
      <c r="I39" s="144">
        <v>0</v>
      </c>
      <c r="J39" s="144">
        <f t="shared" si="0"/>
        <v>0.219</v>
      </c>
      <c r="K39" s="144">
        <v>0</v>
      </c>
      <c r="L39" s="145">
        <f t="shared" si="1"/>
        <v>0.219</v>
      </c>
      <c r="M39" s="143">
        <v>0.219</v>
      </c>
      <c r="N39" s="144">
        <v>0</v>
      </c>
      <c r="O39" s="144">
        <v>-0.001</v>
      </c>
      <c r="P39" s="144">
        <v>0</v>
      </c>
      <c r="Q39" s="144">
        <v>0</v>
      </c>
      <c r="R39" s="144">
        <f t="shared" si="2"/>
        <v>0.218</v>
      </c>
      <c r="S39" s="144">
        <v>0</v>
      </c>
      <c r="T39" s="145">
        <f t="shared" si="3"/>
        <v>0.218</v>
      </c>
      <c r="U39" s="146">
        <f t="shared" si="4"/>
        <v>0.219</v>
      </c>
      <c r="V39" s="143">
        <v>0.221</v>
      </c>
      <c r="W39" s="144">
        <v>0</v>
      </c>
      <c r="X39" s="144">
        <v>0.001</v>
      </c>
      <c r="Y39" s="144">
        <v>0</v>
      </c>
      <c r="Z39" s="144">
        <v>0</v>
      </c>
      <c r="AA39" s="144">
        <f t="shared" si="5"/>
        <v>0.222</v>
      </c>
      <c r="AB39" s="144">
        <v>0.003</v>
      </c>
      <c r="AC39" s="145">
        <f t="shared" si="6"/>
        <v>0.225</v>
      </c>
      <c r="AD39" s="146">
        <f t="shared" si="7"/>
        <v>0</v>
      </c>
      <c r="AE39" s="146">
        <v>0</v>
      </c>
      <c r="AF39" s="147"/>
      <c r="AG39" s="143">
        <f t="shared" si="8"/>
        <v>0.222</v>
      </c>
      <c r="AH39" s="144">
        <f t="shared" si="9"/>
        <v>0</v>
      </c>
      <c r="AI39" s="144">
        <v>0</v>
      </c>
      <c r="AJ39" s="144">
        <f t="shared" si="10"/>
        <v>0.222</v>
      </c>
      <c r="AK39" s="144">
        <f t="shared" si="11"/>
        <v>0.2338563546210834</v>
      </c>
      <c r="AL39" s="144">
        <f t="shared" si="12"/>
        <v>0.003</v>
      </c>
      <c r="AM39" s="144">
        <f t="shared" si="13"/>
        <v>0.2368563546210834</v>
      </c>
      <c r="AN39" s="144">
        <f t="shared" si="14"/>
        <v>0.231</v>
      </c>
      <c r="AO39" s="145">
        <f t="shared" si="15"/>
        <v>0</v>
      </c>
      <c r="AP39" s="148"/>
      <c r="AQ39" s="143">
        <v>0</v>
      </c>
      <c r="AR39" s="145">
        <f t="shared" si="16"/>
        <v>0.231</v>
      </c>
    </row>
    <row r="40" spans="1:44" ht="12.75">
      <c r="A40" s="129" t="s">
        <v>90</v>
      </c>
      <c r="B40" s="130">
        <v>10118</v>
      </c>
      <c r="C40" s="131" t="s">
        <v>255</v>
      </c>
      <c r="D40" s="132">
        <v>327</v>
      </c>
      <c r="E40" s="149">
        <v>47.312</v>
      </c>
      <c r="F40" s="150">
        <v>0</v>
      </c>
      <c r="G40" s="150">
        <v>-0.368</v>
      </c>
      <c r="H40" s="150">
        <v>0</v>
      </c>
      <c r="I40" s="150">
        <v>0</v>
      </c>
      <c r="J40" s="150">
        <f t="shared" si="0"/>
        <v>46.943999999999996</v>
      </c>
      <c r="K40" s="150">
        <v>0.062</v>
      </c>
      <c r="L40" s="151">
        <f t="shared" si="1"/>
        <v>47.006</v>
      </c>
      <c r="M40" s="149">
        <v>49.056</v>
      </c>
      <c r="N40" s="150">
        <v>0</v>
      </c>
      <c r="O40" s="150">
        <v>-1.661</v>
      </c>
      <c r="P40" s="150">
        <v>0</v>
      </c>
      <c r="Q40" s="150">
        <v>0</v>
      </c>
      <c r="R40" s="150">
        <f t="shared" si="2"/>
        <v>47.394999999999996</v>
      </c>
      <c r="S40" s="150">
        <v>0.18</v>
      </c>
      <c r="T40" s="151">
        <f t="shared" si="3"/>
        <v>47.575</v>
      </c>
      <c r="U40" s="152">
        <f t="shared" si="4"/>
        <v>47.291</v>
      </c>
      <c r="V40" s="149">
        <v>46.884</v>
      </c>
      <c r="W40" s="150">
        <v>0</v>
      </c>
      <c r="X40" s="150">
        <v>0.015</v>
      </c>
      <c r="Y40" s="150">
        <v>0</v>
      </c>
      <c r="Z40" s="150">
        <v>0</v>
      </c>
      <c r="AA40" s="150">
        <f t="shared" si="5"/>
        <v>46.899</v>
      </c>
      <c r="AB40" s="150">
        <v>0.622</v>
      </c>
      <c r="AC40" s="151">
        <f t="shared" si="6"/>
        <v>47.521</v>
      </c>
      <c r="AD40" s="152">
        <f t="shared" si="7"/>
        <v>0</v>
      </c>
      <c r="AE40" s="152">
        <v>0</v>
      </c>
      <c r="AF40" s="137"/>
      <c r="AG40" s="149">
        <f t="shared" si="8"/>
        <v>46.899</v>
      </c>
      <c r="AH40" s="150">
        <f t="shared" si="9"/>
        <v>0</v>
      </c>
      <c r="AI40" s="150">
        <v>-2.46</v>
      </c>
      <c r="AJ40" s="150">
        <f t="shared" si="10"/>
        <v>44.439</v>
      </c>
      <c r="AK40" s="150">
        <f t="shared" si="11"/>
        <v>46.81235379732579</v>
      </c>
      <c r="AL40" s="150">
        <f t="shared" si="12"/>
        <v>0.622</v>
      </c>
      <c r="AM40" s="150">
        <f t="shared" si="13"/>
        <v>47.43435379732579</v>
      </c>
      <c r="AN40" s="150">
        <f t="shared" si="14"/>
        <v>46.355</v>
      </c>
      <c r="AO40" s="151">
        <f t="shared" si="15"/>
        <v>0</v>
      </c>
      <c r="AP40" s="138"/>
      <c r="AQ40" s="149">
        <v>0</v>
      </c>
      <c r="AR40" s="151">
        <f t="shared" si="16"/>
        <v>46.355</v>
      </c>
    </row>
    <row r="41" spans="1:44" ht="12.75">
      <c r="A41" s="139" t="s">
        <v>91</v>
      </c>
      <c r="B41" s="140">
        <v>10121</v>
      </c>
      <c r="C41" s="141" t="s">
        <v>13</v>
      </c>
      <c r="D41" s="142">
        <v>330</v>
      </c>
      <c r="E41" s="143">
        <v>40.874</v>
      </c>
      <c r="F41" s="144">
        <v>0</v>
      </c>
      <c r="G41" s="144">
        <v>-0.919</v>
      </c>
      <c r="H41" s="144">
        <v>0</v>
      </c>
      <c r="I41" s="144">
        <v>0</v>
      </c>
      <c r="J41" s="144">
        <f t="shared" si="0"/>
        <v>39.955000000000005</v>
      </c>
      <c r="K41" s="144">
        <v>0.088</v>
      </c>
      <c r="L41" s="145">
        <f t="shared" si="1"/>
        <v>40.043</v>
      </c>
      <c r="M41" s="143">
        <v>42.206</v>
      </c>
      <c r="N41" s="144">
        <v>0</v>
      </c>
      <c r="O41" s="144">
        <v>-1.882</v>
      </c>
      <c r="P41" s="144">
        <v>0</v>
      </c>
      <c r="Q41" s="144">
        <v>0</v>
      </c>
      <c r="R41" s="144">
        <f t="shared" si="2"/>
        <v>40.324000000000005</v>
      </c>
      <c r="S41" s="144">
        <v>0.283</v>
      </c>
      <c r="T41" s="145">
        <f t="shared" si="3"/>
        <v>40.607</v>
      </c>
      <c r="U41" s="146">
        <f t="shared" si="4"/>
        <v>40.325</v>
      </c>
      <c r="V41" s="143">
        <v>40.257</v>
      </c>
      <c r="W41" s="144">
        <v>0</v>
      </c>
      <c r="X41" s="144">
        <v>-0.542</v>
      </c>
      <c r="Y41" s="144">
        <v>0</v>
      </c>
      <c r="Z41" s="144">
        <v>0</v>
      </c>
      <c r="AA41" s="144">
        <f t="shared" si="5"/>
        <v>39.714999999999996</v>
      </c>
      <c r="AB41" s="144">
        <v>0.519</v>
      </c>
      <c r="AC41" s="145">
        <f t="shared" si="6"/>
        <v>40.234</v>
      </c>
      <c r="AD41" s="146">
        <f t="shared" si="7"/>
        <v>0.09100000000000108</v>
      </c>
      <c r="AE41" s="146">
        <v>0</v>
      </c>
      <c r="AF41" s="147"/>
      <c r="AG41" s="143">
        <f t="shared" si="8"/>
        <v>39.714999999999996</v>
      </c>
      <c r="AH41" s="144">
        <f t="shared" si="9"/>
        <v>0.09100000000000108</v>
      </c>
      <c r="AI41" s="144">
        <v>0</v>
      </c>
      <c r="AJ41" s="144">
        <f t="shared" si="10"/>
        <v>39.806</v>
      </c>
      <c r="AK41" s="144">
        <f t="shared" si="11"/>
        <v>41.93191915336417</v>
      </c>
      <c r="AL41" s="144">
        <f t="shared" si="12"/>
        <v>0.519</v>
      </c>
      <c r="AM41" s="144">
        <f t="shared" si="13"/>
        <v>42.45091915336417</v>
      </c>
      <c r="AN41" s="144">
        <f t="shared" si="14"/>
        <v>41.485</v>
      </c>
      <c r="AO41" s="145">
        <f t="shared" si="15"/>
        <v>0.095</v>
      </c>
      <c r="AP41" s="148"/>
      <c r="AQ41" s="143">
        <v>0</v>
      </c>
      <c r="AR41" s="145">
        <f t="shared" si="16"/>
        <v>41.485</v>
      </c>
    </row>
    <row r="42" spans="1:44" ht="12.75">
      <c r="A42" s="129" t="s">
        <v>92</v>
      </c>
      <c r="B42" s="130">
        <v>10378</v>
      </c>
      <c r="C42" s="131" t="s">
        <v>14</v>
      </c>
      <c r="D42" s="132">
        <v>125</v>
      </c>
      <c r="E42" s="149">
        <v>2.137</v>
      </c>
      <c r="F42" s="150">
        <v>0</v>
      </c>
      <c r="G42" s="150">
        <v>-0.083</v>
      </c>
      <c r="H42" s="150">
        <v>0</v>
      </c>
      <c r="I42" s="150">
        <v>0</v>
      </c>
      <c r="J42" s="150">
        <f t="shared" si="0"/>
        <v>2.054</v>
      </c>
      <c r="K42" s="150">
        <v>0.006</v>
      </c>
      <c r="L42" s="151">
        <f t="shared" si="1"/>
        <v>2.06</v>
      </c>
      <c r="M42" s="149">
        <v>2.077</v>
      </c>
      <c r="N42" s="150">
        <v>0</v>
      </c>
      <c r="O42" s="150">
        <v>-0.153</v>
      </c>
      <c r="P42" s="150">
        <v>0</v>
      </c>
      <c r="Q42" s="150">
        <v>0</v>
      </c>
      <c r="R42" s="150">
        <f t="shared" si="2"/>
        <v>1.924</v>
      </c>
      <c r="S42" s="150">
        <v>0.011</v>
      </c>
      <c r="T42" s="151">
        <f t="shared" si="3"/>
        <v>1.935</v>
      </c>
      <c r="U42" s="152">
        <f t="shared" si="4"/>
        <v>1.998</v>
      </c>
      <c r="V42" s="149">
        <v>1.948</v>
      </c>
      <c r="W42" s="150">
        <v>0</v>
      </c>
      <c r="X42" s="150">
        <v>-0.012</v>
      </c>
      <c r="Y42" s="150">
        <v>0</v>
      </c>
      <c r="Z42" s="150">
        <v>0</v>
      </c>
      <c r="AA42" s="150">
        <f t="shared" si="5"/>
        <v>1.936</v>
      </c>
      <c r="AB42" s="150">
        <v>0.033</v>
      </c>
      <c r="AC42" s="151">
        <f t="shared" si="6"/>
        <v>1.969</v>
      </c>
      <c r="AD42" s="152">
        <f t="shared" si="7"/>
        <v>0.028999999999999915</v>
      </c>
      <c r="AE42" s="152">
        <v>0</v>
      </c>
      <c r="AF42" s="137"/>
      <c r="AG42" s="149">
        <f t="shared" si="8"/>
        <v>1.936</v>
      </c>
      <c r="AH42" s="150">
        <f t="shared" si="9"/>
        <v>0.028999999999999915</v>
      </c>
      <c r="AI42" s="150">
        <v>0</v>
      </c>
      <c r="AJ42" s="150">
        <f t="shared" si="10"/>
        <v>1.9649999999999999</v>
      </c>
      <c r="AK42" s="150">
        <f t="shared" si="11"/>
        <v>2.0699447604974273</v>
      </c>
      <c r="AL42" s="150">
        <f t="shared" si="12"/>
        <v>0.033</v>
      </c>
      <c r="AM42" s="150">
        <f t="shared" si="13"/>
        <v>2.102944760497427</v>
      </c>
      <c r="AN42" s="150">
        <f t="shared" si="14"/>
        <v>2.055</v>
      </c>
      <c r="AO42" s="151">
        <f t="shared" si="15"/>
        <v>0.03</v>
      </c>
      <c r="AP42" s="138"/>
      <c r="AQ42" s="149">
        <v>0</v>
      </c>
      <c r="AR42" s="151">
        <f t="shared" si="16"/>
        <v>2.055</v>
      </c>
    </row>
    <row r="43" spans="1:44" ht="12.75">
      <c r="A43" s="139" t="s">
        <v>93</v>
      </c>
      <c r="B43" s="140">
        <v>10123</v>
      </c>
      <c r="C43" s="141" t="s">
        <v>15</v>
      </c>
      <c r="D43" s="142">
        <v>222</v>
      </c>
      <c r="E43" s="143">
        <v>575.93</v>
      </c>
      <c r="F43" s="144">
        <v>-18.378</v>
      </c>
      <c r="G43" s="144">
        <v>-1.106</v>
      </c>
      <c r="H43" s="144">
        <v>0</v>
      </c>
      <c r="I43" s="144">
        <v>0</v>
      </c>
      <c r="J43" s="144">
        <f t="shared" si="0"/>
        <v>556.4459999999999</v>
      </c>
      <c r="K43" s="144">
        <v>1.312</v>
      </c>
      <c r="L43" s="145">
        <f t="shared" si="1"/>
        <v>557.758</v>
      </c>
      <c r="M43" s="143">
        <v>584.709</v>
      </c>
      <c r="N43" s="144">
        <v>-20.397</v>
      </c>
      <c r="O43" s="144">
        <v>-4.233</v>
      </c>
      <c r="P43" s="144">
        <v>0</v>
      </c>
      <c r="Q43" s="144">
        <v>0</v>
      </c>
      <c r="R43" s="144">
        <f t="shared" si="2"/>
        <v>560.079</v>
      </c>
      <c r="S43" s="144">
        <v>2.348</v>
      </c>
      <c r="T43" s="145">
        <f t="shared" si="3"/>
        <v>562.427</v>
      </c>
      <c r="U43" s="146">
        <f t="shared" si="4"/>
        <v>560.093</v>
      </c>
      <c r="V43" s="143">
        <v>576.594</v>
      </c>
      <c r="W43" s="144">
        <v>-23.859</v>
      </c>
      <c r="X43" s="144">
        <v>1.225</v>
      </c>
      <c r="Y43" s="144">
        <v>0</v>
      </c>
      <c r="Z43" s="144">
        <v>0</v>
      </c>
      <c r="AA43" s="144">
        <f t="shared" si="5"/>
        <v>553.96</v>
      </c>
      <c r="AB43" s="144">
        <v>7.715</v>
      </c>
      <c r="AC43" s="145">
        <f t="shared" si="6"/>
        <v>561.675</v>
      </c>
      <c r="AD43" s="146">
        <f t="shared" si="7"/>
        <v>0</v>
      </c>
      <c r="AE43" s="146">
        <v>0</v>
      </c>
      <c r="AF43" s="147"/>
      <c r="AG43" s="143">
        <f t="shared" si="8"/>
        <v>553.96</v>
      </c>
      <c r="AH43" s="144">
        <f t="shared" si="9"/>
        <v>0</v>
      </c>
      <c r="AI43" s="144">
        <v>-19.832</v>
      </c>
      <c r="AJ43" s="144">
        <f t="shared" si="10"/>
        <v>534.128</v>
      </c>
      <c r="AK43" s="144">
        <f t="shared" si="11"/>
        <v>562.6541755903155</v>
      </c>
      <c r="AL43" s="144">
        <f t="shared" si="12"/>
        <v>7.715</v>
      </c>
      <c r="AM43" s="144">
        <f t="shared" si="13"/>
        <v>570.3691755903155</v>
      </c>
      <c r="AN43" s="144">
        <f t="shared" si="14"/>
        <v>557.392</v>
      </c>
      <c r="AO43" s="145">
        <f t="shared" si="15"/>
        <v>0</v>
      </c>
      <c r="AP43" s="148"/>
      <c r="AQ43" s="143">
        <v>0</v>
      </c>
      <c r="AR43" s="145">
        <f t="shared" si="16"/>
        <v>557.392</v>
      </c>
    </row>
    <row r="44" spans="1:44" ht="12.75">
      <c r="A44" s="129" t="s">
        <v>94</v>
      </c>
      <c r="B44" s="130">
        <v>10070</v>
      </c>
      <c r="C44" s="131" t="s">
        <v>16</v>
      </c>
      <c r="D44" s="132">
        <v>127</v>
      </c>
      <c r="E44" s="149">
        <v>0.345</v>
      </c>
      <c r="F44" s="150">
        <v>0</v>
      </c>
      <c r="G44" s="150">
        <v>-0.001</v>
      </c>
      <c r="H44" s="150">
        <v>0</v>
      </c>
      <c r="I44" s="150">
        <v>0</v>
      </c>
      <c r="J44" s="150">
        <f t="shared" si="0"/>
        <v>0.344</v>
      </c>
      <c r="K44" s="150">
        <v>0</v>
      </c>
      <c r="L44" s="151">
        <f t="shared" si="1"/>
        <v>0.344</v>
      </c>
      <c r="M44" s="149">
        <v>0.368</v>
      </c>
      <c r="N44" s="150">
        <v>0</v>
      </c>
      <c r="O44" s="150">
        <v>-0.006</v>
      </c>
      <c r="P44" s="150">
        <v>0</v>
      </c>
      <c r="Q44" s="150">
        <v>0</v>
      </c>
      <c r="R44" s="150">
        <f t="shared" si="2"/>
        <v>0.362</v>
      </c>
      <c r="S44" s="150">
        <v>0.001</v>
      </c>
      <c r="T44" s="151">
        <f t="shared" si="3"/>
        <v>0.363</v>
      </c>
      <c r="U44" s="152">
        <f t="shared" si="4"/>
        <v>0.354</v>
      </c>
      <c r="V44" s="149">
        <v>0.346</v>
      </c>
      <c r="W44" s="150">
        <v>0</v>
      </c>
      <c r="X44" s="150">
        <v>-0.003</v>
      </c>
      <c r="Y44" s="150">
        <v>0</v>
      </c>
      <c r="Z44" s="150">
        <v>0</v>
      </c>
      <c r="AA44" s="150">
        <f t="shared" si="5"/>
        <v>0.34299999999999997</v>
      </c>
      <c r="AB44" s="150">
        <v>0.004</v>
      </c>
      <c r="AC44" s="151">
        <f t="shared" si="6"/>
        <v>0.347</v>
      </c>
      <c r="AD44" s="152">
        <f t="shared" si="7"/>
        <v>0.007000000000000006</v>
      </c>
      <c r="AE44" s="152">
        <v>0</v>
      </c>
      <c r="AF44" s="137"/>
      <c r="AG44" s="149">
        <f t="shared" si="8"/>
        <v>0.34299999999999997</v>
      </c>
      <c r="AH44" s="150">
        <f t="shared" si="9"/>
        <v>0.007000000000000006</v>
      </c>
      <c r="AI44" s="150">
        <v>0</v>
      </c>
      <c r="AJ44" s="150">
        <f t="shared" si="10"/>
        <v>0.35</v>
      </c>
      <c r="AK44" s="150">
        <f t="shared" si="11"/>
        <v>0.3686924509791855</v>
      </c>
      <c r="AL44" s="150">
        <f t="shared" si="12"/>
        <v>0.004</v>
      </c>
      <c r="AM44" s="150">
        <f t="shared" si="13"/>
        <v>0.3726924509791855</v>
      </c>
      <c r="AN44" s="150">
        <f t="shared" si="14"/>
        <v>0.364</v>
      </c>
      <c r="AO44" s="151">
        <f t="shared" si="15"/>
        <v>0.007</v>
      </c>
      <c r="AP44" s="138"/>
      <c r="AQ44" s="149">
        <v>0</v>
      </c>
      <c r="AR44" s="151">
        <f t="shared" si="16"/>
        <v>0.364</v>
      </c>
    </row>
    <row r="45" spans="1:44" ht="12.75">
      <c r="A45" s="139" t="s">
        <v>95</v>
      </c>
      <c r="B45" s="140">
        <v>10136</v>
      </c>
      <c r="C45" s="141" t="s">
        <v>17</v>
      </c>
      <c r="D45" s="142">
        <v>333</v>
      </c>
      <c r="E45" s="143">
        <v>18.669</v>
      </c>
      <c r="F45" s="144">
        <v>0</v>
      </c>
      <c r="G45" s="144">
        <v>0.027</v>
      </c>
      <c r="H45" s="144">
        <v>0</v>
      </c>
      <c r="I45" s="144">
        <v>0</v>
      </c>
      <c r="J45" s="144">
        <f t="shared" si="0"/>
        <v>18.696</v>
      </c>
      <c r="K45" s="144">
        <v>0.005</v>
      </c>
      <c r="L45" s="145">
        <f t="shared" si="1"/>
        <v>18.701</v>
      </c>
      <c r="M45" s="143">
        <v>19.111</v>
      </c>
      <c r="N45" s="144">
        <v>0</v>
      </c>
      <c r="O45" s="144">
        <v>-0.34</v>
      </c>
      <c r="P45" s="144">
        <v>0</v>
      </c>
      <c r="Q45" s="144">
        <v>0</v>
      </c>
      <c r="R45" s="144">
        <f t="shared" si="2"/>
        <v>18.771</v>
      </c>
      <c r="S45" s="144">
        <v>0.022</v>
      </c>
      <c r="T45" s="145">
        <f t="shared" si="3"/>
        <v>18.793</v>
      </c>
      <c r="U45" s="146">
        <f t="shared" si="4"/>
        <v>18.747</v>
      </c>
      <c r="V45" s="143">
        <v>18.09</v>
      </c>
      <c r="W45" s="144">
        <v>0</v>
      </c>
      <c r="X45" s="144">
        <v>-0.097</v>
      </c>
      <c r="Y45" s="144">
        <v>0</v>
      </c>
      <c r="Z45" s="144">
        <v>0</v>
      </c>
      <c r="AA45" s="144">
        <f t="shared" si="5"/>
        <v>17.993</v>
      </c>
      <c r="AB45" s="144">
        <v>0.152</v>
      </c>
      <c r="AC45" s="145">
        <f t="shared" si="6"/>
        <v>18.145</v>
      </c>
      <c r="AD45" s="146">
        <f t="shared" si="7"/>
        <v>0.6020000000000003</v>
      </c>
      <c r="AE45" s="146">
        <v>0</v>
      </c>
      <c r="AF45" s="147"/>
      <c r="AG45" s="143">
        <f t="shared" si="8"/>
        <v>17.993</v>
      </c>
      <c r="AH45" s="144">
        <f t="shared" si="9"/>
        <v>0.6020000000000003</v>
      </c>
      <c r="AI45" s="144">
        <v>0</v>
      </c>
      <c r="AJ45" s="144">
        <f t="shared" si="10"/>
        <v>18.595</v>
      </c>
      <c r="AK45" s="144">
        <f t="shared" si="11"/>
        <v>19.588103217022727</v>
      </c>
      <c r="AL45" s="144">
        <f t="shared" si="12"/>
        <v>0.152</v>
      </c>
      <c r="AM45" s="144">
        <f t="shared" si="13"/>
        <v>19.740103217022728</v>
      </c>
      <c r="AN45" s="144">
        <f t="shared" si="14"/>
        <v>19.291</v>
      </c>
      <c r="AO45" s="145">
        <f t="shared" si="15"/>
        <v>0.625</v>
      </c>
      <c r="AP45" s="148"/>
      <c r="AQ45" s="143">
        <v>0</v>
      </c>
      <c r="AR45" s="145">
        <f t="shared" si="16"/>
        <v>19.291</v>
      </c>
    </row>
    <row r="46" spans="1:44" ht="12.75">
      <c r="A46" s="129" t="s">
        <v>96</v>
      </c>
      <c r="B46" s="130">
        <v>10071</v>
      </c>
      <c r="C46" s="131" t="s">
        <v>18</v>
      </c>
      <c r="D46" s="132">
        <v>128</v>
      </c>
      <c r="E46" s="149">
        <v>2.421</v>
      </c>
      <c r="F46" s="150">
        <v>0</v>
      </c>
      <c r="G46" s="150">
        <v>-0.012</v>
      </c>
      <c r="H46" s="150">
        <v>0</v>
      </c>
      <c r="I46" s="150">
        <v>0</v>
      </c>
      <c r="J46" s="150">
        <f t="shared" si="0"/>
        <v>2.409</v>
      </c>
      <c r="K46" s="150">
        <v>0.002</v>
      </c>
      <c r="L46" s="151">
        <f t="shared" si="1"/>
        <v>2.411</v>
      </c>
      <c r="M46" s="149">
        <v>2.451</v>
      </c>
      <c r="N46" s="150">
        <v>0</v>
      </c>
      <c r="O46" s="150">
        <v>-0.06</v>
      </c>
      <c r="P46" s="150">
        <v>0</v>
      </c>
      <c r="Q46" s="150">
        <v>0</v>
      </c>
      <c r="R46" s="150">
        <f t="shared" si="2"/>
        <v>2.391</v>
      </c>
      <c r="S46" s="150">
        <v>0.015</v>
      </c>
      <c r="T46" s="151">
        <f t="shared" si="3"/>
        <v>2.406</v>
      </c>
      <c r="U46" s="152">
        <f t="shared" si="4"/>
        <v>2.409</v>
      </c>
      <c r="V46" s="149">
        <v>1.82</v>
      </c>
      <c r="W46" s="150">
        <v>0</v>
      </c>
      <c r="X46" s="150">
        <v>-0.003</v>
      </c>
      <c r="Y46" s="150">
        <v>0</v>
      </c>
      <c r="Z46" s="150">
        <v>0</v>
      </c>
      <c r="AA46" s="150">
        <f t="shared" si="5"/>
        <v>1.8170000000000002</v>
      </c>
      <c r="AB46" s="150">
        <v>0.024</v>
      </c>
      <c r="AC46" s="151">
        <f t="shared" si="6"/>
        <v>1.841</v>
      </c>
      <c r="AD46" s="152">
        <f t="shared" si="7"/>
        <v>0.5679999999999998</v>
      </c>
      <c r="AE46" s="152">
        <v>0</v>
      </c>
      <c r="AF46" s="137"/>
      <c r="AG46" s="149">
        <f t="shared" si="8"/>
        <v>1.8170000000000002</v>
      </c>
      <c r="AH46" s="150">
        <f t="shared" si="9"/>
        <v>0.5679999999999998</v>
      </c>
      <c r="AI46" s="150">
        <v>0</v>
      </c>
      <c r="AJ46" s="150">
        <f t="shared" si="10"/>
        <v>2.385</v>
      </c>
      <c r="AK46" s="150">
        <f t="shared" si="11"/>
        <v>2.51237570167245</v>
      </c>
      <c r="AL46" s="150">
        <f t="shared" si="12"/>
        <v>0.024</v>
      </c>
      <c r="AM46" s="150">
        <f t="shared" si="13"/>
        <v>2.53637570167245</v>
      </c>
      <c r="AN46" s="150">
        <f t="shared" si="14"/>
        <v>2.479</v>
      </c>
      <c r="AO46" s="151">
        <f t="shared" si="15"/>
        <v>0.59</v>
      </c>
      <c r="AP46" s="138"/>
      <c r="AQ46" s="149">
        <v>0</v>
      </c>
      <c r="AR46" s="151">
        <f t="shared" si="16"/>
        <v>2.479</v>
      </c>
    </row>
    <row r="47" spans="1:44" ht="12.75">
      <c r="A47" s="139" t="s">
        <v>97</v>
      </c>
      <c r="B47" s="140">
        <v>10142</v>
      </c>
      <c r="C47" s="141" t="s">
        <v>256</v>
      </c>
      <c r="D47" s="142">
        <v>335</v>
      </c>
      <c r="E47" s="143">
        <v>2.485</v>
      </c>
      <c r="F47" s="144">
        <v>0</v>
      </c>
      <c r="G47" s="144">
        <v>-0.009</v>
      </c>
      <c r="H47" s="144">
        <v>-0.914</v>
      </c>
      <c r="I47" s="144">
        <v>0.857</v>
      </c>
      <c r="J47" s="144">
        <f t="shared" si="0"/>
        <v>2.4189999999999996</v>
      </c>
      <c r="K47" s="144">
        <v>0.003</v>
      </c>
      <c r="L47" s="145">
        <f t="shared" si="1"/>
        <v>2.422</v>
      </c>
      <c r="M47" s="143">
        <v>2.643</v>
      </c>
      <c r="N47" s="144">
        <v>0</v>
      </c>
      <c r="O47" s="144">
        <v>-0.022</v>
      </c>
      <c r="P47" s="144">
        <v>-0.943</v>
      </c>
      <c r="Q47" s="144">
        <v>0.863</v>
      </c>
      <c r="R47" s="144">
        <f t="shared" si="2"/>
        <v>2.541</v>
      </c>
      <c r="S47" s="144">
        <v>0.003</v>
      </c>
      <c r="T47" s="145">
        <f t="shared" si="3"/>
        <v>2.544</v>
      </c>
      <c r="U47" s="146">
        <f t="shared" si="4"/>
        <v>2.483</v>
      </c>
      <c r="V47" s="143">
        <v>2.564</v>
      </c>
      <c r="W47" s="144">
        <v>0</v>
      </c>
      <c r="X47" s="144">
        <v>0.001</v>
      </c>
      <c r="Y47" s="144">
        <v>-0.814</v>
      </c>
      <c r="Z47" s="144">
        <v>0.89</v>
      </c>
      <c r="AA47" s="144">
        <f t="shared" si="5"/>
        <v>2.641</v>
      </c>
      <c r="AB47" s="144">
        <v>0.008</v>
      </c>
      <c r="AC47" s="145">
        <f t="shared" si="6"/>
        <v>2.649</v>
      </c>
      <c r="AD47" s="146">
        <f t="shared" si="7"/>
        <v>0</v>
      </c>
      <c r="AE47" s="146">
        <v>0</v>
      </c>
      <c r="AF47" s="147"/>
      <c r="AG47" s="143">
        <f t="shared" si="8"/>
        <v>2.641</v>
      </c>
      <c r="AH47" s="144">
        <f t="shared" si="9"/>
        <v>0</v>
      </c>
      <c r="AI47" s="144">
        <v>0</v>
      </c>
      <c r="AJ47" s="144">
        <f t="shared" si="10"/>
        <v>2.641</v>
      </c>
      <c r="AK47" s="144">
        <f t="shared" si="11"/>
        <v>2.782047894388654</v>
      </c>
      <c r="AL47" s="144">
        <f t="shared" si="12"/>
        <v>0.008</v>
      </c>
      <c r="AM47" s="144">
        <f t="shared" si="13"/>
        <v>2.790047894388654</v>
      </c>
      <c r="AN47" s="144">
        <f t="shared" si="14"/>
        <v>2.727</v>
      </c>
      <c r="AO47" s="145">
        <f t="shared" si="15"/>
        <v>0</v>
      </c>
      <c r="AP47" s="148"/>
      <c r="AQ47" s="143">
        <v>0</v>
      </c>
      <c r="AR47" s="145">
        <f t="shared" si="16"/>
        <v>2.727</v>
      </c>
    </row>
    <row r="48" spans="1:44" ht="12.75">
      <c r="A48" s="129" t="s">
        <v>98</v>
      </c>
      <c r="B48" s="130">
        <v>10144</v>
      </c>
      <c r="C48" s="131" t="s">
        <v>257</v>
      </c>
      <c r="D48" s="132">
        <v>131</v>
      </c>
      <c r="E48" s="149">
        <v>3.273</v>
      </c>
      <c r="F48" s="150">
        <v>0</v>
      </c>
      <c r="G48" s="150">
        <v>-0.046</v>
      </c>
      <c r="H48" s="150">
        <v>0</v>
      </c>
      <c r="I48" s="150">
        <v>0</v>
      </c>
      <c r="J48" s="150">
        <f t="shared" si="0"/>
        <v>3.2270000000000003</v>
      </c>
      <c r="K48" s="150">
        <v>0</v>
      </c>
      <c r="L48" s="151">
        <f t="shared" si="1"/>
        <v>3.227</v>
      </c>
      <c r="M48" s="149">
        <v>3.294</v>
      </c>
      <c r="N48" s="150">
        <v>0</v>
      </c>
      <c r="O48" s="150">
        <v>-0.136</v>
      </c>
      <c r="P48" s="150">
        <v>0</v>
      </c>
      <c r="Q48" s="150">
        <v>0</v>
      </c>
      <c r="R48" s="150">
        <f t="shared" si="2"/>
        <v>3.158</v>
      </c>
      <c r="S48" s="150">
        <v>0</v>
      </c>
      <c r="T48" s="151">
        <f t="shared" si="3"/>
        <v>3.158</v>
      </c>
      <c r="U48" s="152">
        <f t="shared" si="4"/>
        <v>3.193</v>
      </c>
      <c r="V48" s="149">
        <v>3.273</v>
      </c>
      <c r="W48" s="150">
        <v>0</v>
      </c>
      <c r="X48" s="150">
        <v>0.047</v>
      </c>
      <c r="Y48" s="150">
        <v>0</v>
      </c>
      <c r="Z48" s="150">
        <v>0</v>
      </c>
      <c r="AA48" s="150">
        <f t="shared" si="5"/>
        <v>3.3200000000000003</v>
      </c>
      <c r="AB48" s="150">
        <v>0</v>
      </c>
      <c r="AC48" s="151">
        <f t="shared" si="6"/>
        <v>3.32</v>
      </c>
      <c r="AD48" s="152">
        <f t="shared" si="7"/>
        <v>0</v>
      </c>
      <c r="AE48" s="152">
        <v>0</v>
      </c>
      <c r="AF48" s="137"/>
      <c r="AG48" s="149">
        <f t="shared" si="8"/>
        <v>3.3200000000000003</v>
      </c>
      <c r="AH48" s="150">
        <f t="shared" si="9"/>
        <v>0</v>
      </c>
      <c r="AI48" s="150">
        <v>0</v>
      </c>
      <c r="AJ48" s="150">
        <f t="shared" si="10"/>
        <v>3.3200000000000003</v>
      </c>
      <c r="AK48" s="150">
        <f t="shared" si="11"/>
        <v>3.4973112492882747</v>
      </c>
      <c r="AL48" s="150">
        <f t="shared" si="12"/>
        <v>0</v>
      </c>
      <c r="AM48" s="150">
        <f t="shared" si="13"/>
        <v>3.4973112492882747</v>
      </c>
      <c r="AN48" s="150">
        <f t="shared" si="14"/>
        <v>3.418</v>
      </c>
      <c r="AO48" s="151">
        <f t="shared" si="15"/>
        <v>0</v>
      </c>
      <c r="AP48" s="138"/>
      <c r="AQ48" s="149">
        <v>0</v>
      </c>
      <c r="AR48" s="151">
        <f t="shared" si="16"/>
        <v>3.418</v>
      </c>
    </row>
    <row r="49" spans="1:44" ht="12.75">
      <c r="A49" s="139" t="s">
        <v>99</v>
      </c>
      <c r="B49" s="140">
        <v>10072</v>
      </c>
      <c r="C49" s="141" t="s">
        <v>19</v>
      </c>
      <c r="D49" s="142">
        <v>133</v>
      </c>
      <c r="E49" s="143">
        <v>23.678</v>
      </c>
      <c r="F49" s="144">
        <v>0</v>
      </c>
      <c r="G49" s="144">
        <v>-0.225</v>
      </c>
      <c r="H49" s="144">
        <v>0</v>
      </c>
      <c r="I49" s="144">
        <v>0</v>
      </c>
      <c r="J49" s="144">
        <f t="shared" si="0"/>
        <v>23.453</v>
      </c>
      <c r="K49" s="144">
        <v>0.055</v>
      </c>
      <c r="L49" s="145">
        <f t="shared" si="1"/>
        <v>23.508</v>
      </c>
      <c r="M49" s="143">
        <v>23.938</v>
      </c>
      <c r="N49" s="144">
        <v>0</v>
      </c>
      <c r="O49" s="144">
        <v>-0.224</v>
      </c>
      <c r="P49" s="144">
        <v>0</v>
      </c>
      <c r="Q49" s="144">
        <v>0</v>
      </c>
      <c r="R49" s="144">
        <f t="shared" si="2"/>
        <v>23.714</v>
      </c>
      <c r="S49" s="144">
        <v>0.096</v>
      </c>
      <c r="T49" s="145">
        <f t="shared" si="3"/>
        <v>23.81</v>
      </c>
      <c r="U49" s="146">
        <f t="shared" si="4"/>
        <v>23.659</v>
      </c>
      <c r="V49" s="143">
        <v>23.187</v>
      </c>
      <c r="W49" s="144">
        <v>0</v>
      </c>
      <c r="X49" s="144">
        <v>0.049</v>
      </c>
      <c r="Y49" s="144">
        <v>0</v>
      </c>
      <c r="Z49" s="144">
        <v>0</v>
      </c>
      <c r="AA49" s="144">
        <f t="shared" si="5"/>
        <v>23.236</v>
      </c>
      <c r="AB49" s="144">
        <v>0.299</v>
      </c>
      <c r="AC49" s="145">
        <f t="shared" si="6"/>
        <v>23.535</v>
      </c>
      <c r="AD49" s="146">
        <f t="shared" si="7"/>
        <v>0.12399999999999878</v>
      </c>
      <c r="AE49" s="146">
        <v>0</v>
      </c>
      <c r="AF49" s="147"/>
      <c r="AG49" s="143">
        <f t="shared" si="8"/>
        <v>23.236</v>
      </c>
      <c r="AH49" s="144">
        <f t="shared" si="9"/>
        <v>0.12399999999999878</v>
      </c>
      <c r="AI49" s="144">
        <v>0</v>
      </c>
      <c r="AJ49" s="144">
        <f t="shared" si="10"/>
        <v>23.36</v>
      </c>
      <c r="AK49" s="144">
        <f t="shared" si="11"/>
        <v>24.607587585353638</v>
      </c>
      <c r="AL49" s="144">
        <f t="shared" si="12"/>
        <v>0.299</v>
      </c>
      <c r="AM49" s="144">
        <f t="shared" si="13"/>
        <v>24.906587585353638</v>
      </c>
      <c r="AN49" s="144">
        <f t="shared" si="14"/>
        <v>24.34</v>
      </c>
      <c r="AO49" s="145">
        <f t="shared" si="15"/>
        <v>0.129</v>
      </c>
      <c r="AP49" s="148"/>
      <c r="AQ49" s="143">
        <v>0</v>
      </c>
      <c r="AR49" s="145">
        <f t="shared" si="16"/>
        <v>24.34</v>
      </c>
    </row>
    <row r="50" spans="1:44" ht="12.75">
      <c r="A50" s="129" t="s">
        <v>100</v>
      </c>
      <c r="B50" s="130">
        <v>10156</v>
      </c>
      <c r="C50" s="131" t="s">
        <v>258</v>
      </c>
      <c r="D50" s="132">
        <v>334</v>
      </c>
      <c r="E50" s="149">
        <v>31.265</v>
      </c>
      <c r="F50" s="150">
        <v>0</v>
      </c>
      <c r="G50" s="150">
        <v>-0.422</v>
      </c>
      <c r="H50" s="150">
        <v>0</v>
      </c>
      <c r="I50" s="150">
        <v>0</v>
      </c>
      <c r="J50" s="150">
        <f t="shared" si="0"/>
        <v>30.843</v>
      </c>
      <c r="K50" s="150">
        <v>0.003</v>
      </c>
      <c r="L50" s="151">
        <f t="shared" si="1"/>
        <v>30.846</v>
      </c>
      <c r="M50" s="149">
        <v>32.835</v>
      </c>
      <c r="N50" s="150">
        <v>0</v>
      </c>
      <c r="O50" s="150">
        <v>-1.231</v>
      </c>
      <c r="P50" s="150">
        <v>0</v>
      </c>
      <c r="Q50" s="150">
        <v>0</v>
      </c>
      <c r="R50" s="150">
        <f t="shared" si="2"/>
        <v>31.604</v>
      </c>
      <c r="S50" s="150">
        <v>0.049</v>
      </c>
      <c r="T50" s="151">
        <f t="shared" si="3"/>
        <v>31.653</v>
      </c>
      <c r="U50" s="152">
        <f t="shared" si="4"/>
        <v>31.25</v>
      </c>
      <c r="V50" s="149">
        <v>31.05</v>
      </c>
      <c r="W50" s="150">
        <v>0</v>
      </c>
      <c r="X50" s="150">
        <v>0.398</v>
      </c>
      <c r="Y50" s="150">
        <v>0</v>
      </c>
      <c r="Z50" s="150">
        <v>0</v>
      </c>
      <c r="AA50" s="150">
        <f t="shared" si="5"/>
        <v>31.448</v>
      </c>
      <c r="AB50" s="150">
        <v>0.353</v>
      </c>
      <c r="AC50" s="151">
        <f t="shared" si="6"/>
        <v>31.801</v>
      </c>
      <c r="AD50" s="152">
        <f t="shared" si="7"/>
        <v>0</v>
      </c>
      <c r="AE50" s="152">
        <v>0</v>
      </c>
      <c r="AF50" s="137"/>
      <c r="AG50" s="149">
        <f t="shared" si="8"/>
        <v>31.448</v>
      </c>
      <c r="AH50" s="150">
        <f t="shared" si="9"/>
        <v>0</v>
      </c>
      <c r="AI50" s="150">
        <v>0</v>
      </c>
      <c r="AJ50" s="150">
        <f t="shared" si="10"/>
        <v>31.448</v>
      </c>
      <c r="AK50" s="150">
        <f t="shared" si="11"/>
        <v>33.12754342398122</v>
      </c>
      <c r="AL50" s="150">
        <f t="shared" si="12"/>
        <v>0.353</v>
      </c>
      <c r="AM50" s="150">
        <f t="shared" si="13"/>
        <v>33.480543423981224</v>
      </c>
      <c r="AN50" s="150">
        <f t="shared" si="14"/>
        <v>32.719</v>
      </c>
      <c r="AO50" s="151">
        <f t="shared" si="15"/>
        <v>0</v>
      </c>
      <c r="AP50" s="138"/>
      <c r="AQ50" s="149">
        <v>0</v>
      </c>
      <c r="AR50" s="151">
        <f t="shared" si="16"/>
        <v>32.719</v>
      </c>
    </row>
    <row r="51" spans="1:44" ht="12.75">
      <c r="A51" s="139" t="s">
        <v>101</v>
      </c>
      <c r="B51" s="140">
        <v>10157</v>
      </c>
      <c r="C51" s="141" t="s">
        <v>20</v>
      </c>
      <c r="D51" s="142">
        <v>229</v>
      </c>
      <c r="E51" s="143">
        <v>93.055</v>
      </c>
      <c r="F51" s="144">
        <v>-38.538</v>
      </c>
      <c r="G51" s="144">
        <v>-0.308</v>
      </c>
      <c r="H51" s="144">
        <v>0</v>
      </c>
      <c r="I51" s="144">
        <v>0</v>
      </c>
      <c r="J51" s="144">
        <f t="shared" si="0"/>
        <v>54.20900000000001</v>
      </c>
      <c r="K51" s="144">
        <v>0.139</v>
      </c>
      <c r="L51" s="145">
        <f t="shared" si="1"/>
        <v>54.348</v>
      </c>
      <c r="M51" s="143">
        <v>91.39</v>
      </c>
      <c r="N51" s="144">
        <v>-37.146</v>
      </c>
      <c r="O51" s="144">
        <v>-1.609</v>
      </c>
      <c r="P51" s="144">
        <v>0</v>
      </c>
      <c r="Q51" s="144">
        <v>0</v>
      </c>
      <c r="R51" s="144">
        <f t="shared" si="2"/>
        <v>52.635</v>
      </c>
      <c r="S51" s="144">
        <v>0.39</v>
      </c>
      <c r="T51" s="145">
        <f t="shared" si="3"/>
        <v>53.025</v>
      </c>
      <c r="U51" s="146">
        <f t="shared" si="4"/>
        <v>53.687</v>
      </c>
      <c r="V51" s="143">
        <v>88.367</v>
      </c>
      <c r="W51" s="144">
        <v>-37.93</v>
      </c>
      <c r="X51" s="144">
        <v>-0.025</v>
      </c>
      <c r="Y51" s="144">
        <v>0</v>
      </c>
      <c r="Z51" s="144">
        <v>0</v>
      </c>
      <c r="AA51" s="144">
        <f t="shared" si="5"/>
        <v>50.412000000000006</v>
      </c>
      <c r="AB51" s="144">
        <v>0.861</v>
      </c>
      <c r="AC51" s="145">
        <f t="shared" si="6"/>
        <v>51.273</v>
      </c>
      <c r="AD51" s="146">
        <f t="shared" si="7"/>
        <v>2.4139999999999944</v>
      </c>
      <c r="AE51" s="146">
        <v>0</v>
      </c>
      <c r="AF51" s="147"/>
      <c r="AG51" s="143">
        <f t="shared" si="8"/>
        <v>50.412000000000006</v>
      </c>
      <c r="AH51" s="144">
        <f t="shared" si="9"/>
        <v>2.4139999999999944</v>
      </c>
      <c r="AI51" s="144">
        <v>-1.938</v>
      </c>
      <c r="AJ51" s="144">
        <f t="shared" si="10"/>
        <v>50.888</v>
      </c>
      <c r="AK51" s="144">
        <f t="shared" si="11"/>
        <v>53.60577555836798</v>
      </c>
      <c r="AL51" s="144">
        <f t="shared" si="12"/>
        <v>0.861</v>
      </c>
      <c r="AM51" s="144">
        <f t="shared" si="13"/>
        <v>54.46677555836798</v>
      </c>
      <c r="AN51" s="144">
        <f t="shared" si="14"/>
        <v>53.228</v>
      </c>
      <c r="AO51" s="145">
        <f t="shared" si="15"/>
        <v>2.525</v>
      </c>
      <c r="AP51" s="148"/>
      <c r="AQ51" s="143">
        <v>0</v>
      </c>
      <c r="AR51" s="145">
        <f t="shared" si="16"/>
        <v>53.228</v>
      </c>
    </row>
    <row r="52" spans="1:44" ht="12.75">
      <c r="A52" s="129" t="s">
        <v>102</v>
      </c>
      <c r="B52" s="130">
        <v>10158</v>
      </c>
      <c r="C52" s="131" t="s">
        <v>21</v>
      </c>
      <c r="D52" s="132">
        <v>195</v>
      </c>
      <c r="E52" s="149">
        <v>2.955</v>
      </c>
      <c r="F52" s="150">
        <v>0</v>
      </c>
      <c r="G52" s="150">
        <v>-0.021</v>
      </c>
      <c r="H52" s="150">
        <v>0</v>
      </c>
      <c r="I52" s="150">
        <v>0</v>
      </c>
      <c r="J52" s="150">
        <f t="shared" si="0"/>
        <v>2.934</v>
      </c>
      <c r="K52" s="150">
        <v>0</v>
      </c>
      <c r="L52" s="151">
        <f t="shared" si="1"/>
        <v>2.934</v>
      </c>
      <c r="M52" s="149">
        <v>2.743</v>
      </c>
      <c r="N52" s="150">
        <v>0</v>
      </c>
      <c r="O52" s="150">
        <v>-0.021</v>
      </c>
      <c r="P52" s="150">
        <v>0</v>
      </c>
      <c r="Q52" s="150">
        <v>0</v>
      </c>
      <c r="R52" s="150">
        <f t="shared" si="2"/>
        <v>2.722</v>
      </c>
      <c r="S52" s="150">
        <v>0</v>
      </c>
      <c r="T52" s="151">
        <f t="shared" si="3"/>
        <v>2.722</v>
      </c>
      <c r="U52" s="152">
        <f t="shared" si="4"/>
        <v>2.828</v>
      </c>
      <c r="V52" s="149">
        <v>2.739</v>
      </c>
      <c r="W52" s="150">
        <v>0</v>
      </c>
      <c r="X52" s="150">
        <v>-0.004</v>
      </c>
      <c r="Y52" s="150">
        <v>0</v>
      </c>
      <c r="Z52" s="150">
        <v>0</v>
      </c>
      <c r="AA52" s="150">
        <f t="shared" si="5"/>
        <v>2.735</v>
      </c>
      <c r="AB52" s="150">
        <v>0.019</v>
      </c>
      <c r="AC52" s="151">
        <f t="shared" si="6"/>
        <v>2.754</v>
      </c>
      <c r="AD52" s="152">
        <f t="shared" si="7"/>
        <v>0.07399999999999984</v>
      </c>
      <c r="AE52" s="152">
        <v>0</v>
      </c>
      <c r="AF52" s="137"/>
      <c r="AG52" s="149">
        <f t="shared" si="8"/>
        <v>2.735</v>
      </c>
      <c r="AH52" s="150">
        <f t="shared" si="9"/>
        <v>0.07399999999999984</v>
      </c>
      <c r="AI52" s="150">
        <v>0</v>
      </c>
      <c r="AJ52" s="150">
        <f t="shared" si="10"/>
        <v>2.8089999999999997</v>
      </c>
      <c r="AK52" s="150">
        <f t="shared" si="11"/>
        <v>2.9590202708586633</v>
      </c>
      <c r="AL52" s="150">
        <f t="shared" si="12"/>
        <v>0.019</v>
      </c>
      <c r="AM52" s="150">
        <f t="shared" si="13"/>
        <v>2.9780202708586634</v>
      </c>
      <c r="AN52" s="150">
        <f t="shared" si="14"/>
        <v>2.91</v>
      </c>
      <c r="AO52" s="151">
        <f t="shared" si="15"/>
        <v>0.077</v>
      </c>
      <c r="AP52" s="138"/>
      <c r="AQ52" s="149">
        <v>0</v>
      </c>
      <c r="AR52" s="151">
        <f t="shared" si="16"/>
        <v>2.91</v>
      </c>
    </row>
    <row r="53" spans="1:44" ht="12.75">
      <c r="A53" s="139" t="s">
        <v>103</v>
      </c>
      <c r="B53" s="140">
        <v>10170</v>
      </c>
      <c r="C53" s="141" t="s">
        <v>22</v>
      </c>
      <c r="D53" s="142">
        <v>137</v>
      </c>
      <c r="E53" s="143">
        <v>318.141</v>
      </c>
      <c r="F53" s="144">
        <v>-25.313</v>
      </c>
      <c r="G53" s="144">
        <v>-1.539</v>
      </c>
      <c r="H53" s="144">
        <v>0</v>
      </c>
      <c r="I53" s="144">
        <v>0</v>
      </c>
      <c r="J53" s="144">
        <f t="shared" si="0"/>
        <v>291.28900000000004</v>
      </c>
      <c r="K53" s="144">
        <v>1.038</v>
      </c>
      <c r="L53" s="145">
        <f t="shared" si="1"/>
        <v>292.327</v>
      </c>
      <c r="M53" s="143">
        <v>318.599</v>
      </c>
      <c r="N53" s="144">
        <v>-22.132</v>
      </c>
      <c r="O53" s="144">
        <v>-6.769</v>
      </c>
      <c r="P53" s="144">
        <v>0</v>
      </c>
      <c r="Q53" s="144">
        <v>0</v>
      </c>
      <c r="R53" s="144">
        <f t="shared" si="2"/>
        <v>289.698</v>
      </c>
      <c r="S53" s="144">
        <v>4.431</v>
      </c>
      <c r="T53" s="145">
        <f t="shared" si="3"/>
        <v>294.129</v>
      </c>
      <c r="U53" s="146">
        <f t="shared" si="4"/>
        <v>293.228</v>
      </c>
      <c r="V53" s="143">
        <v>281.704</v>
      </c>
      <c r="W53" s="144">
        <v>-2.213</v>
      </c>
      <c r="X53" s="144">
        <v>0.206</v>
      </c>
      <c r="Y53" s="144">
        <v>0</v>
      </c>
      <c r="Z53" s="144">
        <v>0</v>
      </c>
      <c r="AA53" s="144">
        <f t="shared" si="5"/>
        <v>279.697</v>
      </c>
      <c r="AB53" s="144">
        <v>9.333</v>
      </c>
      <c r="AC53" s="145">
        <f t="shared" si="6"/>
        <v>289.03</v>
      </c>
      <c r="AD53" s="146">
        <f t="shared" si="7"/>
        <v>4.198000000000036</v>
      </c>
      <c r="AE53" s="146">
        <v>0</v>
      </c>
      <c r="AF53" s="147"/>
      <c r="AG53" s="143">
        <f t="shared" si="8"/>
        <v>279.697</v>
      </c>
      <c r="AH53" s="144">
        <f t="shared" si="9"/>
        <v>4.198000000000036</v>
      </c>
      <c r="AI53" s="144">
        <v>-45.2</v>
      </c>
      <c r="AJ53" s="144">
        <f t="shared" si="10"/>
        <v>238.69500000000005</v>
      </c>
      <c r="AK53" s="144">
        <f t="shared" si="11"/>
        <v>251.4429845327906</v>
      </c>
      <c r="AL53" s="144">
        <f t="shared" si="12"/>
        <v>9.333</v>
      </c>
      <c r="AM53" s="144">
        <f t="shared" si="13"/>
        <v>260.77598453279063</v>
      </c>
      <c r="AN53" s="144">
        <f t="shared" si="14"/>
        <v>254.843</v>
      </c>
      <c r="AO53" s="145">
        <f t="shared" si="15"/>
        <v>4.482</v>
      </c>
      <c r="AP53" s="148"/>
      <c r="AQ53" s="143">
        <v>0</v>
      </c>
      <c r="AR53" s="145">
        <f t="shared" si="16"/>
        <v>254.843</v>
      </c>
    </row>
    <row r="54" spans="1:44" ht="12.75">
      <c r="A54" s="129" t="s">
        <v>104</v>
      </c>
      <c r="B54" s="130">
        <v>10172</v>
      </c>
      <c r="C54" s="131" t="s">
        <v>23</v>
      </c>
      <c r="D54" s="132">
        <v>430</v>
      </c>
      <c r="E54" s="149">
        <v>7.373</v>
      </c>
      <c r="F54" s="150">
        <v>0</v>
      </c>
      <c r="G54" s="150">
        <v>-0.045</v>
      </c>
      <c r="H54" s="150">
        <v>0</v>
      </c>
      <c r="I54" s="150">
        <v>0</v>
      </c>
      <c r="J54" s="150">
        <f t="shared" si="0"/>
        <v>7.328</v>
      </c>
      <c r="K54" s="150">
        <v>0.007</v>
      </c>
      <c r="L54" s="151">
        <f t="shared" si="1"/>
        <v>7.335</v>
      </c>
      <c r="M54" s="149">
        <v>7.076</v>
      </c>
      <c r="N54" s="150">
        <v>0</v>
      </c>
      <c r="O54" s="150">
        <v>-0.035</v>
      </c>
      <c r="P54" s="150">
        <v>0</v>
      </c>
      <c r="Q54" s="150">
        <v>0</v>
      </c>
      <c r="R54" s="150">
        <f t="shared" si="2"/>
        <v>7.0409999999999995</v>
      </c>
      <c r="S54" s="150">
        <v>0.007</v>
      </c>
      <c r="T54" s="151">
        <f t="shared" si="3"/>
        <v>7.048</v>
      </c>
      <c r="U54" s="152">
        <f t="shared" si="4"/>
        <v>7.192</v>
      </c>
      <c r="V54" s="149">
        <v>5.98</v>
      </c>
      <c r="W54" s="150">
        <v>0</v>
      </c>
      <c r="X54" s="150">
        <v>0.016</v>
      </c>
      <c r="Y54" s="150">
        <v>0</v>
      </c>
      <c r="Z54" s="150">
        <v>0</v>
      </c>
      <c r="AA54" s="150">
        <f t="shared" si="5"/>
        <v>5.996</v>
      </c>
      <c r="AB54" s="150">
        <v>0.025</v>
      </c>
      <c r="AC54" s="151">
        <f t="shared" si="6"/>
        <v>6.021</v>
      </c>
      <c r="AD54" s="152">
        <f t="shared" si="7"/>
        <v>1.1710000000000003</v>
      </c>
      <c r="AE54" s="152">
        <v>0</v>
      </c>
      <c r="AF54" s="137"/>
      <c r="AG54" s="149">
        <f t="shared" si="8"/>
        <v>5.996</v>
      </c>
      <c r="AH54" s="150">
        <f t="shared" si="9"/>
        <v>1.1710000000000003</v>
      </c>
      <c r="AI54" s="150">
        <v>0</v>
      </c>
      <c r="AJ54" s="150">
        <f t="shared" si="10"/>
        <v>7.167000000000001</v>
      </c>
      <c r="AK54" s="150">
        <f t="shared" si="11"/>
        <v>7.549767989050923</v>
      </c>
      <c r="AL54" s="150">
        <f t="shared" si="12"/>
        <v>0.025</v>
      </c>
      <c r="AM54" s="150">
        <f t="shared" si="13"/>
        <v>7.574767989050923</v>
      </c>
      <c r="AN54" s="150">
        <f t="shared" si="14"/>
        <v>7.402</v>
      </c>
      <c r="AO54" s="151">
        <f t="shared" si="15"/>
        <v>1.209</v>
      </c>
      <c r="AP54" s="138"/>
      <c r="AQ54" s="149">
        <v>0</v>
      </c>
      <c r="AR54" s="151">
        <f t="shared" si="16"/>
        <v>7.402</v>
      </c>
    </row>
    <row r="55" spans="1:44" ht="12.75">
      <c r="A55" s="139" t="s">
        <v>259</v>
      </c>
      <c r="B55" s="140">
        <v>10173</v>
      </c>
      <c r="C55" s="141" t="s">
        <v>260</v>
      </c>
      <c r="D55" s="142">
        <v>337</v>
      </c>
      <c r="E55" s="143">
        <v>33.079</v>
      </c>
      <c r="F55" s="144">
        <v>0</v>
      </c>
      <c r="G55" s="144">
        <v>-0.183</v>
      </c>
      <c r="H55" s="144">
        <v>-6.214</v>
      </c>
      <c r="I55" s="144">
        <v>5.034</v>
      </c>
      <c r="J55" s="144">
        <f t="shared" si="0"/>
        <v>31.716</v>
      </c>
      <c r="K55" s="144">
        <v>0.018</v>
      </c>
      <c r="L55" s="145">
        <f t="shared" si="1"/>
        <v>31.734</v>
      </c>
      <c r="M55" s="143">
        <v>35.028</v>
      </c>
      <c r="N55" s="144">
        <v>0</v>
      </c>
      <c r="O55" s="144">
        <v>-0.352</v>
      </c>
      <c r="P55" s="144">
        <v>-5.372</v>
      </c>
      <c r="Q55" s="144">
        <v>5.034</v>
      </c>
      <c r="R55" s="144">
        <f t="shared" si="2"/>
        <v>34.338</v>
      </c>
      <c r="S55" s="144">
        <v>0.056</v>
      </c>
      <c r="T55" s="145">
        <f t="shared" si="3"/>
        <v>34.394</v>
      </c>
      <c r="U55" s="146">
        <f t="shared" si="4"/>
        <v>33.064</v>
      </c>
      <c r="V55" s="143">
        <v>34.464</v>
      </c>
      <c r="W55" s="144">
        <v>0</v>
      </c>
      <c r="X55" s="144">
        <v>-0.217</v>
      </c>
      <c r="Y55" s="144">
        <v>-4.71</v>
      </c>
      <c r="Z55" s="144">
        <v>5.136</v>
      </c>
      <c r="AA55" s="144">
        <f t="shared" si="5"/>
        <v>34.673</v>
      </c>
      <c r="AB55" s="144">
        <v>0.391</v>
      </c>
      <c r="AC55" s="145">
        <f t="shared" si="6"/>
        <v>35.064</v>
      </c>
      <c r="AD55" s="146">
        <f t="shared" si="7"/>
        <v>0</v>
      </c>
      <c r="AE55" s="146">
        <v>0</v>
      </c>
      <c r="AF55" s="147"/>
      <c r="AG55" s="143">
        <f t="shared" si="8"/>
        <v>34.673</v>
      </c>
      <c r="AH55" s="144">
        <f t="shared" si="9"/>
        <v>0</v>
      </c>
      <c r="AI55" s="144">
        <v>-2.382</v>
      </c>
      <c r="AJ55" s="144">
        <f t="shared" si="10"/>
        <v>32.291000000000004</v>
      </c>
      <c r="AK55" s="144">
        <f t="shared" si="11"/>
        <v>34.01556552733966</v>
      </c>
      <c r="AL55" s="144">
        <f t="shared" si="12"/>
        <v>0.391</v>
      </c>
      <c r="AM55" s="144">
        <f t="shared" si="13"/>
        <v>34.40656552733966</v>
      </c>
      <c r="AN55" s="144">
        <f t="shared" si="14"/>
        <v>33.624</v>
      </c>
      <c r="AO55" s="145">
        <f t="shared" si="15"/>
        <v>0</v>
      </c>
      <c r="AP55" s="148"/>
      <c r="AQ55" s="143">
        <v>0</v>
      </c>
      <c r="AR55" s="145">
        <f t="shared" si="16"/>
        <v>33.624</v>
      </c>
    </row>
    <row r="56" spans="1:44" ht="12.75">
      <c r="A56" s="129" t="s">
        <v>261</v>
      </c>
      <c r="B56" s="130">
        <v>10174</v>
      </c>
      <c r="C56" s="131" t="s">
        <v>262</v>
      </c>
      <c r="D56" s="132">
        <v>338</v>
      </c>
      <c r="E56" s="149">
        <v>0.487</v>
      </c>
      <c r="F56" s="150">
        <v>0</v>
      </c>
      <c r="G56" s="150">
        <v>-0.002</v>
      </c>
      <c r="H56" s="150">
        <v>0</v>
      </c>
      <c r="I56" s="150">
        <v>0</v>
      </c>
      <c r="J56" s="150">
        <f t="shared" si="0"/>
        <v>0.485</v>
      </c>
      <c r="K56" s="150">
        <v>0</v>
      </c>
      <c r="L56" s="151">
        <f t="shared" si="1"/>
        <v>0.485</v>
      </c>
      <c r="M56" s="149">
        <v>0.525</v>
      </c>
      <c r="N56" s="150">
        <v>0</v>
      </c>
      <c r="O56" s="150">
        <v>-0.012</v>
      </c>
      <c r="P56" s="150">
        <v>0</v>
      </c>
      <c r="Q56" s="150">
        <v>0</v>
      </c>
      <c r="R56" s="150">
        <f t="shared" si="2"/>
        <v>0.513</v>
      </c>
      <c r="S56" s="150">
        <v>0.001</v>
      </c>
      <c r="T56" s="151">
        <f t="shared" si="3"/>
        <v>0.514</v>
      </c>
      <c r="U56" s="152">
        <f t="shared" si="4"/>
        <v>0.5</v>
      </c>
      <c r="V56" s="149">
        <v>0.505</v>
      </c>
      <c r="W56" s="150">
        <v>0</v>
      </c>
      <c r="X56" s="150">
        <v>-0.007</v>
      </c>
      <c r="Y56" s="150">
        <v>0</v>
      </c>
      <c r="Z56" s="150">
        <v>0</v>
      </c>
      <c r="AA56" s="150">
        <f t="shared" si="5"/>
        <v>0.498</v>
      </c>
      <c r="AB56" s="150">
        <v>0.002</v>
      </c>
      <c r="AC56" s="151">
        <f t="shared" si="6"/>
        <v>0.5</v>
      </c>
      <c r="AD56" s="152">
        <f t="shared" si="7"/>
        <v>0</v>
      </c>
      <c r="AE56" s="152">
        <v>0</v>
      </c>
      <c r="AF56" s="137"/>
      <c r="AG56" s="149">
        <f t="shared" si="8"/>
        <v>0.498</v>
      </c>
      <c r="AH56" s="150">
        <f t="shared" si="9"/>
        <v>0</v>
      </c>
      <c r="AI56" s="150">
        <v>0</v>
      </c>
      <c r="AJ56" s="150">
        <f t="shared" si="10"/>
        <v>0.498</v>
      </c>
      <c r="AK56" s="150">
        <f t="shared" si="11"/>
        <v>0.5245966873932412</v>
      </c>
      <c r="AL56" s="150">
        <f t="shared" si="12"/>
        <v>0.002</v>
      </c>
      <c r="AM56" s="150">
        <f t="shared" si="13"/>
        <v>0.5265966873932412</v>
      </c>
      <c r="AN56" s="150">
        <f t="shared" si="14"/>
        <v>0.515</v>
      </c>
      <c r="AO56" s="151">
        <f t="shared" si="15"/>
        <v>0</v>
      </c>
      <c r="AP56" s="138"/>
      <c r="AQ56" s="149">
        <v>0</v>
      </c>
      <c r="AR56" s="151">
        <f t="shared" si="16"/>
        <v>0.515</v>
      </c>
    </row>
    <row r="57" spans="1:44" ht="12.75">
      <c r="A57" s="139" t="s">
        <v>263</v>
      </c>
      <c r="B57" s="140">
        <v>10177</v>
      </c>
      <c r="C57" s="141" t="s">
        <v>264</v>
      </c>
      <c r="D57" s="142">
        <v>230</v>
      </c>
      <c r="E57" s="143">
        <v>7.998</v>
      </c>
      <c r="F57" s="144">
        <v>0</v>
      </c>
      <c r="G57" s="144">
        <v>-0.216</v>
      </c>
      <c r="H57" s="144">
        <v>0</v>
      </c>
      <c r="I57" s="144">
        <v>0</v>
      </c>
      <c r="J57" s="144">
        <f t="shared" si="0"/>
        <v>7.782</v>
      </c>
      <c r="K57" s="144">
        <v>0.019</v>
      </c>
      <c r="L57" s="145">
        <f t="shared" si="1"/>
        <v>7.801</v>
      </c>
      <c r="M57" s="143">
        <v>7.805</v>
      </c>
      <c r="N57" s="144">
        <v>0</v>
      </c>
      <c r="O57" s="144">
        <v>-0.436</v>
      </c>
      <c r="P57" s="144">
        <v>0</v>
      </c>
      <c r="Q57" s="144">
        <v>0</v>
      </c>
      <c r="R57" s="144">
        <f t="shared" si="2"/>
        <v>7.369</v>
      </c>
      <c r="S57" s="144">
        <v>0.033</v>
      </c>
      <c r="T57" s="145">
        <f t="shared" si="3"/>
        <v>7.402</v>
      </c>
      <c r="U57" s="146">
        <f t="shared" si="4"/>
        <v>7.602</v>
      </c>
      <c r="V57" s="143">
        <v>11.529</v>
      </c>
      <c r="W57" s="144">
        <v>0</v>
      </c>
      <c r="X57" s="144">
        <v>-0.066</v>
      </c>
      <c r="Y57" s="144">
        <v>0</v>
      </c>
      <c r="Z57" s="144">
        <v>0</v>
      </c>
      <c r="AA57" s="144">
        <f t="shared" si="5"/>
        <v>11.463</v>
      </c>
      <c r="AB57" s="144">
        <v>0.109</v>
      </c>
      <c r="AC57" s="145">
        <f t="shared" si="6"/>
        <v>11.572</v>
      </c>
      <c r="AD57" s="146">
        <f t="shared" si="7"/>
        <v>0</v>
      </c>
      <c r="AE57" s="146">
        <v>0</v>
      </c>
      <c r="AF57" s="147"/>
      <c r="AG57" s="143">
        <f t="shared" si="8"/>
        <v>11.463</v>
      </c>
      <c r="AH57" s="144">
        <f t="shared" si="9"/>
        <v>0</v>
      </c>
      <c r="AI57" s="144">
        <v>-0.066</v>
      </c>
      <c r="AJ57" s="144">
        <f t="shared" si="10"/>
        <v>11.396999999999998</v>
      </c>
      <c r="AK57" s="144">
        <f t="shared" si="11"/>
        <v>12.005679610885077</v>
      </c>
      <c r="AL57" s="144">
        <f t="shared" si="12"/>
        <v>0.109</v>
      </c>
      <c r="AM57" s="144">
        <f t="shared" si="13"/>
        <v>12.114679610885076</v>
      </c>
      <c r="AN57" s="144">
        <f t="shared" si="14"/>
        <v>11.839</v>
      </c>
      <c r="AO57" s="145">
        <f t="shared" si="15"/>
        <v>0</v>
      </c>
      <c r="AP57" s="148"/>
      <c r="AQ57" s="143">
        <v>0</v>
      </c>
      <c r="AR57" s="145">
        <f t="shared" si="16"/>
        <v>11.839</v>
      </c>
    </row>
    <row r="58" spans="1:44" ht="12.75">
      <c r="A58" s="129" t="s">
        <v>265</v>
      </c>
      <c r="B58" s="130">
        <v>10179</v>
      </c>
      <c r="C58" s="131" t="s">
        <v>24</v>
      </c>
      <c r="D58" s="132">
        <v>339</v>
      </c>
      <c r="E58" s="149">
        <v>168.322</v>
      </c>
      <c r="F58" s="150">
        <v>0</v>
      </c>
      <c r="G58" s="150">
        <v>-0.328</v>
      </c>
      <c r="H58" s="150">
        <v>0</v>
      </c>
      <c r="I58" s="150">
        <v>0</v>
      </c>
      <c r="J58" s="150">
        <f t="shared" si="0"/>
        <v>167.994</v>
      </c>
      <c r="K58" s="150">
        <v>0.328</v>
      </c>
      <c r="L58" s="151">
        <f t="shared" si="1"/>
        <v>168.322</v>
      </c>
      <c r="M58" s="149">
        <v>170.96</v>
      </c>
      <c r="N58" s="150">
        <v>0</v>
      </c>
      <c r="O58" s="150">
        <v>0.638</v>
      </c>
      <c r="P58" s="150">
        <v>0</v>
      </c>
      <c r="Q58" s="150">
        <v>0</v>
      </c>
      <c r="R58" s="150">
        <f t="shared" si="2"/>
        <v>171.598</v>
      </c>
      <c r="S58" s="150">
        <v>0.791</v>
      </c>
      <c r="T58" s="151">
        <f t="shared" si="3"/>
        <v>172.389</v>
      </c>
      <c r="U58" s="152">
        <f t="shared" si="4"/>
        <v>170.356</v>
      </c>
      <c r="V58" s="149">
        <v>163.247</v>
      </c>
      <c r="W58" s="150">
        <v>0</v>
      </c>
      <c r="X58" s="150">
        <v>0.465</v>
      </c>
      <c r="Y58" s="150">
        <v>0</v>
      </c>
      <c r="Z58" s="150">
        <v>0</v>
      </c>
      <c r="AA58" s="150">
        <f t="shared" si="5"/>
        <v>163.71200000000002</v>
      </c>
      <c r="AB58" s="150">
        <v>2.632</v>
      </c>
      <c r="AC58" s="151">
        <f t="shared" si="6"/>
        <v>166.344</v>
      </c>
      <c r="AD58" s="152">
        <f t="shared" si="7"/>
        <v>4.0120000000000005</v>
      </c>
      <c r="AE58" s="152">
        <v>5.66</v>
      </c>
      <c r="AF58" s="137"/>
      <c r="AG58" s="149">
        <f t="shared" si="8"/>
        <v>163.71200000000002</v>
      </c>
      <c r="AH58" s="150">
        <f>AD58</f>
        <v>4.0120000000000005</v>
      </c>
      <c r="AI58" s="150">
        <v>-5.754</v>
      </c>
      <c r="AJ58" s="150">
        <f t="shared" si="10"/>
        <v>161.97000000000003</v>
      </c>
      <c r="AK58" s="150">
        <f t="shared" si="11"/>
        <v>170.62033224313913</v>
      </c>
      <c r="AL58" s="150">
        <f t="shared" si="12"/>
        <v>2.632</v>
      </c>
      <c r="AM58" s="150">
        <f t="shared" si="13"/>
        <v>173.25233224313914</v>
      </c>
      <c r="AN58" s="150">
        <f t="shared" si="14"/>
        <v>169.311</v>
      </c>
      <c r="AO58" s="151">
        <f t="shared" si="15"/>
        <v>4.194</v>
      </c>
      <c r="AP58" s="138"/>
      <c r="AQ58" s="149">
        <v>0</v>
      </c>
      <c r="AR58" s="151">
        <f t="shared" si="16"/>
        <v>169.311</v>
      </c>
    </row>
    <row r="59" spans="1:44" ht="12.75">
      <c r="A59" s="139" t="s">
        <v>266</v>
      </c>
      <c r="B59" s="140">
        <v>10074</v>
      </c>
      <c r="C59" s="141" t="s">
        <v>25</v>
      </c>
      <c r="D59" s="142">
        <v>142</v>
      </c>
      <c r="E59" s="143">
        <v>29.282</v>
      </c>
      <c r="F59" s="144">
        <v>0</v>
      </c>
      <c r="G59" s="144">
        <v>-0.209</v>
      </c>
      <c r="H59" s="144">
        <v>0</v>
      </c>
      <c r="I59" s="144">
        <v>0</v>
      </c>
      <c r="J59" s="144">
        <f t="shared" si="0"/>
        <v>29.073</v>
      </c>
      <c r="K59" s="144">
        <v>0.014</v>
      </c>
      <c r="L59" s="145">
        <f t="shared" si="1"/>
        <v>29.087</v>
      </c>
      <c r="M59" s="143">
        <v>30.154</v>
      </c>
      <c r="N59" s="144">
        <v>0</v>
      </c>
      <c r="O59" s="144">
        <v>-0.823</v>
      </c>
      <c r="P59" s="144">
        <v>0</v>
      </c>
      <c r="Q59" s="144">
        <v>0</v>
      </c>
      <c r="R59" s="144">
        <f t="shared" si="2"/>
        <v>29.331</v>
      </c>
      <c r="S59" s="144">
        <v>0.073</v>
      </c>
      <c r="T59" s="145">
        <f t="shared" si="3"/>
        <v>29.404</v>
      </c>
      <c r="U59" s="146">
        <f t="shared" si="4"/>
        <v>29.246</v>
      </c>
      <c r="V59" s="143">
        <v>27.101</v>
      </c>
      <c r="W59" s="144">
        <v>0</v>
      </c>
      <c r="X59" s="144">
        <v>-0.023</v>
      </c>
      <c r="Y59" s="144">
        <v>0</v>
      </c>
      <c r="Z59" s="144">
        <v>0</v>
      </c>
      <c r="AA59" s="144">
        <f t="shared" si="5"/>
        <v>27.078</v>
      </c>
      <c r="AB59" s="144">
        <v>0.518</v>
      </c>
      <c r="AC59" s="145">
        <f t="shared" si="6"/>
        <v>27.596</v>
      </c>
      <c r="AD59" s="146">
        <f t="shared" si="7"/>
        <v>1.6499999999999986</v>
      </c>
      <c r="AE59" s="146">
        <v>0</v>
      </c>
      <c r="AF59" s="147"/>
      <c r="AG59" s="143">
        <f t="shared" si="8"/>
        <v>27.078</v>
      </c>
      <c r="AH59" s="144">
        <f aca="true" t="shared" si="17" ref="AH59:AH122">IF(AD59&gt;AE59,AD59,AE59)</f>
        <v>1.6499999999999986</v>
      </c>
      <c r="AI59" s="144">
        <v>-2.725</v>
      </c>
      <c r="AJ59" s="144">
        <f t="shared" si="10"/>
        <v>26.002999999999997</v>
      </c>
      <c r="AK59" s="144">
        <f t="shared" si="11"/>
        <v>27.391742293747885</v>
      </c>
      <c r="AL59" s="144">
        <f t="shared" si="12"/>
        <v>0.518</v>
      </c>
      <c r="AM59" s="144">
        <f t="shared" si="13"/>
        <v>27.909742293747886</v>
      </c>
      <c r="AN59" s="144">
        <f t="shared" si="14"/>
        <v>27.275</v>
      </c>
      <c r="AO59" s="145">
        <f t="shared" si="15"/>
        <v>1.731</v>
      </c>
      <c r="AP59" s="148"/>
      <c r="AQ59" s="143">
        <v>0</v>
      </c>
      <c r="AR59" s="145">
        <f t="shared" si="16"/>
        <v>27.275</v>
      </c>
    </row>
    <row r="60" spans="1:44" ht="12.75">
      <c r="A60" s="129" t="s">
        <v>267</v>
      </c>
      <c r="B60" s="130">
        <v>10183</v>
      </c>
      <c r="C60" s="131" t="s">
        <v>26</v>
      </c>
      <c r="D60" s="132">
        <v>233</v>
      </c>
      <c r="E60" s="149">
        <v>106.353</v>
      </c>
      <c r="F60" s="150">
        <v>0</v>
      </c>
      <c r="G60" s="150">
        <v>-0.746</v>
      </c>
      <c r="H60" s="150">
        <v>-16.048</v>
      </c>
      <c r="I60" s="150">
        <v>15.644</v>
      </c>
      <c r="J60" s="150">
        <f t="shared" si="0"/>
        <v>105.203</v>
      </c>
      <c r="K60" s="150">
        <v>0.26</v>
      </c>
      <c r="L60" s="151">
        <f t="shared" si="1"/>
        <v>105.463</v>
      </c>
      <c r="M60" s="149">
        <v>110.392</v>
      </c>
      <c r="N60" s="150">
        <v>0</v>
      </c>
      <c r="O60" s="150">
        <v>0.309</v>
      </c>
      <c r="P60" s="150">
        <v>-16.592</v>
      </c>
      <c r="Q60" s="150">
        <v>15.67</v>
      </c>
      <c r="R60" s="150">
        <f t="shared" si="2"/>
        <v>109.779</v>
      </c>
      <c r="S60" s="150">
        <v>0.502</v>
      </c>
      <c r="T60" s="151">
        <f t="shared" si="3"/>
        <v>110.281</v>
      </c>
      <c r="U60" s="152">
        <f t="shared" si="4"/>
        <v>107.872</v>
      </c>
      <c r="V60" s="149">
        <v>112.568</v>
      </c>
      <c r="W60" s="150">
        <v>0</v>
      </c>
      <c r="X60" s="150">
        <v>0.896</v>
      </c>
      <c r="Y60" s="150">
        <v>-15.252</v>
      </c>
      <c r="Z60" s="150">
        <v>15.614</v>
      </c>
      <c r="AA60" s="150">
        <f t="shared" si="5"/>
        <v>113.82600000000001</v>
      </c>
      <c r="AB60" s="150">
        <v>2.697</v>
      </c>
      <c r="AC60" s="151">
        <f t="shared" si="6"/>
        <v>116.523</v>
      </c>
      <c r="AD60" s="152">
        <f t="shared" si="7"/>
        <v>0</v>
      </c>
      <c r="AE60" s="152">
        <v>0</v>
      </c>
      <c r="AF60" s="137"/>
      <c r="AG60" s="149">
        <f t="shared" si="8"/>
        <v>113.82600000000001</v>
      </c>
      <c r="AH60" s="150">
        <f t="shared" si="17"/>
        <v>0</v>
      </c>
      <c r="AI60" s="150">
        <v>-0.69</v>
      </c>
      <c r="AJ60" s="150">
        <f t="shared" si="10"/>
        <v>113.13600000000001</v>
      </c>
      <c r="AK60" s="150">
        <f t="shared" si="11"/>
        <v>119.17825466851754</v>
      </c>
      <c r="AL60" s="150">
        <f t="shared" si="12"/>
        <v>2.697</v>
      </c>
      <c r="AM60" s="150">
        <f t="shared" si="13"/>
        <v>121.87525466851754</v>
      </c>
      <c r="AN60" s="150">
        <f t="shared" si="14"/>
        <v>119.102</v>
      </c>
      <c r="AO60" s="151">
        <f t="shared" si="15"/>
        <v>0</v>
      </c>
      <c r="AP60" s="138"/>
      <c r="AQ60" s="149">
        <v>0</v>
      </c>
      <c r="AR60" s="151">
        <f t="shared" si="16"/>
        <v>119.102</v>
      </c>
    </row>
    <row r="61" spans="1:44" ht="12.75">
      <c r="A61" s="139" t="s">
        <v>268</v>
      </c>
      <c r="B61" s="140">
        <v>10186</v>
      </c>
      <c r="C61" s="141" t="s">
        <v>269</v>
      </c>
      <c r="D61" s="142">
        <v>340</v>
      </c>
      <c r="E61" s="143">
        <v>20.217</v>
      </c>
      <c r="F61" s="144">
        <v>0</v>
      </c>
      <c r="G61" s="144">
        <v>0.079</v>
      </c>
      <c r="H61" s="144">
        <v>0</v>
      </c>
      <c r="I61" s="144">
        <v>0</v>
      </c>
      <c r="J61" s="144">
        <f t="shared" si="0"/>
        <v>20.296</v>
      </c>
      <c r="K61" s="144">
        <v>0.012</v>
      </c>
      <c r="L61" s="145">
        <f t="shared" si="1"/>
        <v>20.308</v>
      </c>
      <c r="M61" s="143">
        <v>20.443</v>
      </c>
      <c r="N61" s="144">
        <v>0</v>
      </c>
      <c r="O61" s="144">
        <v>0.023</v>
      </c>
      <c r="P61" s="144">
        <v>0</v>
      </c>
      <c r="Q61" s="144">
        <v>0</v>
      </c>
      <c r="R61" s="144">
        <f t="shared" si="2"/>
        <v>20.466</v>
      </c>
      <c r="S61" s="144">
        <v>0.017</v>
      </c>
      <c r="T61" s="145">
        <f t="shared" si="3"/>
        <v>20.483</v>
      </c>
      <c r="U61" s="146">
        <f t="shared" si="4"/>
        <v>20.396</v>
      </c>
      <c r="V61" s="143">
        <v>20.687</v>
      </c>
      <c r="W61" s="144">
        <v>0</v>
      </c>
      <c r="X61" s="144">
        <v>-0.054</v>
      </c>
      <c r="Y61" s="144">
        <v>0</v>
      </c>
      <c r="Z61" s="144">
        <v>0</v>
      </c>
      <c r="AA61" s="144">
        <f t="shared" si="5"/>
        <v>20.633000000000003</v>
      </c>
      <c r="AB61" s="144">
        <v>0.404</v>
      </c>
      <c r="AC61" s="145">
        <f t="shared" si="6"/>
        <v>21.037</v>
      </c>
      <c r="AD61" s="146">
        <f t="shared" si="7"/>
        <v>0</v>
      </c>
      <c r="AE61" s="146">
        <v>0</v>
      </c>
      <c r="AF61" s="147"/>
      <c r="AG61" s="143">
        <f t="shared" si="8"/>
        <v>20.633000000000003</v>
      </c>
      <c r="AH61" s="144">
        <f t="shared" si="17"/>
        <v>0</v>
      </c>
      <c r="AI61" s="144">
        <v>0</v>
      </c>
      <c r="AJ61" s="144">
        <f t="shared" si="10"/>
        <v>20.633000000000003</v>
      </c>
      <c r="AK61" s="144">
        <f t="shared" si="11"/>
        <v>21.73494668872439</v>
      </c>
      <c r="AL61" s="144">
        <f t="shared" si="12"/>
        <v>0.404</v>
      </c>
      <c r="AM61" s="144">
        <f t="shared" si="13"/>
        <v>22.13894668872439</v>
      </c>
      <c r="AN61" s="144">
        <f t="shared" si="14"/>
        <v>21.635</v>
      </c>
      <c r="AO61" s="145">
        <f t="shared" si="15"/>
        <v>0</v>
      </c>
      <c r="AP61" s="148"/>
      <c r="AQ61" s="143">
        <v>0</v>
      </c>
      <c r="AR61" s="145">
        <f t="shared" si="16"/>
        <v>21.635</v>
      </c>
    </row>
    <row r="62" spans="1:44" ht="12.75">
      <c r="A62" s="129" t="s">
        <v>270</v>
      </c>
      <c r="B62" s="130">
        <v>10191</v>
      </c>
      <c r="C62" s="131" t="s">
        <v>27</v>
      </c>
      <c r="D62" s="132">
        <v>241</v>
      </c>
      <c r="E62" s="149">
        <v>126.229</v>
      </c>
      <c r="F62" s="150">
        <v>0</v>
      </c>
      <c r="G62" s="150">
        <v>1.601</v>
      </c>
      <c r="H62" s="150">
        <v>0</v>
      </c>
      <c r="I62" s="150">
        <v>0</v>
      </c>
      <c r="J62" s="150">
        <f t="shared" si="0"/>
        <v>127.83</v>
      </c>
      <c r="K62" s="150">
        <v>0.051</v>
      </c>
      <c r="L62" s="151">
        <f t="shared" si="1"/>
        <v>127.881</v>
      </c>
      <c r="M62" s="149">
        <v>132.333</v>
      </c>
      <c r="N62" s="150">
        <v>0</v>
      </c>
      <c r="O62" s="150">
        <v>-1.518</v>
      </c>
      <c r="P62" s="150">
        <v>0</v>
      </c>
      <c r="Q62" s="150">
        <v>0</v>
      </c>
      <c r="R62" s="150">
        <f t="shared" si="2"/>
        <v>130.815</v>
      </c>
      <c r="S62" s="150">
        <v>0.183</v>
      </c>
      <c r="T62" s="151">
        <f t="shared" si="3"/>
        <v>130.998</v>
      </c>
      <c r="U62" s="152">
        <f t="shared" si="4"/>
        <v>129.44</v>
      </c>
      <c r="V62" s="149">
        <v>124.533</v>
      </c>
      <c r="W62" s="150">
        <v>0</v>
      </c>
      <c r="X62" s="150">
        <v>-0.921</v>
      </c>
      <c r="Y62" s="150">
        <v>0</v>
      </c>
      <c r="Z62" s="150">
        <v>0</v>
      </c>
      <c r="AA62" s="150">
        <f t="shared" si="5"/>
        <v>123.612</v>
      </c>
      <c r="AB62" s="150">
        <v>1.47</v>
      </c>
      <c r="AC62" s="151">
        <f t="shared" si="6"/>
        <v>125.082</v>
      </c>
      <c r="AD62" s="152">
        <f t="shared" si="7"/>
        <v>4.358000000000004</v>
      </c>
      <c r="AE62" s="152">
        <v>0</v>
      </c>
      <c r="AF62" s="137"/>
      <c r="AG62" s="149">
        <f t="shared" si="8"/>
        <v>123.612</v>
      </c>
      <c r="AH62" s="150">
        <f t="shared" si="17"/>
        <v>4.358000000000004</v>
      </c>
      <c r="AI62" s="150">
        <v>0</v>
      </c>
      <c r="AJ62" s="150">
        <f t="shared" si="10"/>
        <v>127.97</v>
      </c>
      <c r="AK62" s="150">
        <f t="shared" si="11"/>
        <v>134.80449414801822</v>
      </c>
      <c r="AL62" s="150">
        <f t="shared" si="12"/>
        <v>1.47</v>
      </c>
      <c r="AM62" s="150">
        <f t="shared" si="13"/>
        <v>136.27449414801822</v>
      </c>
      <c r="AN62" s="150">
        <f t="shared" si="14"/>
        <v>133.174</v>
      </c>
      <c r="AO62" s="151">
        <f t="shared" si="15"/>
        <v>4.535</v>
      </c>
      <c r="AP62" s="138"/>
      <c r="AQ62" s="149">
        <v>0</v>
      </c>
      <c r="AR62" s="151">
        <f t="shared" si="16"/>
        <v>133.174</v>
      </c>
    </row>
    <row r="63" spans="1:44" ht="12.75">
      <c r="A63" s="139" t="s">
        <v>271</v>
      </c>
      <c r="B63" s="140">
        <v>10197</v>
      </c>
      <c r="C63" s="141" t="s">
        <v>272</v>
      </c>
      <c r="D63" s="142">
        <v>341</v>
      </c>
      <c r="E63" s="143">
        <v>23.729</v>
      </c>
      <c r="F63" s="144">
        <v>0</v>
      </c>
      <c r="G63" s="144">
        <v>-0.036</v>
      </c>
      <c r="H63" s="144">
        <v>-17.27</v>
      </c>
      <c r="I63" s="144">
        <v>15.043</v>
      </c>
      <c r="J63" s="144">
        <f t="shared" si="0"/>
        <v>21.465999999999998</v>
      </c>
      <c r="K63" s="144">
        <v>0.001</v>
      </c>
      <c r="L63" s="145">
        <f t="shared" si="1"/>
        <v>21.467</v>
      </c>
      <c r="M63" s="143">
        <v>23.032</v>
      </c>
      <c r="N63" s="144">
        <v>0</v>
      </c>
      <c r="O63" s="144">
        <v>-0.06</v>
      </c>
      <c r="P63" s="144">
        <v>-16.291</v>
      </c>
      <c r="Q63" s="144">
        <v>15.342</v>
      </c>
      <c r="R63" s="144">
        <f t="shared" si="2"/>
        <v>22.023000000000003</v>
      </c>
      <c r="S63" s="144">
        <v>0.026</v>
      </c>
      <c r="T63" s="145">
        <f t="shared" si="3"/>
        <v>22.049</v>
      </c>
      <c r="U63" s="146">
        <f t="shared" si="4"/>
        <v>21.758</v>
      </c>
      <c r="V63" s="143">
        <v>20.614</v>
      </c>
      <c r="W63" s="144">
        <v>0</v>
      </c>
      <c r="X63" s="144">
        <v>0.011</v>
      </c>
      <c r="Y63" s="144">
        <v>-13.979</v>
      </c>
      <c r="Z63" s="144">
        <v>15.591</v>
      </c>
      <c r="AA63" s="144">
        <f t="shared" si="5"/>
        <v>22.237000000000002</v>
      </c>
      <c r="AB63" s="144">
        <v>0.205</v>
      </c>
      <c r="AC63" s="145">
        <f t="shared" si="6"/>
        <v>22.442</v>
      </c>
      <c r="AD63" s="146">
        <f t="shared" si="7"/>
        <v>0</v>
      </c>
      <c r="AE63" s="146">
        <v>0</v>
      </c>
      <c r="AF63" s="147"/>
      <c r="AG63" s="143">
        <f t="shared" si="8"/>
        <v>22.237000000000002</v>
      </c>
      <c r="AH63" s="144">
        <f t="shared" si="17"/>
        <v>0</v>
      </c>
      <c r="AI63" s="144">
        <v>0</v>
      </c>
      <c r="AJ63" s="144">
        <f t="shared" si="10"/>
        <v>22.237000000000002</v>
      </c>
      <c r="AK63" s="144">
        <f t="shared" si="11"/>
        <v>23.424611521211855</v>
      </c>
      <c r="AL63" s="144">
        <f t="shared" si="12"/>
        <v>0.205</v>
      </c>
      <c r="AM63" s="144">
        <f t="shared" si="13"/>
        <v>23.629611521211853</v>
      </c>
      <c r="AN63" s="144">
        <f t="shared" si="14"/>
        <v>23.092</v>
      </c>
      <c r="AO63" s="145">
        <f t="shared" si="15"/>
        <v>0</v>
      </c>
      <c r="AP63" s="148"/>
      <c r="AQ63" s="143">
        <v>0</v>
      </c>
      <c r="AR63" s="145">
        <f t="shared" si="16"/>
        <v>23.092</v>
      </c>
    </row>
    <row r="64" spans="1:44" ht="12.75">
      <c r="A64" s="129" t="s">
        <v>273</v>
      </c>
      <c r="B64" s="130">
        <v>10597</v>
      </c>
      <c r="C64" s="131" t="s">
        <v>274</v>
      </c>
      <c r="D64" s="132">
        <v>10597</v>
      </c>
      <c r="E64" s="149">
        <v>12.564</v>
      </c>
      <c r="F64" s="150">
        <v>0</v>
      </c>
      <c r="G64" s="150">
        <v>-0.088</v>
      </c>
      <c r="H64" s="150">
        <v>0</v>
      </c>
      <c r="I64" s="150">
        <v>0</v>
      </c>
      <c r="J64" s="150">
        <f t="shared" si="0"/>
        <v>12.476</v>
      </c>
      <c r="K64" s="150">
        <v>0.013</v>
      </c>
      <c r="L64" s="151">
        <f t="shared" si="1"/>
        <v>12.489</v>
      </c>
      <c r="M64" s="149">
        <v>12.227</v>
      </c>
      <c r="N64" s="150">
        <v>0</v>
      </c>
      <c r="O64" s="150">
        <v>-0.007</v>
      </c>
      <c r="P64" s="150">
        <v>0</v>
      </c>
      <c r="Q64" s="150">
        <v>0</v>
      </c>
      <c r="R64" s="150">
        <f t="shared" si="2"/>
        <v>12.22</v>
      </c>
      <c r="S64" s="150">
        <v>0.132</v>
      </c>
      <c r="T64" s="151">
        <f t="shared" si="3"/>
        <v>12.352</v>
      </c>
      <c r="U64" s="152">
        <f t="shared" si="4"/>
        <v>12.421</v>
      </c>
      <c r="V64" s="149">
        <v>12.445</v>
      </c>
      <c r="W64" s="150">
        <v>0</v>
      </c>
      <c r="X64" s="150">
        <v>0.102</v>
      </c>
      <c r="Y64" s="150">
        <v>0</v>
      </c>
      <c r="Z64" s="150">
        <v>0</v>
      </c>
      <c r="AA64" s="150">
        <f t="shared" si="5"/>
        <v>12.547</v>
      </c>
      <c r="AB64" s="150">
        <v>0.219</v>
      </c>
      <c r="AC64" s="151">
        <f t="shared" si="6"/>
        <v>12.766</v>
      </c>
      <c r="AD64" s="152">
        <f t="shared" si="7"/>
        <v>0</v>
      </c>
      <c r="AE64" s="152">
        <v>0</v>
      </c>
      <c r="AF64" s="137"/>
      <c r="AG64" s="149">
        <f t="shared" si="8"/>
        <v>12.547</v>
      </c>
      <c r="AH64" s="150">
        <f t="shared" si="17"/>
        <v>0</v>
      </c>
      <c r="AI64" s="150">
        <v>0</v>
      </c>
      <c r="AJ64" s="150">
        <f t="shared" si="10"/>
        <v>12.547</v>
      </c>
      <c r="AK64" s="150">
        <f t="shared" si="11"/>
        <v>13.217097664102404</v>
      </c>
      <c r="AL64" s="150">
        <f t="shared" si="12"/>
        <v>0.219</v>
      </c>
      <c r="AM64" s="150">
        <f t="shared" si="13"/>
        <v>13.436097664102403</v>
      </c>
      <c r="AN64" s="150">
        <f t="shared" si="14"/>
        <v>13.13</v>
      </c>
      <c r="AO64" s="151">
        <f t="shared" si="15"/>
        <v>0</v>
      </c>
      <c r="AP64" s="138"/>
      <c r="AQ64" s="149">
        <v>0</v>
      </c>
      <c r="AR64" s="151">
        <f t="shared" si="16"/>
        <v>13.13</v>
      </c>
    </row>
    <row r="65" spans="1:44" ht="12.75">
      <c r="A65" s="139" t="s">
        <v>275</v>
      </c>
      <c r="B65" s="140">
        <v>10076</v>
      </c>
      <c r="C65" s="141" t="s">
        <v>276</v>
      </c>
      <c r="D65" s="142">
        <v>150</v>
      </c>
      <c r="E65" s="143">
        <v>4.436</v>
      </c>
      <c r="F65" s="144">
        <v>0</v>
      </c>
      <c r="G65" s="144">
        <v>-0.013</v>
      </c>
      <c r="H65" s="144">
        <v>0</v>
      </c>
      <c r="I65" s="144">
        <v>0</v>
      </c>
      <c r="J65" s="144">
        <f t="shared" si="0"/>
        <v>4.423</v>
      </c>
      <c r="K65" s="144">
        <v>0.001</v>
      </c>
      <c r="L65" s="145">
        <f t="shared" si="1"/>
        <v>4.424</v>
      </c>
      <c r="M65" s="143">
        <v>4.658</v>
      </c>
      <c r="N65" s="144">
        <v>0</v>
      </c>
      <c r="O65" s="144">
        <v>-0.077</v>
      </c>
      <c r="P65" s="144">
        <v>0</v>
      </c>
      <c r="Q65" s="144">
        <v>0</v>
      </c>
      <c r="R65" s="144">
        <f t="shared" si="2"/>
        <v>4.581</v>
      </c>
      <c r="S65" s="144">
        <v>0.003</v>
      </c>
      <c r="T65" s="145">
        <f t="shared" si="3"/>
        <v>4.584</v>
      </c>
      <c r="U65" s="146">
        <f t="shared" si="4"/>
        <v>4.504</v>
      </c>
      <c r="V65" s="143">
        <v>4.774</v>
      </c>
      <c r="W65" s="144">
        <v>0</v>
      </c>
      <c r="X65" s="144">
        <v>-0.043</v>
      </c>
      <c r="Y65" s="144">
        <v>0</v>
      </c>
      <c r="Z65" s="144">
        <v>0</v>
      </c>
      <c r="AA65" s="144">
        <f t="shared" si="5"/>
        <v>4.731</v>
      </c>
      <c r="AB65" s="144">
        <v>0.019</v>
      </c>
      <c r="AC65" s="145">
        <f t="shared" si="6"/>
        <v>4.75</v>
      </c>
      <c r="AD65" s="146">
        <f t="shared" si="7"/>
        <v>0</v>
      </c>
      <c r="AE65" s="146">
        <v>0</v>
      </c>
      <c r="AF65" s="147"/>
      <c r="AG65" s="143">
        <f t="shared" si="8"/>
        <v>4.731</v>
      </c>
      <c r="AH65" s="144">
        <f t="shared" si="17"/>
        <v>0</v>
      </c>
      <c r="AI65" s="144">
        <v>0</v>
      </c>
      <c r="AJ65" s="144">
        <f t="shared" si="10"/>
        <v>4.731</v>
      </c>
      <c r="AK65" s="144">
        <f t="shared" si="11"/>
        <v>4.983668530235791</v>
      </c>
      <c r="AL65" s="144">
        <f t="shared" si="12"/>
        <v>0.019</v>
      </c>
      <c r="AM65" s="144">
        <f t="shared" si="13"/>
        <v>5.002668530235791</v>
      </c>
      <c r="AN65" s="144">
        <f t="shared" si="14"/>
        <v>4.889</v>
      </c>
      <c r="AO65" s="145">
        <f t="shared" si="15"/>
        <v>0</v>
      </c>
      <c r="AP65" s="148"/>
      <c r="AQ65" s="143">
        <v>0</v>
      </c>
      <c r="AR65" s="145">
        <f t="shared" si="16"/>
        <v>4.889</v>
      </c>
    </row>
    <row r="66" spans="1:44" ht="12.75">
      <c r="A66" s="129" t="s">
        <v>277</v>
      </c>
      <c r="B66" s="130">
        <v>10202</v>
      </c>
      <c r="C66" s="131" t="s">
        <v>278</v>
      </c>
      <c r="D66" s="132">
        <v>342</v>
      </c>
      <c r="E66" s="149">
        <v>12.562</v>
      </c>
      <c r="F66" s="150">
        <v>0</v>
      </c>
      <c r="G66" s="150">
        <v>-0.051</v>
      </c>
      <c r="H66" s="150">
        <v>0</v>
      </c>
      <c r="I66" s="150">
        <v>0</v>
      </c>
      <c r="J66" s="150">
        <f t="shared" si="0"/>
        <v>12.511</v>
      </c>
      <c r="K66" s="150">
        <v>0</v>
      </c>
      <c r="L66" s="151">
        <f t="shared" si="1"/>
        <v>12.511</v>
      </c>
      <c r="M66" s="149">
        <v>12.424</v>
      </c>
      <c r="N66" s="150">
        <v>0</v>
      </c>
      <c r="O66" s="150">
        <v>-0.188</v>
      </c>
      <c r="P66" s="150">
        <v>0</v>
      </c>
      <c r="Q66" s="150">
        <v>0</v>
      </c>
      <c r="R66" s="150">
        <f t="shared" si="2"/>
        <v>12.235999999999999</v>
      </c>
      <c r="S66" s="150">
        <v>0.066</v>
      </c>
      <c r="T66" s="151">
        <f t="shared" si="3"/>
        <v>12.302</v>
      </c>
      <c r="U66" s="152">
        <f t="shared" si="4"/>
        <v>12.407</v>
      </c>
      <c r="V66" s="149">
        <v>12.827</v>
      </c>
      <c r="W66" s="150">
        <v>0</v>
      </c>
      <c r="X66" s="150">
        <v>-0.044</v>
      </c>
      <c r="Y66" s="150">
        <v>0</v>
      </c>
      <c r="Z66" s="150">
        <v>0</v>
      </c>
      <c r="AA66" s="150">
        <f t="shared" si="5"/>
        <v>12.783</v>
      </c>
      <c r="AB66" s="150">
        <v>0.138</v>
      </c>
      <c r="AC66" s="151">
        <f t="shared" si="6"/>
        <v>12.921</v>
      </c>
      <c r="AD66" s="152">
        <f t="shared" si="7"/>
        <v>0</v>
      </c>
      <c r="AE66" s="152">
        <v>0</v>
      </c>
      <c r="AF66" s="137"/>
      <c r="AG66" s="149">
        <f t="shared" si="8"/>
        <v>12.783</v>
      </c>
      <c r="AH66" s="150">
        <f t="shared" si="17"/>
        <v>0</v>
      </c>
      <c r="AI66" s="150">
        <v>0</v>
      </c>
      <c r="AJ66" s="150">
        <f t="shared" si="10"/>
        <v>12.783</v>
      </c>
      <c r="AK66" s="150">
        <f t="shared" si="11"/>
        <v>13.465701716762654</v>
      </c>
      <c r="AL66" s="150">
        <f t="shared" si="12"/>
        <v>0.138</v>
      </c>
      <c r="AM66" s="150">
        <f t="shared" si="13"/>
        <v>13.603701716762654</v>
      </c>
      <c r="AN66" s="150">
        <f t="shared" si="14"/>
        <v>13.294</v>
      </c>
      <c r="AO66" s="151">
        <f t="shared" si="15"/>
        <v>0</v>
      </c>
      <c r="AP66" s="138"/>
      <c r="AQ66" s="149">
        <v>0</v>
      </c>
      <c r="AR66" s="151">
        <f t="shared" si="16"/>
        <v>13.294</v>
      </c>
    </row>
    <row r="67" spans="1:44" ht="12.75">
      <c r="A67" s="139" t="s">
        <v>279</v>
      </c>
      <c r="B67" s="140">
        <v>10204</v>
      </c>
      <c r="C67" s="141" t="s">
        <v>28</v>
      </c>
      <c r="D67" s="142">
        <v>152</v>
      </c>
      <c r="E67" s="143">
        <v>82.891</v>
      </c>
      <c r="F67" s="144">
        <v>0</v>
      </c>
      <c r="G67" s="144">
        <v>-0.226</v>
      </c>
      <c r="H67" s="144">
        <v>0</v>
      </c>
      <c r="I67" s="144">
        <v>0</v>
      </c>
      <c r="J67" s="144">
        <f t="shared" si="0"/>
        <v>82.665</v>
      </c>
      <c r="K67" s="144">
        <v>0.057</v>
      </c>
      <c r="L67" s="145">
        <f t="shared" si="1"/>
        <v>82.722</v>
      </c>
      <c r="M67" s="143">
        <v>84.995</v>
      </c>
      <c r="N67" s="144">
        <v>0</v>
      </c>
      <c r="O67" s="144">
        <v>-1.372</v>
      </c>
      <c r="P67" s="144">
        <v>0</v>
      </c>
      <c r="Q67" s="144">
        <v>0</v>
      </c>
      <c r="R67" s="144">
        <f t="shared" si="2"/>
        <v>83.623</v>
      </c>
      <c r="S67" s="144">
        <v>0.377</v>
      </c>
      <c r="T67" s="145">
        <f t="shared" si="3"/>
        <v>84</v>
      </c>
      <c r="U67" s="146">
        <f t="shared" si="4"/>
        <v>83.361</v>
      </c>
      <c r="V67" s="143">
        <v>83.347</v>
      </c>
      <c r="W67" s="144">
        <v>0</v>
      </c>
      <c r="X67" s="144">
        <v>-0.436</v>
      </c>
      <c r="Y67" s="144">
        <v>0</v>
      </c>
      <c r="Z67" s="144">
        <v>0</v>
      </c>
      <c r="AA67" s="144">
        <f t="shared" si="5"/>
        <v>82.91099999999999</v>
      </c>
      <c r="AB67" s="144">
        <v>1.387</v>
      </c>
      <c r="AC67" s="145">
        <f t="shared" si="6"/>
        <v>84.298</v>
      </c>
      <c r="AD67" s="146">
        <f t="shared" si="7"/>
        <v>0</v>
      </c>
      <c r="AE67" s="146">
        <v>0</v>
      </c>
      <c r="AF67" s="147"/>
      <c r="AG67" s="143">
        <f t="shared" si="8"/>
        <v>82.91099999999999</v>
      </c>
      <c r="AH67" s="144">
        <f t="shared" si="17"/>
        <v>0</v>
      </c>
      <c r="AI67" s="144">
        <v>-5.794</v>
      </c>
      <c r="AJ67" s="144">
        <f t="shared" si="10"/>
        <v>77.11699999999999</v>
      </c>
      <c r="AK67" s="144">
        <f t="shared" si="11"/>
        <v>81.23558783474813</v>
      </c>
      <c r="AL67" s="144">
        <f t="shared" si="12"/>
        <v>1.387</v>
      </c>
      <c r="AM67" s="144">
        <f t="shared" si="13"/>
        <v>82.62258783474813</v>
      </c>
      <c r="AN67" s="144">
        <f t="shared" si="14"/>
        <v>80.743</v>
      </c>
      <c r="AO67" s="145">
        <f t="shared" si="15"/>
        <v>0</v>
      </c>
      <c r="AP67" s="148"/>
      <c r="AQ67" s="143">
        <v>0</v>
      </c>
      <c r="AR67" s="145">
        <f t="shared" si="16"/>
        <v>80.743</v>
      </c>
    </row>
    <row r="68" spans="1:44" ht="12.75">
      <c r="A68" s="129" t="s">
        <v>280</v>
      </c>
      <c r="B68" s="130">
        <v>10203</v>
      </c>
      <c r="C68" s="131" t="s">
        <v>281</v>
      </c>
      <c r="D68" s="132">
        <v>345</v>
      </c>
      <c r="E68" s="149">
        <v>5.778</v>
      </c>
      <c r="F68" s="150">
        <v>0</v>
      </c>
      <c r="G68" s="150">
        <v>0.012</v>
      </c>
      <c r="H68" s="150">
        <v>-0.025</v>
      </c>
      <c r="I68" s="150">
        <v>0.018</v>
      </c>
      <c r="J68" s="150">
        <f t="shared" si="0"/>
        <v>5.782999999999999</v>
      </c>
      <c r="K68" s="150">
        <v>0</v>
      </c>
      <c r="L68" s="151">
        <f t="shared" si="1"/>
        <v>5.783</v>
      </c>
      <c r="M68" s="149">
        <v>6.031</v>
      </c>
      <c r="N68" s="150">
        <v>0</v>
      </c>
      <c r="O68" s="150">
        <v>-0.054</v>
      </c>
      <c r="P68" s="150">
        <v>-0.016</v>
      </c>
      <c r="Q68" s="150">
        <v>0.018</v>
      </c>
      <c r="R68" s="150">
        <f t="shared" si="2"/>
        <v>5.978999999999999</v>
      </c>
      <c r="S68" s="150">
        <v>0.044</v>
      </c>
      <c r="T68" s="151">
        <f t="shared" si="3"/>
        <v>6.023</v>
      </c>
      <c r="U68" s="152">
        <f t="shared" si="4"/>
        <v>5.903</v>
      </c>
      <c r="V68" s="149">
        <v>6.053</v>
      </c>
      <c r="W68" s="150">
        <v>0</v>
      </c>
      <c r="X68" s="150">
        <v>0.008</v>
      </c>
      <c r="Y68" s="150">
        <v>-0.014</v>
      </c>
      <c r="Z68" s="150">
        <v>0.018</v>
      </c>
      <c r="AA68" s="150">
        <f t="shared" si="5"/>
        <v>6.0649999999999995</v>
      </c>
      <c r="AB68" s="150">
        <v>0.064</v>
      </c>
      <c r="AC68" s="151">
        <f t="shared" si="6"/>
        <v>6.129</v>
      </c>
      <c r="AD68" s="152">
        <f t="shared" si="7"/>
        <v>0</v>
      </c>
      <c r="AE68" s="152">
        <v>0</v>
      </c>
      <c r="AF68" s="137"/>
      <c r="AG68" s="149">
        <f t="shared" si="8"/>
        <v>6.0649999999999995</v>
      </c>
      <c r="AH68" s="150">
        <f t="shared" si="17"/>
        <v>0</v>
      </c>
      <c r="AI68" s="150">
        <v>0</v>
      </c>
      <c r="AJ68" s="150">
        <f t="shared" si="10"/>
        <v>6.0649999999999995</v>
      </c>
      <c r="AK68" s="150">
        <f t="shared" si="11"/>
        <v>6.388913471967886</v>
      </c>
      <c r="AL68" s="150">
        <f t="shared" si="12"/>
        <v>0.064</v>
      </c>
      <c r="AM68" s="150">
        <f t="shared" si="13"/>
        <v>6.452913471967886</v>
      </c>
      <c r="AN68" s="150">
        <f t="shared" si="14"/>
        <v>6.306</v>
      </c>
      <c r="AO68" s="151">
        <f t="shared" si="15"/>
        <v>0</v>
      </c>
      <c r="AP68" s="138"/>
      <c r="AQ68" s="149">
        <v>0</v>
      </c>
      <c r="AR68" s="151">
        <f t="shared" si="16"/>
        <v>6.306</v>
      </c>
    </row>
    <row r="69" spans="1:44" ht="12.75">
      <c r="A69" s="139" t="s">
        <v>282</v>
      </c>
      <c r="B69" s="140">
        <v>10209</v>
      </c>
      <c r="C69" s="141" t="s">
        <v>283</v>
      </c>
      <c r="D69" s="142">
        <v>348</v>
      </c>
      <c r="E69" s="143">
        <v>99.411</v>
      </c>
      <c r="F69" s="144">
        <v>0</v>
      </c>
      <c r="G69" s="144">
        <v>-0.232</v>
      </c>
      <c r="H69" s="144">
        <v>-9.665</v>
      </c>
      <c r="I69" s="144">
        <v>9.628</v>
      </c>
      <c r="J69" s="144">
        <f t="shared" si="0"/>
        <v>99.14200000000001</v>
      </c>
      <c r="K69" s="144">
        <v>0.112</v>
      </c>
      <c r="L69" s="145">
        <f t="shared" si="1"/>
        <v>99.254</v>
      </c>
      <c r="M69" s="143">
        <v>102.851</v>
      </c>
      <c r="N69" s="144">
        <v>0</v>
      </c>
      <c r="O69" s="144">
        <v>-2.113</v>
      </c>
      <c r="P69" s="144">
        <v>-9.96</v>
      </c>
      <c r="Q69" s="144">
        <v>9.688</v>
      </c>
      <c r="R69" s="144">
        <f t="shared" si="2"/>
        <v>100.466</v>
      </c>
      <c r="S69" s="144">
        <v>0.34</v>
      </c>
      <c r="T69" s="145">
        <f t="shared" si="3"/>
        <v>100.806</v>
      </c>
      <c r="U69" s="146">
        <f t="shared" si="4"/>
        <v>100.03</v>
      </c>
      <c r="V69" s="143">
        <v>102.721</v>
      </c>
      <c r="W69" s="144">
        <v>0</v>
      </c>
      <c r="X69" s="144">
        <v>0.948</v>
      </c>
      <c r="Y69" s="144">
        <v>-9.214</v>
      </c>
      <c r="Z69" s="144">
        <v>9.62</v>
      </c>
      <c r="AA69" s="144">
        <f t="shared" si="5"/>
        <v>104.075</v>
      </c>
      <c r="AB69" s="144">
        <v>2.261</v>
      </c>
      <c r="AC69" s="145">
        <f t="shared" si="6"/>
        <v>106.336</v>
      </c>
      <c r="AD69" s="146">
        <f t="shared" si="7"/>
        <v>0</v>
      </c>
      <c r="AE69" s="146">
        <v>0</v>
      </c>
      <c r="AF69" s="147"/>
      <c r="AG69" s="143">
        <f t="shared" si="8"/>
        <v>104.075</v>
      </c>
      <c r="AH69" s="144">
        <f t="shared" si="17"/>
        <v>0</v>
      </c>
      <c r="AI69" s="144">
        <v>0</v>
      </c>
      <c r="AJ69" s="144">
        <f t="shared" si="10"/>
        <v>104.075</v>
      </c>
      <c r="AK69" s="144">
        <f t="shared" si="11"/>
        <v>109.63333381616782</v>
      </c>
      <c r="AL69" s="144">
        <f t="shared" si="12"/>
        <v>2.261</v>
      </c>
      <c r="AM69" s="144">
        <f t="shared" si="13"/>
        <v>111.89433381616782</v>
      </c>
      <c r="AN69" s="144">
        <f t="shared" si="14"/>
        <v>109.349</v>
      </c>
      <c r="AO69" s="145">
        <f t="shared" si="15"/>
        <v>0</v>
      </c>
      <c r="AP69" s="148"/>
      <c r="AQ69" s="143">
        <v>0</v>
      </c>
      <c r="AR69" s="145">
        <f t="shared" si="16"/>
        <v>109.349</v>
      </c>
    </row>
    <row r="70" spans="1:44" ht="12.75">
      <c r="A70" s="129" t="s">
        <v>284</v>
      </c>
      <c r="B70" s="130">
        <v>10230</v>
      </c>
      <c r="C70" s="131" t="s">
        <v>285</v>
      </c>
      <c r="D70" s="132">
        <v>246</v>
      </c>
      <c r="E70" s="149">
        <v>9.054</v>
      </c>
      <c r="F70" s="150">
        <v>0</v>
      </c>
      <c r="G70" s="150">
        <v>-0.125</v>
      </c>
      <c r="H70" s="150">
        <v>-0.941</v>
      </c>
      <c r="I70" s="150">
        <v>0.868</v>
      </c>
      <c r="J70" s="150">
        <f t="shared" si="0"/>
        <v>8.856</v>
      </c>
      <c r="K70" s="150">
        <v>0</v>
      </c>
      <c r="L70" s="151">
        <f t="shared" si="1"/>
        <v>8.856</v>
      </c>
      <c r="M70" s="149">
        <v>9.28</v>
      </c>
      <c r="N70" s="150">
        <v>0</v>
      </c>
      <c r="O70" s="150">
        <v>-0.161</v>
      </c>
      <c r="P70" s="150">
        <v>-0.99</v>
      </c>
      <c r="Q70" s="150">
        <v>0.874</v>
      </c>
      <c r="R70" s="150">
        <f t="shared" si="2"/>
        <v>9.003</v>
      </c>
      <c r="S70" s="150">
        <v>0.001</v>
      </c>
      <c r="T70" s="151">
        <f t="shared" si="3"/>
        <v>9.004</v>
      </c>
      <c r="U70" s="152">
        <f t="shared" si="4"/>
        <v>8.93</v>
      </c>
      <c r="V70" s="149">
        <v>10.2</v>
      </c>
      <c r="W70" s="150">
        <v>0</v>
      </c>
      <c r="X70" s="150">
        <v>0.032</v>
      </c>
      <c r="Y70" s="150">
        <v>-0.766</v>
      </c>
      <c r="Z70" s="150">
        <v>0.868</v>
      </c>
      <c r="AA70" s="150">
        <f t="shared" si="5"/>
        <v>10.334</v>
      </c>
      <c r="AB70" s="150">
        <v>0.147</v>
      </c>
      <c r="AC70" s="151">
        <f t="shared" si="6"/>
        <v>10.481</v>
      </c>
      <c r="AD70" s="152">
        <f t="shared" si="7"/>
        <v>0</v>
      </c>
      <c r="AE70" s="152">
        <v>0</v>
      </c>
      <c r="AF70" s="137"/>
      <c r="AG70" s="149">
        <f t="shared" si="8"/>
        <v>10.334</v>
      </c>
      <c r="AH70" s="150">
        <f t="shared" si="17"/>
        <v>0</v>
      </c>
      <c r="AI70" s="150">
        <v>-0.908</v>
      </c>
      <c r="AJ70" s="150">
        <f t="shared" si="10"/>
        <v>9.426</v>
      </c>
      <c r="AK70" s="150">
        <f t="shared" si="11"/>
        <v>9.929414408370866</v>
      </c>
      <c r="AL70" s="150">
        <f t="shared" si="12"/>
        <v>0.147</v>
      </c>
      <c r="AM70" s="150">
        <f t="shared" si="13"/>
        <v>10.076414408370866</v>
      </c>
      <c r="AN70" s="150">
        <f t="shared" si="14"/>
        <v>9.847</v>
      </c>
      <c r="AO70" s="151">
        <f t="shared" si="15"/>
        <v>0</v>
      </c>
      <c r="AP70" s="138"/>
      <c r="AQ70" s="149">
        <v>0</v>
      </c>
      <c r="AR70" s="151">
        <f t="shared" si="16"/>
        <v>9.847</v>
      </c>
    </row>
    <row r="71" spans="1:44" ht="12.75">
      <c r="A71" s="139" t="s">
        <v>286</v>
      </c>
      <c r="B71" s="140">
        <v>10231</v>
      </c>
      <c r="C71" s="141" t="s">
        <v>29</v>
      </c>
      <c r="D71" s="142">
        <v>250</v>
      </c>
      <c r="E71" s="143">
        <v>36.839</v>
      </c>
      <c r="F71" s="144">
        <v>0</v>
      </c>
      <c r="G71" s="144">
        <v>-0.163</v>
      </c>
      <c r="H71" s="144">
        <v>-3.442</v>
      </c>
      <c r="I71" s="144">
        <v>3.58</v>
      </c>
      <c r="J71" s="144">
        <f t="shared" si="0"/>
        <v>36.814</v>
      </c>
      <c r="K71" s="144">
        <v>0.039</v>
      </c>
      <c r="L71" s="145">
        <f t="shared" si="1"/>
        <v>36.853</v>
      </c>
      <c r="M71" s="143">
        <v>38.648</v>
      </c>
      <c r="N71" s="144">
        <v>0</v>
      </c>
      <c r="O71" s="144">
        <v>-0.426</v>
      </c>
      <c r="P71" s="144">
        <v>-3.697</v>
      </c>
      <c r="Q71" s="144">
        <v>3.58</v>
      </c>
      <c r="R71" s="144">
        <f t="shared" si="2"/>
        <v>38.105</v>
      </c>
      <c r="S71" s="144">
        <v>0.087</v>
      </c>
      <c r="T71" s="145">
        <f t="shared" si="3"/>
        <v>38.192</v>
      </c>
      <c r="U71" s="146">
        <f t="shared" si="4"/>
        <v>37.523</v>
      </c>
      <c r="V71" s="143">
        <v>39.926</v>
      </c>
      <c r="W71" s="144">
        <v>0</v>
      </c>
      <c r="X71" s="144">
        <v>0.008</v>
      </c>
      <c r="Y71" s="144">
        <v>-3.271</v>
      </c>
      <c r="Z71" s="144">
        <v>3.591</v>
      </c>
      <c r="AA71" s="144">
        <f t="shared" si="5"/>
        <v>40.254000000000005</v>
      </c>
      <c r="AB71" s="144">
        <v>0.323</v>
      </c>
      <c r="AC71" s="145">
        <f t="shared" si="6"/>
        <v>40.577</v>
      </c>
      <c r="AD71" s="146">
        <f t="shared" si="7"/>
        <v>0</v>
      </c>
      <c r="AE71" s="146">
        <v>0</v>
      </c>
      <c r="AF71" s="147"/>
      <c r="AG71" s="143">
        <f t="shared" si="8"/>
        <v>40.254000000000005</v>
      </c>
      <c r="AH71" s="144">
        <f t="shared" si="17"/>
        <v>0</v>
      </c>
      <c r="AI71" s="144">
        <v>-4.4190000000000005</v>
      </c>
      <c r="AJ71" s="144">
        <f t="shared" si="10"/>
        <v>35.83500000000001</v>
      </c>
      <c r="AK71" s="144">
        <f t="shared" si="11"/>
        <v>37.748839945254616</v>
      </c>
      <c r="AL71" s="144">
        <f t="shared" si="12"/>
        <v>0.323</v>
      </c>
      <c r="AM71" s="144">
        <f t="shared" si="13"/>
        <v>38.07183994525462</v>
      </c>
      <c r="AN71" s="144">
        <f t="shared" si="14"/>
        <v>37.206</v>
      </c>
      <c r="AO71" s="145">
        <f t="shared" si="15"/>
        <v>0</v>
      </c>
      <c r="AP71" s="148"/>
      <c r="AQ71" s="143">
        <v>0</v>
      </c>
      <c r="AR71" s="145">
        <f t="shared" si="16"/>
        <v>37.206</v>
      </c>
    </row>
    <row r="72" spans="1:44" ht="12.75">
      <c r="A72" s="129" t="s">
        <v>287</v>
      </c>
      <c r="B72" s="130">
        <v>10234</v>
      </c>
      <c r="C72" s="131" t="s">
        <v>288</v>
      </c>
      <c r="D72" s="132">
        <v>351</v>
      </c>
      <c r="E72" s="149">
        <v>49.056</v>
      </c>
      <c r="F72" s="150">
        <v>0</v>
      </c>
      <c r="G72" s="150">
        <v>-0.839</v>
      </c>
      <c r="H72" s="150">
        <v>0</v>
      </c>
      <c r="I72" s="150">
        <v>0</v>
      </c>
      <c r="J72" s="150">
        <f t="shared" si="0"/>
        <v>48.217</v>
      </c>
      <c r="K72" s="150">
        <v>0.051</v>
      </c>
      <c r="L72" s="151">
        <f t="shared" si="1"/>
        <v>48.268</v>
      </c>
      <c r="M72" s="149">
        <v>49.652</v>
      </c>
      <c r="N72" s="150">
        <v>0</v>
      </c>
      <c r="O72" s="150">
        <v>-1.316</v>
      </c>
      <c r="P72" s="150">
        <v>0</v>
      </c>
      <c r="Q72" s="150">
        <v>0</v>
      </c>
      <c r="R72" s="150">
        <f t="shared" si="2"/>
        <v>48.336</v>
      </c>
      <c r="S72" s="150">
        <v>0.377</v>
      </c>
      <c r="T72" s="151">
        <f t="shared" si="3"/>
        <v>48.713</v>
      </c>
      <c r="U72" s="152">
        <f t="shared" si="4"/>
        <v>48.491</v>
      </c>
      <c r="V72" s="149">
        <v>49.332</v>
      </c>
      <c r="W72" s="150">
        <v>0</v>
      </c>
      <c r="X72" s="150">
        <v>-0.164</v>
      </c>
      <c r="Y72" s="150">
        <v>0</v>
      </c>
      <c r="Z72" s="150">
        <v>0</v>
      </c>
      <c r="AA72" s="150">
        <f t="shared" si="5"/>
        <v>49.168</v>
      </c>
      <c r="AB72" s="150">
        <v>1.171</v>
      </c>
      <c r="AC72" s="151">
        <f t="shared" si="6"/>
        <v>50.339</v>
      </c>
      <c r="AD72" s="152">
        <f t="shared" si="7"/>
        <v>0</v>
      </c>
      <c r="AE72" s="152">
        <v>0</v>
      </c>
      <c r="AF72" s="137"/>
      <c r="AG72" s="149">
        <f t="shared" si="8"/>
        <v>49.168</v>
      </c>
      <c r="AH72" s="150">
        <f t="shared" si="17"/>
        <v>0</v>
      </c>
      <c r="AI72" s="150">
        <v>0</v>
      </c>
      <c r="AJ72" s="150">
        <f t="shared" si="10"/>
        <v>49.168</v>
      </c>
      <c r="AK72" s="150">
        <f t="shared" si="11"/>
        <v>51.79391551355598</v>
      </c>
      <c r="AL72" s="150">
        <f t="shared" si="12"/>
        <v>1.171</v>
      </c>
      <c r="AM72" s="150">
        <f t="shared" si="13"/>
        <v>52.96491551355598</v>
      </c>
      <c r="AN72" s="150">
        <f t="shared" si="14"/>
        <v>51.76</v>
      </c>
      <c r="AO72" s="151">
        <f t="shared" si="15"/>
        <v>0</v>
      </c>
      <c r="AP72" s="138"/>
      <c r="AQ72" s="149">
        <v>0</v>
      </c>
      <c r="AR72" s="151">
        <f t="shared" si="16"/>
        <v>51.76</v>
      </c>
    </row>
    <row r="73" spans="1:44" ht="12.75">
      <c r="A73" s="139" t="s">
        <v>289</v>
      </c>
      <c r="B73" s="140">
        <v>10235</v>
      </c>
      <c r="C73" s="141" t="s">
        <v>30</v>
      </c>
      <c r="D73" s="142">
        <v>353</v>
      </c>
      <c r="E73" s="143">
        <v>32.701</v>
      </c>
      <c r="F73" s="144">
        <v>0</v>
      </c>
      <c r="G73" s="144">
        <v>-0.259</v>
      </c>
      <c r="H73" s="144">
        <v>0</v>
      </c>
      <c r="I73" s="144">
        <v>0</v>
      </c>
      <c r="J73" s="144">
        <f t="shared" si="0"/>
        <v>32.442</v>
      </c>
      <c r="K73" s="144">
        <v>0.156</v>
      </c>
      <c r="L73" s="145">
        <f t="shared" si="1"/>
        <v>32.598</v>
      </c>
      <c r="M73" s="143">
        <v>33.771</v>
      </c>
      <c r="N73" s="144">
        <v>0</v>
      </c>
      <c r="O73" s="144">
        <v>-0.732</v>
      </c>
      <c r="P73" s="144">
        <v>0</v>
      </c>
      <c r="Q73" s="144">
        <v>0</v>
      </c>
      <c r="R73" s="144">
        <f t="shared" si="2"/>
        <v>33.039</v>
      </c>
      <c r="S73" s="144">
        <v>0.168</v>
      </c>
      <c r="T73" s="145">
        <f t="shared" si="3"/>
        <v>33.207</v>
      </c>
      <c r="U73" s="146">
        <f t="shared" si="4"/>
        <v>32.903</v>
      </c>
      <c r="V73" s="143">
        <v>31.771</v>
      </c>
      <c r="W73" s="144">
        <v>0</v>
      </c>
      <c r="X73" s="144">
        <v>0.282</v>
      </c>
      <c r="Y73" s="144">
        <v>0</v>
      </c>
      <c r="Z73" s="144">
        <v>0</v>
      </c>
      <c r="AA73" s="144">
        <f t="shared" si="5"/>
        <v>32.053</v>
      </c>
      <c r="AB73" s="144">
        <v>0.629</v>
      </c>
      <c r="AC73" s="145">
        <f t="shared" si="6"/>
        <v>32.682</v>
      </c>
      <c r="AD73" s="146">
        <f t="shared" si="7"/>
        <v>0.22099999999999653</v>
      </c>
      <c r="AE73" s="146">
        <v>0</v>
      </c>
      <c r="AF73" s="147"/>
      <c r="AG73" s="143">
        <f t="shared" si="8"/>
        <v>32.053</v>
      </c>
      <c r="AH73" s="144">
        <f t="shared" si="17"/>
        <v>0.22099999999999653</v>
      </c>
      <c r="AI73" s="144">
        <v>0</v>
      </c>
      <c r="AJ73" s="144">
        <f t="shared" si="10"/>
        <v>32.273999999999994</v>
      </c>
      <c r="AK73" s="144">
        <f t="shared" si="11"/>
        <v>33.997657608292094</v>
      </c>
      <c r="AL73" s="144">
        <f t="shared" si="12"/>
        <v>0.629</v>
      </c>
      <c r="AM73" s="144">
        <f t="shared" si="13"/>
        <v>34.62665760829209</v>
      </c>
      <c r="AN73" s="144">
        <f t="shared" si="14"/>
        <v>33.839</v>
      </c>
      <c r="AO73" s="145">
        <f t="shared" si="15"/>
        <v>0.232</v>
      </c>
      <c r="AP73" s="148"/>
      <c r="AQ73" s="143">
        <v>0</v>
      </c>
      <c r="AR73" s="145">
        <f t="shared" si="16"/>
        <v>33.839</v>
      </c>
    </row>
    <row r="74" spans="1:44" ht="12.75">
      <c r="A74" s="129" t="s">
        <v>290</v>
      </c>
      <c r="B74" s="130">
        <v>10236</v>
      </c>
      <c r="C74" s="131" t="s">
        <v>291</v>
      </c>
      <c r="D74" s="132">
        <v>354</v>
      </c>
      <c r="E74" s="149">
        <v>28.55</v>
      </c>
      <c r="F74" s="150">
        <v>0</v>
      </c>
      <c r="G74" s="150">
        <v>-0.256</v>
      </c>
      <c r="H74" s="150">
        <v>0</v>
      </c>
      <c r="I74" s="150">
        <v>0</v>
      </c>
      <c r="J74" s="150">
        <f t="shared" si="0"/>
        <v>28.294</v>
      </c>
      <c r="K74" s="150">
        <v>0.051</v>
      </c>
      <c r="L74" s="151">
        <f t="shared" si="1"/>
        <v>28.345</v>
      </c>
      <c r="M74" s="149">
        <v>30.114</v>
      </c>
      <c r="N74" s="150">
        <v>0</v>
      </c>
      <c r="O74" s="150">
        <v>-1.264</v>
      </c>
      <c r="P74" s="150">
        <v>0</v>
      </c>
      <c r="Q74" s="150">
        <v>0</v>
      </c>
      <c r="R74" s="150">
        <f t="shared" si="2"/>
        <v>28.85</v>
      </c>
      <c r="S74" s="150">
        <v>0.117</v>
      </c>
      <c r="T74" s="151">
        <f t="shared" si="3"/>
        <v>28.967</v>
      </c>
      <c r="U74" s="152">
        <f t="shared" si="4"/>
        <v>28.656</v>
      </c>
      <c r="V74" s="149">
        <v>28.487</v>
      </c>
      <c r="W74" s="150">
        <v>0</v>
      </c>
      <c r="X74" s="150">
        <v>-0.054</v>
      </c>
      <c r="Y74" s="150">
        <v>0</v>
      </c>
      <c r="Z74" s="150">
        <v>0</v>
      </c>
      <c r="AA74" s="150">
        <f t="shared" si="5"/>
        <v>28.433</v>
      </c>
      <c r="AB74" s="150">
        <v>0.273</v>
      </c>
      <c r="AC74" s="151">
        <f t="shared" si="6"/>
        <v>28.706</v>
      </c>
      <c r="AD74" s="152">
        <f t="shared" si="7"/>
        <v>0</v>
      </c>
      <c r="AE74" s="152">
        <v>0</v>
      </c>
      <c r="AF74" s="137"/>
      <c r="AG74" s="149">
        <f t="shared" si="8"/>
        <v>28.433</v>
      </c>
      <c r="AH74" s="150">
        <f t="shared" si="17"/>
        <v>0</v>
      </c>
      <c r="AI74" s="150">
        <v>0</v>
      </c>
      <c r="AJ74" s="150">
        <f t="shared" si="10"/>
        <v>28.433</v>
      </c>
      <c r="AK74" s="150">
        <f t="shared" si="11"/>
        <v>29.951521310546234</v>
      </c>
      <c r="AL74" s="150">
        <f t="shared" si="12"/>
        <v>0.273</v>
      </c>
      <c r="AM74" s="150">
        <f t="shared" si="13"/>
        <v>30.224521310546233</v>
      </c>
      <c r="AN74" s="150">
        <f t="shared" si="14"/>
        <v>29.537</v>
      </c>
      <c r="AO74" s="151">
        <f t="shared" si="15"/>
        <v>0</v>
      </c>
      <c r="AP74" s="138"/>
      <c r="AQ74" s="149">
        <v>0</v>
      </c>
      <c r="AR74" s="151">
        <f t="shared" si="16"/>
        <v>29.537</v>
      </c>
    </row>
    <row r="75" spans="1:44" ht="12.75">
      <c r="A75" s="139" t="s">
        <v>292</v>
      </c>
      <c r="B75" s="140">
        <v>10237</v>
      </c>
      <c r="C75" s="141" t="s">
        <v>31</v>
      </c>
      <c r="D75" s="142">
        <v>253</v>
      </c>
      <c r="E75" s="143">
        <v>110.113</v>
      </c>
      <c r="F75" s="144">
        <v>0</v>
      </c>
      <c r="G75" s="144">
        <v>-0.1</v>
      </c>
      <c r="H75" s="144">
        <v>0</v>
      </c>
      <c r="I75" s="144">
        <v>0</v>
      </c>
      <c r="J75" s="144">
        <f t="shared" si="0"/>
        <v>110.013</v>
      </c>
      <c r="K75" s="144">
        <v>0.04</v>
      </c>
      <c r="L75" s="145">
        <f t="shared" si="1"/>
        <v>110.053</v>
      </c>
      <c r="M75" s="143">
        <v>115.932</v>
      </c>
      <c r="N75" s="144">
        <v>0</v>
      </c>
      <c r="O75" s="144">
        <v>-1.59</v>
      </c>
      <c r="P75" s="144">
        <v>0</v>
      </c>
      <c r="Q75" s="144">
        <v>0</v>
      </c>
      <c r="R75" s="144">
        <f t="shared" si="2"/>
        <v>114.342</v>
      </c>
      <c r="S75" s="144">
        <v>0.393</v>
      </c>
      <c r="T75" s="145">
        <f t="shared" si="3"/>
        <v>114.735</v>
      </c>
      <c r="U75" s="146">
        <f t="shared" si="4"/>
        <v>112.394</v>
      </c>
      <c r="V75" s="143">
        <v>111.698</v>
      </c>
      <c r="W75" s="144">
        <v>0</v>
      </c>
      <c r="X75" s="144">
        <v>-0.085</v>
      </c>
      <c r="Y75" s="144">
        <v>0</v>
      </c>
      <c r="Z75" s="144">
        <v>0</v>
      </c>
      <c r="AA75" s="144">
        <f t="shared" si="5"/>
        <v>111.613</v>
      </c>
      <c r="AB75" s="144">
        <v>1.528</v>
      </c>
      <c r="AC75" s="145">
        <f t="shared" si="6"/>
        <v>113.141</v>
      </c>
      <c r="AD75" s="146">
        <f t="shared" si="7"/>
        <v>0</v>
      </c>
      <c r="AE75" s="146">
        <v>0</v>
      </c>
      <c r="AF75" s="147"/>
      <c r="AG75" s="143">
        <f t="shared" si="8"/>
        <v>111.613</v>
      </c>
      <c r="AH75" s="144">
        <f t="shared" si="17"/>
        <v>0</v>
      </c>
      <c r="AI75" s="144">
        <v>-0.936</v>
      </c>
      <c r="AJ75" s="144">
        <f t="shared" si="10"/>
        <v>110.67699999999999</v>
      </c>
      <c r="AK75" s="144">
        <f t="shared" si="11"/>
        <v>116.58792684863805</v>
      </c>
      <c r="AL75" s="144">
        <f t="shared" si="12"/>
        <v>1.528</v>
      </c>
      <c r="AM75" s="144">
        <f t="shared" si="13"/>
        <v>118.11592684863805</v>
      </c>
      <c r="AN75" s="144">
        <f t="shared" si="14"/>
        <v>115.429</v>
      </c>
      <c r="AO75" s="145">
        <f t="shared" si="15"/>
        <v>0</v>
      </c>
      <c r="AP75" s="148"/>
      <c r="AQ75" s="143">
        <v>0</v>
      </c>
      <c r="AR75" s="145">
        <f t="shared" si="16"/>
        <v>115.429</v>
      </c>
    </row>
    <row r="76" spans="1:44" ht="12.75">
      <c r="A76" s="129" t="s">
        <v>293</v>
      </c>
      <c r="B76" s="130">
        <v>10239</v>
      </c>
      <c r="C76" s="131" t="s">
        <v>32</v>
      </c>
      <c r="D76" s="132">
        <v>357</v>
      </c>
      <c r="E76" s="149">
        <v>14.026</v>
      </c>
      <c r="F76" s="150">
        <v>0</v>
      </c>
      <c r="G76" s="150">
        <v>0.058</v>
      </c>
      <c r="H76" s="150">
        <v>0</v>
      </c>
      <c r="I76" s="150">
        <v>0</v>
      </c>
      <c r="J76" s="150">
        <f aca="true" t="shared" si="18" ref="J76:J139">SUM(E76:I76)</f>
        <v>14.084</v>
      </c>
      <c r="K76" s="150">
        <v>0.005</v>
      </c>
      <c r="L76" s="151">
        <f aca="true" t="shared" si="19" ref="L76:L139">ROUND(J76+K76,3)</f>
        <v>14.089</v>
      </c>
      <c r="M76" s="149">
        <v>14.53</v>
      </c>
      <c r="N76" s="150">
        <v>0</v>
      </c>
      <c r="O76" s="150">
        <v>0.124</v>
      </c>
      <c r="P76" s="150">
        <v>0</v>
      </c>
      <c r="Q76" s="150">
        <v>0</v>
      </c>
      <c r="R76" s="150">
        <f aca="true" t="shared" si="20" ref="R76:R139">SUM(M76:Q76)</f>
        <v>14.654</v>
      </c>
      <c r="S76" s="150">
        <v>0.025</v>
      </c>
      <c r="T76" s="151">
        <f aca="true" t="shared" si="21" ref="T76:T139">ROUND(R76+S76,3)</f>
        <v>14.679</v>
      </c>
      <c r="U76" s="152">
        <f aca="true" t="shared" si="22" ref="U76:U139">ROUND(+(L76+T76)/2,3)</f>
        <v>14.384</v>
      </c>
      <c r="V76" s="149">
        <v>13.419</v>
      </c>
      <c r="W76" s="150">
        <v>0</v>
      </c>
      <c r="X76" s="150">
        <v>0.031</v>
      </c>
      <c r="Y76" s="150">
        <v>0</v>
      </c>
      <c r="Z76" s="150">
        <v>0</v>
      </c>
      <c r="AA76" s="150">
        <f aca="true" t="shared" si="23" ref="AA76:AA139">SUM(V76:Z76)</f>
        <v>13.450000000000001</v>
      </c>
      <c r="AB76" s="150">
        <v>0.354</v>
      </c>
      <c r="AC76" s="151">
        <f aca="true" t="shared" si="24" ref="AC76:AC139">ROUND(AA76+AB76,3)</f>
        <v>13.804</v>
      </c>
      <c r="AD76" s="152">
        <f aca="true" t="shared" si="25" ref="AD76:AD139">IF(U76-AC76&gt;0,U76-AC76,0)</f>
        <v>0.5800000000000001</v>
      </c>
      <c r="AE76" s="152">
        <v>0</v>
      </c>
      <c r="AF76" s="137"/>
      <c r="AG76" s="149">
        <f aca="true" t="shared" si="26" ref="AG76:AG139">AA76</f>
        <v>13.450000000000001</v>
      </c>
      <c r="AH76" s="150">
        <f t="shared" si="17"/>
        <v>0.5800000000000001</v>
      </c>
      <c r="AI76" s="150">
        <v>0</v>
      </c>
      <c r="AJ76" s="150">
        <f aca="true" t="shared" si="27" ref="AJ76:AJ139">SUM(AG76:AI76)</f>
        <v>14.030000000000001</v>
      </c>
      <c r="AK76" s="150">
        <f aca="true" t="shared" si="28" ref="AK76:AK139">AJ76*($AK$6/$AK$3)</f>
        <v>14.779300249251353</v>
      </c>
      <c r="AL76" s="150">
        <f aca="true" t="shared" si="29" ref="AL76:AL139">AB76</f>
        <v>0.354</v>
      </c>
      <c r="AM76" s="150">
        <f aca="true" t="shared" si="30" ref="AM76:AM139">AK76+AL76</f>
        <v>15.133300249251352</v>
      </c>
      <c r="AN76" s="150">
        <f aca="true" t="shared" si="31" ref="AN76:AN139">ROUND(AM76*($AK$4/$AK$5),3)</f>
        <v>14.789</v>
      </c>
      <c r="AO76" s="151">
        <f aca="true" t="shared" si="32" ref="AO76:AO139">ROUND(IF(AH76&gt;0,AN76*(AH76/AJ76),0),3)</f>
        <v>0.611</v>
      </c>
      <c r="AP76" s="138"/>
      <c r="AQ76" s="149">
        <v>0</v>
      </c>
      <c r="AR76" s="151">
        <f aca="true" t="shared" si="33" ref="AR76:AR139">AN76+AQ76</f>
        <v>14.789</v>
      </c>
    </row>
    <row r="77" spans="1:44" ht="12.75">
      <c r="A77" s="139" t="s">
        <v>294</v>
      </c>
      <c r="B77" s="140">
        <v>10242</v>
      </c>
      <c r="C77" s="141" t="s">
        <v>295</v>
      </c>
      <c r="D77" s="142">
        <v>359</v>
      </c>
      <c r="E77" s="143">
        <v>9.727</v>
      </c>
      <c r="F77" s="144">
        <v>0</v>
      </c>
      <c r="G77" s="144">
        <v>-0.104</v>
      </c>
      <c r="H77" s="144">
        <v>-6.047</v>
      </c>
      <c r="I77" s="144">
        <v>4.756</v>
      </c>
      <c r="J77" s="144">
        <f t="shared" si="18"/>
        <v>8.332</v>
      </c>
      <c r="K77" s="144">
        <v>0.002</v>
      </c>
      <c r="L77" s="145">
        <f t="shared" si="19"/>
        <v>8.334</v>
      </c>
      <c r="M77" s="143">
        <v>9.907</v>
      </c>
      <c r="N77" s="144">
        <v>0</v>
      </c>
      <c r="O77" s="144">
        <v>-0.175</v>
      </c>
      <c r="P77" s="144">
        <v>-5.793</v>
      </c>
      <c r="Q77" s="144">
        <v>4.821</v>
      </c>
      <c r="R77" s="144">
        <f t="shared" si="20"/>
        <v>8.759999999999998</v>
      </c>
      <c r="S77" s="144">
        <v>0.004</v>
      </c>
      <c r="T77" s="145">
        <f t="shared" si="21"/>
        <v>8.764</v>
      </c>
      <c r="U77" s="146">
        <f t="shared" si="22"/>
        <v>8.549</v>
      </c>
      <c r="V77" s="143">
        <v>8.909</v>
      </c>
      <c r="W77" s="144">
        <v>0</v>
      </c>
      <c r="X77" s="144">
        <v>-0.076</v>
      </c>
      <c r="Y77" s="144">
        <v>-4.444</v>
      </c>
      <c r="Z77" s="144">
        <v>4.984</v>
      </c>
      <c r="AA77" s="144">
        <f t="shared" si="23"/>
        <v>9.373000000000001</v>
      </c>
      <c r="AB77" s="144">
        <v>0.019</v>
      </c>
      <c r="AC77" s="145">
        <f t="shared" si="24"/>
        <v>9.392</v>
      </c>
      <c r="AD77" s="146">
        <f t="shared" si="25"/>
        <v>0</v>
      </c>
      <c r="AE77" s="146">
        <v>0</v>
      </c>
      <c r="AF77" s="147"/>
      <c r="AG77" s="143">
        <f t="shared" si="26"/>
        <v>9.373000000000001</v>
      </c>
      <c r="AH77" s="144">
        <f t="shared" si="17"/>
        <v>0</v>
      </c>
      <c r="AI77" s="144">
        <v>0</v>
      </c>
      <c r="AJ77" s="144">
        <f t="shared" si="27"/>
        <v>9.373000000000001</v>
      </c>
      <c r="AK77" s="144">
        <f t="shared" si="28"/>
        <v>9.87358383722259</v>
      </c>
      <c r="AL77" s="144">
        <f t="shared" si="29"/>
        <v>0.019</v>
      </c>
      <c r="AM77" s="144">
        <f t="shared" si="30"/>
        <v>9.89258383722259</v>
      </c>
      <c r="AN77" s="144">
        <f t="shared" si="31"/>
        <v>9.668</v>
      </c>
      <c r="AO77" s="145">
        <f t="shared" si="32"/>
        <v>0</v>
      </c>
      <c r="AP77" s="148"/>
      <c r="AQ77" s="143">
        <v>0</v>
      </c>
      <c r="AR77" s="145">
        <f t="shared" si="33"/>
        <v>9.668</v>
      </c>
    </row>
    <row r="78" spans="1:44" ht="12.75">
      <c r="A78" s="129" t="s">
        <v>296</v>
      </c>
      <c r="B78" s="130">
        <v>10244</v>
      </c>
      <c r="C78" s="131" t="s">
        <v>297</v>
      </c>
      <c r="D78" s="132">
        <v>360</v>
      </c>
      <c r="E78" s="149">
        <v>80.544</v>
      </c>
      <c r="F78" s="150">
        <v>0</v>
      </c>
      <c r="G78" s="150">
        <v>-0.03</v>
      </c>
      <c r="H78" s="150">
        <v>0</v>
      </c>
      <c r="I78" s="150">
        <v>0</v>
      </c>
      <c r="J78" s="150">
        <f t="shared" si="18"/>
        <v>80.514</v>
      </c>
      <c r="K78" s="150">
        <v>0.16</v>
      </c>
      <c r="L78" s="151">
        <f t="shared" si="19"/>
        <v>80.674</v>
      </c>
      <c r="M78" s="149">
        <v>84.984</v>
      </c>
      <c r="N78" s="150">
        <v>0</v>
      </c>
      <c r="O78" s="150">
        <v>-1.598</v>
      </c>
      <c r="P78" s="150">
        <v>0</v>
      </c>
      <c r="Q78" s="150">
        <v>0</v>
      </c>
      <c r="R78" s="150">
        <f t="shared" si="20"/>
        <v>83.386</v>
      </c>
      <c r="S78" s="150">
        <v>0.356</v>
      </c>
      <c r="T78" s="151">
        <f t="shared" si="21"/>
        <v>83.742</v>
      </c>
      <c r="U78" s="152">
        <f t="shared" si="22"/>
        <v>82.208</v>
      </c>
      <c r="V78" s="149">
        <v>86.137</v>
      </c>
      <c r="W78" s="150">
        <v>0</v>
      </c>
      <c r="X78" s="150">
        <v>-1.196</v>
      </c>
      <c r="Y78" s="150">
        <v>0</v>
      </c>
      <c r="Z78" s="150">
        <v>0</v>
      </c>
      <c r="AA78" s="150">
        <f t="shared" si="23"/>
        <v>84.941</v>
      </c>
      <c r="AB78" s="150">
        <v>0.96</v>
      </c>
      <c r="AC78" s="151">
        <f t="shared" si="24"/>
        <v>85.901</v>
      </c>
      <c r="AD78" s="152">
        <f t="shared" si="25"/>
        <v>0</v>
      </c>
      <c r="AE78" s="152">
        <v>0</v>
      </c>
      <c r="AF78" s="137"/>
      <c r="AG78" s="149">
        <f t="shared" si="26"/>
        <v>84.941</v>
      </c>
      <c r="AH78" s="150">
        <f t="shared" si="17"/>
        <v>0</v>
      </c>
      <c r="AI78" s="150">
        <v>-1.029</v>
      </c>
      <c r="AJ78" s="150">
        <f t="shared" si="27"/>
        <v>83.912</v>
      </c>
      <c r="AK78" s="150">
        <f t="shared" si="28"/>
        <v>88.39348841875834</v>
      </c>
      <c r="AL78" s="150">
        <f t="shared" si="29"/>
        <v>0.96</v>
      </c>
      <c r="AM78" s="150">
        <f t="shared" si="30"/>
        <v>89.35348841875833</v>
      </c>
      <c r="AN78" s="150">
        <f t="shared" si="31"/>
        <v>87.321</v>
      </c>
      <c r="AO78" s="151">
        <f t="shared" si="32"/>
        <v>0</v>
      </c>
      <c r="AP78" s="138"/>
      <c r="AQ78" s="149">
        <v>0</v>
      </c>
      <c r="AR78" s="151">
        <f t="shared" si="33"/>
        <v>87.321</v>
      </c>
    </row>
    <row r="79" spans="1:44" ht="12.75">
      <c r="A79" s="139" t="s">
        <v>298</v>
      </c>
      <c r="B79" s="140">
        <v>10246</v>
      </c>
      <c r="C79" s="141" t="s">
        <v>33</v>
      </c>
      <c r="D79" s="142">
        <v>257</v>
      </c>
      <c r="E79" s="143">
        <v>8.75</v>
      </c>
      <c r="F79" s="144">
        <v>0</v>
      </c>
      <c r="G79" s="144">
        <v>-0.018</v>
      </c>
      <c r="H79" s="144">
        <v>0</v>
      </c>
      <c r="I79" s="144">
        <v>0</v>
      </c>
      <c r="J79" s="144">
        <f t="shared" si="18"/>
        <v>8.732</v>
      </c>
      <c r="K79" s="144">
        <v>0.031</v>
      </c>
      <c r="L79" s="145">
        <f t="shared" si="19"/>
        <v>8.763</v>
      </c>
      <c r="M79" s="143">
        <v>9.247</v>
      </c>
      <c r="N79" s="144">
        <v>0</v>
      </c>
      <c r="O79" s="144">
        <v>-0.329</v>
      </c>
      <c r="P79" s="144">
        <v>0</v>
      </c>
      <c r="Q79" s="144">
        <v>0</v>
      </c>
      <c r="R79" s="144">
        <f t="shared" si="20"/>
        <v>8.918</v>
      </c>
      <c r="S79" s="144">
        <v>0.055</v>
      </c>
      <c r="T79" s="145">
        <f t="shared" si="21"/>
        <v>8.973</v>
      </c>
      <c r="U79" s="146">
        <f t="shared" si="22"/>
        <v>8.868</v>
      </c>
      <c r="V79" s="143">
        <v>8.728</v>
      </c>
      <c r="W79" s="144">
        <v>0</v>
      </c>
      <c r="X79" s="144">
        <v>-0.01</v>
      </c>
      <c r="Y79" s="144">
        <v>0</v>
      </c>
      <c r="Z79" s="144">
        <v>0</v>
      </c>
      <c r="AA79" s="144">
        <f t="shared" si="23"/>
        <v>8.718</v>
      </c>
      <c r="AB79" s="144">
        <v>0.147</v>
      </c>
      <c r="AC79" s="145">
        <f t="shared" si="24"/>
        <v>8.865</v>
      </c>
      <c r="AD79" s="146">
        <f t="shared" si="25"/>
        <v>0.0030000000000001137</v>
      </c>
      <c r="AE79" s="146">
        <v>0</v>
      </c>
      <c r="AF79" s="147"/>
      <c r="AG79" s="143">
        <f t="shared" si="26"/>
        <v>8.718</v>
      </c>
      <c r="AH79" s="144">
        <f t="shared" si="17"/>
        <v>0.0030000000000001137</v>
      </c>
      <c r="AI79" s="144">
        <v>0</v>
      </c>
      <c r="AJ79" s="144">
        <f t="shared" si="27"/>
        <v>8.721</v>
      </c>
      <c r="AK79" s="144">
        <f t="shared" si="28"/>
        <v>9.186762471398506</v>
      </c>
      <c r="AL79" s="144">
        <f t="shared" si="29"/>
        <v>0.147</v>
      </c>
      <c r="AM79" s="144">
        <f t="shared" si="30"/>
        <v>9.333762471398506</v>
      </c>
      <c r="AN79" s="144">
        <f t="shared" si="31"/>
        <v>9.121</v>
      </c>
      <c r="AO79" s="145">
        <f t="shared" si="32"/>
        <v>0.003</v>
      </c>
      <c r="AP79" s="148"/>
      <c r="AQ79" s="143">
        <v>0</v>
      </c>
      <c r="AR79" s="145">
        <f t="shared" si="33"/>
        <v>9.121</v>
      </c>
    </row>
    <row r="80" spans="1:44" ht="12.75">
      <c r="A80" s="129" t="s">
        <v>299</v>
      </c>
      <c r="B80" s="130">
        <v>10247</v>
      </c>
      <c r="C80" s="131" t="s">
        <v>34</v>
      </c>
      <c r="D80" s="132">
        <v>258</v>
      </c>
      <c r="E80" s="149">
        <v>78.983</v>
      </c>
      <c r="F80" s="150">
        <v>0</v>
      </c>
      <c r="G80" s="150">
        <v>-0.137</v>
      </c>
      <c r="H80" s="150">
        <v>0</v>
      </c>
      <c r="I80" s="150">
        <v>0</v>
      </c>
      <c r="J80" s="150">
        <f t="shared" si="18"/>
        <v>78.846</v>
      </c>
      <c r="K80" s="150">
        <v>0.138</v>
      </c>
      <c r="L80" s="151">
        <f t="shared" si="19"/>
        <v>78.984</v>
      </c>
      <c r="M80" s="149">
        <v>82.061</v>
      </c>
      <c r="N80" s="150">
        <v>0</v>
      </c>
      <c r="O80" s="150">
        <v>-2.334</v>
      </c>
      <c r="P80" s="150">
        <v>0</v>
      </c>
      <c r="Q80" s="150">
        <v>0</v>
      </c>
      <c r="R80" s="150">
        <f t="shared" si="20"/>
        <v>79.727</v>
      </c>
      <c r="S80" s="150">
        <v>0.29</v>
      </c>
      <c r="T80" s="151">
        <f t="shared" si="21"/>
        <v>80.017</v>
      </c>
      <c r="U80" s="152">
        <f t="shared" si="22"/>
        <v>79.501</v>
      </c>
      <c r="V80" s="149">
        <v>78.549</v>
      </c>
      <c r="W80" s="150">
        <v>0</v>
      </c>
      <c r="X80" s="150">
        <v>-0.086</v>
      </c>
      <c r="Y80" s="150">
        <v>0</v>
      </c>
      <c r="Z80" s="150">
        <v>0</v>
      </c>
      <c r="AA80" s="150">
        <f t="shared" si="23"/>
        <v>78.46300000000001</v>
      </c>
      <c r="AB80" s="150">
        <v>0.853</v>
      </c>
      <c r="AC80" s="151">
        <f t="shared" si="24"/>
        <v>79.316</v>
      </c>
      <c r="AD80" s="152">
        <f t="shared" si="25"/>
        <v>0.18500000000000227</v>
      </c>
      <c r="AE80" s="152">
        <v>0</v>
      </c>
      <c r="AF80" s="137"/>
      <c r="AG80" s="149">
        <f t="shared" si="26"/>
        <v>78.46300000000001</v>
      </c>
      <c r="AH80" s="150">
        <f t="shared" si="17"/>
        <v>0.18500000000000227</v>
      </c>
      <c r="AI80" s="150">
        <v>-0.657</v>
      </c>
      <c r="AJ80" s="150">
        <f t="shared" si="27"/>
        <v>77.99100000000001</v>
      </c>
      <c r="AK80" s="150">
        <f t="shared" si="28"/>
        <v>82.15626555519333</v>
      </c>
      <c r="AL80" s="150">
        <f t="shared" si="29"/>
        <v>0.853</v>
      </c>
      <c r="AM80" s="150">
        <f t="shared" si="30"/>
        <v>83.00926555519332</v>
      </c>
      <c r="AN80" s="150">
        <f t="shared" si="31"/>
        <v>81.121</v>
      </c>
      <c r="AO80" s="151">
        <f t="shared" si="32"/>
        <v>0.192</v>
      </c>
      <c r="AP80" s="138"/>
      <c r="AQ80" s="149">
        <v>0</v>
      </c>
      <c r="AR80" s="151">
        <f t="shared" si="33"/>
        <v>81.121</v>
      </c>
    </row>
    <row r="81" spans="1:44" ht="12.75">
      <c r="A81" s="139" t="s">
        <v>300</v>
      </c>
      <c r="B81" s="140">
        <v>10078</v>
      </c>
      <c r="C81" s="141" t="s">
        <v>35</v>
      </c>
      <c r="D81" s="142">
        <v>154</v>
      </c>
      <c r="E81" s="143">
        <v>4.089</v>
      </c>
      <c r="F81" s="144">
        <v>0</v>
      </c>
      <c r="G81" s="144">
        <v>-0.007</v>
      </c>
      <c r="H81" s="144">
        <v>0</v>
      </c>
      <c r="I81" s="144">
        <v>0</v>
      </c>
      <c r="J81" s="144">
        <f t="shared" si="18"/>
        <v>4.082000000000001</v>
      </c>
      <c r="K81" s="144">
        <v>0</v>
      </c>
      <c r="L81" s="145">
        <f t="shared" si="19"/>
        <v>4.082</v>
      </c>
      <c r="M81" s="143">
        <v>4.23</v>
      </c>
      <c r="N81" s="144">
        <v>0</v>
      </c>
      <c r="O81" s="144">
        <v>-0.076</v>
      </c>
      <c r="P81" s="144">
        <v>0</v>
      </c>
      <c r="Q81" s="144">
        <v>0</v>
      </c>
      <c r="R81" s="144">
        <f t="shared" si="20"/>
        <v>4.154000000000001</v>
      </c>
      <c r="S81" s="144">
        <v>0.002</v>
      </c>
      <c r="T81" s="145">
        <f t="shared" si="21"/>
        <v>4.156</v>
      </c>
      <c r="U81" s="146">
        <f t="shared" si="22"/>
        <v>4.119</v>
      </c>
      <c r="V81" s="143">
        <v>3.605</v>
      </c>
      <c r="W81" s="144">
        <v>0</v>
      </c>
      <c r="X81" s="144">
        <v>-0.007</v>
      </c>
      <c r="Y81" s="144">
        <v>0</v>
      </c>
      <c r="Z81" s="144">
        <v>0</v>
      </c>
      <c r="AA81" s="144">
        <f t="shared" si="23"/>
        <v>3.598</v>
      </c>
      <c r="AB81" s="144">
        <v>0.079</v>
      </c>
      <c r="AC81" s="145">
        <f t="shared" si="24"/>
        <v>3.677</v>
      </c>
      <c r="AD81" s="146">
        <f t="shared" si="25"/>
        <v>0.4419999999999997</v>
      </c>
      <c r="AE81" s="146">
        <v>0</v>
      </c>
      <c r="AF81" s="147"/>
      <c r="AG81" s="143">
        <f t="shared" si="26"/>
        <v>3.598</v>
      </c>
      <c r="AH81" s="144">
        <f t="shared" si="17"/>
        <v>0.4419999999999997</v>
      </c>
      <c r="AI81" s="144">
        <v>0</v>
      </c>
      <c r="AJ81" s="144">
        <f t="shared" si="27"/>
        <v>4.039999999999999</v>
      </c>
      <c r="AK81" s="144">
        <f t="shared" si="28"/>
        <v>4.255764291302598</v>
      </c>
      <c r="AL81" s="144">
        <f t="shared" si="29"/>
        <v>0.079</v>
      </c>
      <c r="AM81" s="144">
        <f t="shared" si="30"/>
        <v>4.334764291302598</v>
      </c>
      <c r="AN81" s="144">
        <f t="shared" si="31"/>
        <v>4.236</v>
      </c>
      <c r="AO81" s="145">
        <f t="shared" si="32"/>
        <v>0.463</v>
      </c>
      <c r="AP81" s="148"/>
      <c r="AQ81" s="143">
        <v>0</v>
      </c>
      <c r="AR81" s="145">
        <f t="shared" si="33"/>
        <v>4.236</v>
      </c>
    </row>
    <row r="82" spans="1:44" ht="12.75">
      <c r="A82" s="129" t="s">
        <v>301</v>
      </c>
      <c r="B82" s="130">
        <v>10079</v>
      </c>
      <c r="C82" s="131" t="s">
        <v>36</v>
      </c>
      <c r="D82" s="132">
        <v>155</v>
      </c>
      <c r="E82" s="149">
        <v>102.562</v>
      </c>
      <c r="F82" s="150">
        <v>0</v>
      </c>
      <c r="G82" s="150">
        <v>-0.383</v>
      </c>
      <c r="H82" s="150">
        <v>0</v>
      </c>
      <c r="I82" s="150">
        <v>0</v>
      </c>
      <c r="J82" s="150">
        <f t="shared" si="18"/>
        <v>102.179</v>
      </c>
      <c r="K82" s="150">
        <v>0.053</v>
      </c>
      <c r="L82" s="151">
        <f t="shared" si="19"/>
        <v>102.232</v>
      </c>
      <c r="M82" s="149">
        <v>106.616</v>
      </c>
      <c r="N82" s="150">
        <v>0</v>
      </c>
      <c r="O82" s="150">
        <v>-1.77</v>
      </c>
      <c r="P82" s="150">
        <v>0</v>
      </c>
      <c r="Q82" s="150">
        <v>0</v>
      </c>
      <c r="R82" s="150">
        <f t="shared" si="20"/>
        <v>104.846</v>
      </c>
      <c r="S82" s="150">
        <v>0.339</v>
      </c>
      <c r="T82" s="151">
        <f t="shared" si="21"/>
        <v>105.185</v>
      </c>
      <c r="U82" s="152">
        <f t="shared" si="22"/>
        <v>103.709</v>
      </c>
      <c r="V82" s="149">
        <v>83.31</v>
      </c>
      <c r="W82" s="150">
        <v>0</v>
      </c>
      <c r="X82" s="150">
        <v>0.033</v>
      </c>
      <c r="Y82" s="150">
        <v>0</v>
      </c>
      <c r="Z82" s="150">
        <v>0</v>
      </c>
      <c r="AA82" s="150">
        <f t="shared" si="23"/>
        <v>83.343</v>
      </c>
      <c r="AB82" s="150">
        <v>3.636</v>
      </c>
      <c r="AC82" s="151">
        <f t="shared" si="24"/>
        <v>86.979</v>
      </c>
      <c r="AD82" s="152">
        <f t="shared" si="25"/>
        <v>16.730000000000004</v>
      </c>
      <c r="AE82" s="152">
        <v>18.684</v>
      </c>
      <c r="AF82" s="137"/>
      <c r="AG82" s="149">
        <f t="shared" si="26"/>
        <v>83.343</v>
      </c>
      <c r="AH82" s="150">
        <f t="shared" si="17"/>
        <v>18.684</v>
      </c>
      <c r="AI82" s="150">
        <v>-2.725</v>
      </c>
      <c r="AJ82" s="150">
        <f t="shared" si="27"/>
        <v>99.302</v>
      </c>
      <c r="AK82" s="150">
        <f t="shared" si="28"/>
        <v>104.60542219181453</v>
      </c>
      <c r="AL82" s="150">
        <f t="shared" si="29"/>
        <v>3.636</v>
      </c>
      <c r="AM82" s="150">
        <f t="shared" si="30"/>
        <v>108.24142219181452</v>
      </c>
      <c r="AN82" s="150">
        <f t="shared" si="31"/>
        <v>105.779</v>
      </c>
      <c r="AO82" s="151">
        <f t="shared" si="32"/>
        <v>19.903</v>
      </c>
      <c r="AP82" s="138"/>
      <c r="AQ82" s="149">
        <v>0</v>
      </c>
      <c r="AR82" s="151">
        <f t="shared" si="33"/>
        <v>105.779</v>
      </c>
    </row>
    <row r="83" spans="1:44" ht="12.75">
      <c r="A83" s="139" t="s">
        <v>302</v>
      </c>
      <c r="B83" s="140">
        <v>10256</v>
      </c>
      <c r="C83" s="141" t="s">
        <v>303</v>
      </c>
      <c r="D83" s="142">
        <v>361</v>
      </c>
      <c r="E83" s="143">
        <v>45.968</v>
      </c>
      <c r="F83" s="144">
        <v>0</v>
      </c>
      <c r="G83" s="144">
        <v>-0.125</v>
      </c>
      <c r="H83" s="144">
        <v>-5.462</v>
      </c>
      <c r="I83" s="144">
        <v>5.067</v>
      </c>
      <c r="J83" s="144">
        <f t="shared" si="18"/>
        <v>45.448</v>
      </c>
      <c r="K83" s="144">
        <v>0.054</v>
      </c>
      <c r="L83" s="145">
        <f t="shared" si="19"/>
        <v>45.502</v>
      </c>
      <c r="M83" s="143">
        <v>46.666</v>
      </c>
      <c r="N83" s="144">
        <v>0</v>
      </c>
      <c r="O83" s="144">
        <v>-0.456</v>
      </c>
      <c r="P83" s="144">
        <v>-5.073</v>
      </c>
      <c r="Q83" s="144">
        <v>5.067</v>
      </c>
      <c r="R83" s="144">
        <f t="shared" si="20"/>
        <v>46.20399999999999</v>
      </c>
      <c r="S83" s="144">
        <v>0.128</v>
      </c>
      <c r="T83" s="145">
        <f t="shared" si="21"/>
        <v>46.332</v>
      </c>
      <c r="U83" s="146">
        <f t="shared" si="22"/>
        <v>45.917</v>
      </c>
      <c r="V83" s="143">
        <v>46.114</v>
      </c>
      <c r="W83" s="144">
        <v>0</v>
      </c>
      <c r="X83" s="144">
        <v>0.127</v>
      </c>
      <c r="Y83" s="144">
        <v>-5.168</v>
      </c>
      <c r="Z83" s="144">
        <v>5.157</v>
      </c>
      <c r="AA83" s="144">
        <f t="shared" si="23"/>
        <v>46.230000000000004</v>
      </c>
      <c r="AB83" s="144">
        <v>0.398</v>
      </c>
      <c r="AC83" s="145">
        <f t="shared" si="24"/>
        <v>46.628</v>
      </c>
      <c r="AD83" s="146">
        <f t="shared" si="25"/>
        <v>0</v>
      </c>
      <c r="AE83" s="146">
        <v>0</v>
      </c>
      <c r="AF83" s="147"/>
      <c r="AG83" s="143">
        <f t="shared" si="26"/>
        <v>46.230000000000004</v>
      </c>
      <c r="AH83" s="144">
        <f t="shared" si="17"/>
        <v>0</v>
      </c>
      <c r="AI83" s="144">
        <v>-0.522</v>
      </c>
      <c r="AJ83" s="144">
        <f t="shared" si="27"/>
        <v>45.708000000000006</v>
      </c>
      <c r="AK83" s="144">
        <f t="shared" si="28"/>
        <v>48.14912728387604</v>
      </c>
      <c r="AL83" s="144">
        <f t="shared" si="29"/>
        <v>0.398</v>
      </c>
      <c r="AM83" s="144">
        <f t="shared" si="30"/>
        <v>48.547127283876044</v>
      </c>
      <c r="AN83" s="144">
        <f t="shared" si="31"/>
        <v>47.443</v>
      </c>
      <c r="AO83" s="145">
        <f t="shared" si="32"/>
        <v>0</v>
      </c>
      <c r="AP83" s="148"/>
      <c r="AQ83" s="143">
        <v>0</v>
      </c>
      <c r="AR83" s="145">
        <f t="shared" si="33"/>
        <v>47.443</v>
      </c>
    </row>
    <row r="84" spans="1:44" ht="12.75">
      <c r="A84" s="129" t="s">
        <v>304</v>
      </c>
      <c r="B84" s="130">
        <v>10080</v>
      </c>
      <c r="C84" s="131" t="s">
        <v>305</v>
      </c>
      <c r="D84" s="132">
        <v>158</v>
      </c>
      <c r="E84" s="149">
        <v>7.259</v>
      </c>
      <c r="F84" s="150">
        <v>0</v>
      </c>
      <c r="G84" s="150">
        <v>-0.063</v>
      </c>
      <c r="H84" s="150">
        <v>0</v>
      </c>
      <c r="I84" s="150">
        <v>0</v>
      </c>
      <c r="J84" s="150">
        <f t="shared" si="18"/>
        <v>7.196000000000001</v>
      </c>
      <c r="K84" s="150">
        <v>0.001</v>
      </c>
      <c r="L84" s="151">
        <f t="shared" si="19"/>
        <v>7.197</v>
      </c>
      <c r="M84" s="149">
        <v>7.423</v>
      </c>
      <c r="N84" s="150">
        <v>0</v>
      </c>
      <c r="O84" s="150">
        <v>-0.184</v>
      </c>
      <c r="P84" s="150">
        <v>0</v>
      </c>
      <c r="Q84" s="150">
        <v>0</v>
      </c>
      <c r="R84" s="150">
        <f t="shared" si="20"/>
        <v>7.239</v>
      </c>
      <c r="S84" s="150">
        <v>0.008</v>
      </c>
      <c r="T84" s="151">
        <f t="shared" si="21"/>
        <v>7.247</v>
      </c>
      <c r="U84" s="152">
        <f t="shared" si="22"/>
        <v>7.222</v>
      </c>
      <c r="V84" s="149">
        <v>7.25</v>
      </c>
      <c r="W84" s="150">
        <v>0</v>
      </c>
      <c r="X84" s="150">
        <v>0.074</v>
      </c>
      <c r="Y84" s="150">
        <v>0</v>
      </c>
      <c r="Z84" s="150">
        <v>0</v>
      </c>
      <c r="AA84" s="150">
        <f t="shared" si="23"/>
        <v>7.324</v>
      </c>
      <c r="AB84" s="150">
        <v>0.009</v>
      </c>
      <c r="AC84" s="151">
        <f t="shared" si="24"/>
        <v>7.333</v>
      </c>
      <c r="AD84" s="152">
        <f t="shared" si="25"/>
        <v>0</v>
      </c>
      <c r="AE84" s="152">
        <v>0</v>
      </c>
      <c r="AF84" s="137"/>
      <c r="AG84" s="149">
        <f t="shared" si="26"/>
        <v>7.324</v>
      </c>
      <c r="AH84" s="150">
        <f t="shared" si="17"/>
        <v>0</v>
      </c>
      <c r="AI84" s="150">
        <v>0</v>
      </c>
      <c r="AJ84" s="150">
        <f t="shared" si="27"/>
        <v>7.324</v>
      </c>
      <c r="AK84" s="150">
        <f t="shared" si="28"/>
        <v>7.715152888490157</v>
      </c>
      <c r="AL84" s="150">
        <f t="shared" si="29"/>
        <v>0.009</v>
      </c>
      <c r="AM84" s="150">
        <f t="shared" si="30"/>
        <v>7.724152888490157</v>
      </c>
      <c r="AN84" s="150">
        <f t="shared" si="31"/>
        <v>7.548</v>
      </c>
      <c r="AO84" s="151">
        <f t="shared" si="32"/>
        <v>0</v>
      </c>
      <c r="AP84" s="138"/>
      <c r="AQ84" s="149">
        <v>0</v>
      </c>
      <c r="AR84" s="151">
        <f t="shared" si="33"/>
        <v>7.548</v>
      </c>
    </row>
    <row r="85" spans="1:44" ht="12.75">
      <c r="A85" s="139" t="s">
        <v>306</v>
      </c>
      <c r="B85" s="140">
        <v>10081</v>
      </c>
      <c r="C85" s="141" t="s">
        <v>37</v>
      </c>
      <c r="D85" s="142">
        <v>159</v>
      </c>
      <c r="E85" s="143">
        <v>13.161</v>
      </c>
      <c r="F85" s="144">
        <v>0</v>
      </c>
      <c r="G85" s="144">
        <v>-0.098</v>
      </c>
      <c r="H85" s="144">
        <v>0</v>
      </c>
      <c r="I85" s="144">
        <v>0</v>
      </c>
      <c r="J85" s="144">
        <f t="shared" si="18"/>
        <v>13.062999999999999</v>
      </c>
      <c r="K85" s="144">
        <v>0.005</v>
      </c>
      <c r="L85" s="145">
        <f t="shared" si="19"/>
        <v>13.068</v>
      </c>
      <c r="M85" s="143">
        <v>13.218</v>
      </c>
      <c r="N85" s="144">
        <v>0</v>
      </c>
      <c r="O85" s="144">
        <v>-0.057</v>
      </c>
      <c r="P85" s="144">
        <v>0</v>
      </c>
      <c r="Q85" s="144">
        <v>0</v>
      </c>
      <c r="R85" s="144">
        <f t="shared" si="20"/>
        <v>13.161</v>
      </c>
      <c r="S85" s="144">
        <v>0.025</v>
      </c>
      <c r="T85" s="145">
        <f t="shared" si="21"/>
        <v>13.186</v>
      </c>
      <c r="U85" s="146">
        <f t="shared" si="22"/>
        <v>13.127</v>
      </c>
      <c r="V85" s="143">
        <v>12.647</v>
      </c>
      <c r="W85" s="144">
        <v>0</v>
      </c>
      <c r="X85" s="144">
        <v>0.183</v>
      </c>
      <c r="Y85" s="144">
        <v>0</v>
      </c>
      <c r="Z85" s="144">
        <v>0</v>
      </c>
      <c r="AA85" s="144">
        <f t="shared" si="23"/>
        <v>12.83</v>
      </c>
      <c r="AB85" s="144">
        <v>0.203</v>
      </c>
      <c r="AC85" s="145">
        <f t="shared" si="24"/>
        <v>13.033</v>
      </c>
      <c r="AD85" s="146">
        <f t="shared" si="25"/>
        <v>0.0940000000000012</v>
      </c>
      <c r="AE85" s="146">
        <v>0</v>
      </c>
      <c r="AF85" s="147"/>
      <c r="AG85" s="143">
        <f t="shared" si="26"/>
        <v>12.83</v>
      </c>
      <c r="AH85" s="144">
        <f t="shared" si="17"/>
        <v>0.0940000000000012</v>
      </c>
      <c r="AI85" s="144">
        <v>-2.725</v>
      </c>
      <c r="AJ85" s="144">
        <f t="shared" si="27"/>
        <v>10.199000000000002</v>
      </c>
      <c r="AK85" s="144">
        <f t="shared" si="28"/>
        <v>10.743698021533469</v>
      </c>
      <c r="AL85" s="144">
        <f t="shared" si="29"/>
        <v>0.203</v>
      </c>
      <c r="AM85" s="144">
        <f t="shared" si="30"/>
        <v>10.946698021533468</v>
      </c>
      <c r="AN85" s="144">
        <f t="shared" si="31"/>
        <v>10.698</v>
      </c>
      <c r="AO85" s="145">
        <f t="shared" si="32"/>
        <v>0.099</v>
      </c>
      <c r="AP85" s="148"/>
      <c r="AQ85" s="143">
        <v>0</v>
      </c>
      <c r="AR85" s="145">
        <f t="shared" si="33"/>
        <v>10.698</v>
      </c>
    </row>
    <row r="86" spans="1:44" ht="12.75">
      <c r="A86" s="129" t="s">
        <v>307</v>
      </c>
      <c r="B86" s="130">
        <v>10082</v>
      </c>
      <c r="C86" s="131" t="s">
        <v>308</v>
      </c>
      <c r="D86" s="132">
        <v>161</v>
      </c>
      <c r="E86" s="149">
        <v>0.101</v>
      </c>
      <c r="F86" s="150">
        <v>0</v>
      </c>
      <c r="G86" s="150">
        <v>0</v>
      </c>
      <c r="H86" s="150">
        <v>0</v>
      </c>
      <c r="I86" s="150">
        <v>0</v>
      </c>
      <c r="J86" s="150">
        <f t="shared" si="18"/>
        <v>0.101</v>
      </c>
      <c r="K86" s="150">
        <v>0</v>
      </c>
      <c r="L86" s="151">
        <f t="shared" si="19"/>
        <v>0.101</v>
      </c>
      <c r="M86" s="149">
        <v>0.106</v>
      </c>
      <c r="N86" s="150">
        <v>0</v>
      </c>
      <c r="O86" s="150">
        <v>-0.001</v>
      </c>
      <c r="P86" s="150">
        <v>0</v>
      </c>
      <c r="Q86" s="150">
        <v>0</v>
      </c>
      <c r="R86" s="150">
        <f t="shared" si="20"/>
        <v>0.105</v>
      </c>
      <c r="S86" s="150">
        <v>0</v>
      </c>
      <c r="T86" s="151">
        <f t="shared" si="21"/>
        <v>0.105</v>
      </c>
      <c r="U86" s="152">
        <f t="shared" si="22"/>
        <v>0.103</v>
      </c>
      <c r="V86" s="149">
        <v>0.118</v>
      </c>
      <c r="W86" s="150">
        <v>0</v>
      </c>
      <c r="X86" s="150">
        <v>-0.001</v>
      </c>
      <c r="Y86" s="150">
        <v>0</v>
      </c>
      <c r="Z86" s="150">
        <v>0</v>
      </c>
      <c r="AA86" s="150">
        <f t="shared" si="23"/>
        <v>0.11699999999999999</v>
      </c>
      <c r="AB86" s="150">
        <v>0</v>
      </c>
      <c r="AC86" s="151">
        <f t="shared" si="24"/>
        <v>0.117</v>
      </c>
      <c r="AD86" s="152">
        <f t="shared" si="25"/>
        <v>0</v>
      </c>
      <c r="AE86" s="152">
        <v>0</v>
      </c>
      <c r="AF86" s="137"/>
      <c r="AG86" s="149">
        <f t="shared" si="26"/>
        <v>0.11699999999999999</v>
      </c>
      <c r="AH86" s="150">
        <f t="shared" si="17"/>
        <v>0</v>
      </c>
      <c r="AI86" s="150">
        <v>0</v>
      </c>
      <c r="AJ86" s="150">
        <f t="shared" si="27"/>
        <v>0.11699999999999999</v>
      </c>
      <c r="AK86" s="150">
        <f t="shared" si="28"/>
        <v>0.12324861932732772</v>
      </c>
      <c r="AL86" s="150">
        <f t="shared" si="29"/>
        <v>0</v>
      </c>
      <c r="AM86" s="150">
        <f t="shared" si="30"/>
        <v>0.12324861932732772</v>
      </c>
      <c r="AN86" s="150">
        <f t="shared" si="31"/>
        <v>0.12</v>
      </c>
      <c r="AO86" s="151">
        <f t="shared" si="32"/>
        <v>0</v>
      </c>
      <c r="AP86" s="138"/>
      <c r="AQ86" s="149">
        <v>0</v>
      </c>
      <c r="AR86" s="151">
        <f t="shared" si="33"/>
        <v>0.12</v>
      </c>
    </row>
    <row r="87" spans="1:44" ht="12.75">
      <c r="A87" s="139" t="s">
        <v>309</v>
      </c>
      <c r="B87" s="140">
        <v>10258</v>
      </c>
      <c r="C87" s="141" t="s">
        <v>38</v>
      </c>
      <c r="D87" s="142">
        <v>483</v>
      </c>
      <c r="E87" s="143">
        <v>45.989</v>
      </c>
      <c r="F87" s="144">
        <v>0</v>
      </c>
      <c r="G87" s="144">
        <v>-0.032</v>
      </c>
      <c r="H87" s="144">
        <v>-2.196</v>
      </c>
      <c r="I87" s="144">
        <v>2.343</v>
      </c>
      <c r="J87" s="144">
        <f t="shared" si="18"/>
        <v>46.104</v>
      </c>
      <c r="K87" s="144">
        <v>0.029</v>
      </c>
      <c r="L87" s="145">
        <f t="shared" si="19"/>
        <v>46.133</v>
      </c>
      <c r="M87" s="143">
        <v>47.852</v>
      </c>
      <c r="N87" s="144">
        <v>0</v>
      </c>
      <c r="O87" s="144">
        <v>0.291</v>
      </c>
      <c r="P87" s="144">
        <v>-2.482</v>
      </c>
      <c r="Q87" s="144">
        <v>2.344</v>
      </c>
      <c r="R87" s="144">
        <f t="shared" si="20"/>
        <v>48.004999999999995</v>
      </c>
      <c r="S87" s="144">
        <v>0.067</v>
      </c>
      <c r="T87" s="145">
        <f t="shared" si="21"/>
        <v>48.072</v>
      </c>
      <c r="U87" s="146">
        <f t="shared" si="22"/>
        <v>47.103</v>
      </c>
      <c r="V87" s="143">
        <v>45.429</v>
      </c>
      <c r="W87" s="144">
        <v>0</v>
      </c>
      <c r="X87" s="144">
        <v>0.157</v>
      </c>
      <c r="Y87" s="144">
        <v>-1.816</v>
      </c>
      <c r="Z87" s="144">
        <v>2.327</v>
      </c>
      <c r="AA87" s="144">
        <f t="shared" si="23"/>
        <v>46.096999999999994</v>
      </c>
      <c r="AB87" s="144">
        <v>0.62</v>
      </c>
      <c r="AC87" s="145">
        <f t="shared" si="24"/>
        <v>46.717</v>
      </c>
      <c r="AD87" s="146">
        <f t="shared" si="25"/>
        <v>0.3860000000000028</v>
      </c>
      <c r="AE87" s="146">
        <v>0</v>
      </c>
      <c r="AF87" s="147"/>
      <c r="AG87" s="143">
        <f t="shared" si="26"/>
        <v>46.096999999999994</v>
      </c>
      <c r="AH87" s="144">
        <f t="shared" si="17"/>
        <v>0.3860000000000028</v>
      </c>
      <c r="AI87" s="144">
        <v>-9.655</v>
      </c>
      <c r="AJ87" s="144">
        <f t="shared" si="27"/>
        <v>36.827999999999996</v>
      </c>
      <c r="AK87" s="144">
        <f t="shared" si="28"/>
        <v>38.79487309903269</v>
      </c>
      <c r="AL87" s="144">
        <f t="shared" si="29"/>
        <v>0.62</v>
      </c>
      <c r="AM87" s="144">
        <f t="shared" si="30"/>
        <v>39.41487309903269</v>
      </c>
      <c r="AN87" s="144">
        <f t="shared" si="31"/>
        <v>38.518</v>
      </c>
      <c r="AO87" s="145">
        <f t="shared" si="32"/>
        <v>0.404</v>
      </c>
      <c r="AP87" s="148"/>
      <c r="AQ87" s="143">
        <v>0</v>
      </c>
      <c r="AR87" s="145">
        <f t="shared" si="33"/>
        <v>38.518</v>
      </c>
    </row>
    <row r="88" spans="1:44" ht="12.75">
      <c r="A88" s="129" t="s">
        <v>310</v>
      </c>
      <c r="B88" s="130">
        <v>10259</v>
      </c>
      <c r="C88" s="131" t="s">
        <v>311</v>
      </c>
      <c r="D88" s="132">
        <v>364</v>
      </c>
      <c r="E88" s="149">
        <v>25.014</v>
      </c>
      <c r="F88" s="150">
        <v>0</v>
      </c>
      <c r="G88" s="150">
        <v>0.017</v>
      </c>
      <c r="H88" s="150">
        <v>0</v>
      </c>
      <c r="I88" s="150">
        <v>0</v>
      </c>
      <c r="J88" s="150">
        <f t="shared" si="18"/>
        <v>25.031</v>
      </c>
      <c r="K88" s="150">
        <v>0</v>
      </c>
      <c r="L88" s="151">
        <f t="shared" si="19"/>
        <v>25.031</v>
      </c>
      <c r="M88" s="149">
        <v>25.532</v>
      </c>
      <c r="N88" s="150">
        <v>0</v>
      </c>
      <c r="O88" s="150">
        <v>-0.054</v>
      </c>
      <c r="P88" s="150">
        <v>0</v>
      </c>
      <c r="Q88" s="150">
        <v>0</v>
      </c>
      <c r="R88" s="150">
        <f t="shared" si="20"/>
        <v>25.478</v>
      </c>
      <c r="S88" s="150">
        <v>0</v>
      </c>
      <c r="T88" s="151">
        <f t="shared" si="21"/>
        <v>25.478</v>
      </c>
      <c r="U88" s="152">
        <f t="shared" si="22"/>
        <v>25.255</v>
      </c>
      <c r="V88" s="149">
        <v>25.949</v>
      </c>
      <c r="W88" s="150">
        <v>0</v>
      </c>
      <c r="X88" s="150">
        <v>0.04</v>
      </c>
      <c r="Y88" s="150">
        <v>0</v>
      </c>
      <c r="Z88" s="150">
        <v>0</v>
      </c>
      <c r="AA88" s="150">
        <f t="shared" si="23"/>
        <v>25.989</v>
      </c>
      <c r="AB88" s="150">
        <v>0.649</v>
      </c>
      <c r="AC88" s="151">
        <f t="shared" si="24"/>
        <v>26.638</v>
      </c>
      <c r="AD88" s="152">
        <f t="shared" si="25"/>
        <v>0</v>
      </c>
      <c r="AE88" s="152">
        <v>0</v>
      </c>
      <c r="AF88" s="137"/>
      <c r="AG88" s="149">
        <f t="shared" si="26"/>
        <v>25.989</v>
      </c>
      <c r="AH88" s="150">
        <f t="shared" si="17"/>
        <v>0</v>
      </c>
      <c r="AI88" s="150">
        <v>0</v>
      </c>
      <c r="AJ88" s="150">
        <f t="shared" si="27"/>
        <v>25.989</v>
      </c>
      <c r="AK88" s="150">
        <f t="shared" si="28"/>
        <v>27.376994595708723</v>
      </c>
      <c r="AL88" s="150">
        <f t="shared" si="29"/>
        <v>0.649</v>
      </c>
      <c r="AM88" s="150">
        <f t="shared" si="30"/>
        <v>28.025994595708724</v>
      </c>
      <c r="AN88" s="150">
        <f t="shared" si="31"/>
        <v>27.388</v>
      </c>
      <c r="AO88" s="151">
        <f t="shared" si="32"/>
        <v>0</v>
      </c>
      <c r="AP88" s="138"/>
      <c r="AQ88" s="149">
        <v>0</v>
      </c>
      <c r="AR88" s="151">
        <f t="shared" si="33"/>
        <v>27.388</v>
      </c>
    </row>
    <row r="89" spans="1:44" ht="12.75">
      <c r="A89" s="139" t="s">
        <v>312</v>
      </c>
      <c r="B89" s="140">
        <v>10260</v>
      </c>
      <c r="C89" s="141" t="s">
        <v>313</v>
      </c>
      <c r="D89" s="142">
        <v>366</v>
      </c>
      <c r="E89" s="143">
        <v>25.847</v>
      </c>
      <c r="F89" s="144">
        <v>0</v>
      </c>
      <c r="G89" s="144">
        <v>-0.185</v>
      </c>
      <c r="H89" s="144">
        <v>0</v>
      </c>
      <c r="I89" s="144">
        <v>0</v>
      </c>
      <c r="J89" s="144">
        <f t="shared" si="18"/>
        <v>25.662000000000003</v>
      </c>
      <c r="K89" s="144">
        <v>0.001</v>
      </c>
      <c r="L89" s="145">
        <f t="shared" si="19"/>
        <v>25.663</v>
      </c>
      <c r="M89" s="143">
        <v>25.98</v>
      </c>
      <c r="N89" s="144">
        <v>0</v>
      </c>
      <c r="O89" s="144">
        <v>-0.346</v>
      </c>
      <c r="P89" s="144">
        <v>0</v>
      </c>
      <c r="Q89" s="144">
        <v>0</v>
      </c>
      <c r="R89" s="144">
        <f t="shared" si="20"/>
        <v>25.634</v>
      </c>
      <c r="S89" s="144">
        <v>0.001</v>
      </c>
      <c r="T89" s="145">
        <f t="shared" si="21"/>
        <v>25.635</v>
      </c>
      <c r="U89" s="146">
        <f t="shared" si="22"/>
        <v>25.649</v>
      </c>
      <c r="V89" s="143">
        <v>25.662</v>
      </c>
      <c r="W89" s="144">
        <v>0</v>
      </c>
      <c r="X89" s="144">
        <v>0.18</v>
      </c>
      <c r="Y89" s="144">
        <v>0</v>
      </c>
      <c r="Z89" s="144">
        <v>0</v>
      </c>
      <c r="AA89" s="144">
        <f t="shared" si="23"/>
        <v>25.842</v>
      </c>
      <c r="AB89" s="144">
        <v>0.076</v>
      </c>
      <c r="AC89" s="145">
        <f t="shared" si="24"/>
        <v>25.918</v>
      </c>
      <c r="AD89" s="146">
        <f t="shared" si="25"/>
        <v>0</v>
      </c>
      <c r="AE89" s="146">
        <v>0</v>
      </c>
      <c r="AF89" s="147"/>
      <c r="AG89" s="143">
        <f t="shared" si="26"/>
        <v>25.842</v>
      </c>
      <c r="AH89" s="144">
        <f t="shared" si="17"/>
        <v>0</v>
      </c>
      <c r="AI89" s="144">
        <v>0</v>
      </c>
      <c r="AJ89" s="144">
        <f t="shared" si="27"/>
        <v>25.842</v>
      </c>
      <c r="AK89" s="144">
        <f t="shared" si="28"/>
        <v>27.222143766297464</v>
      </c>
      <c r="AL89" s="144">
        <f t="shared" si="29"/>
        <v>0.076</v>
      </c>
      <c r="AM89" s="144">
        <f t="shared" si="30"/>
        <v>27.298143766297464</v>
      </c>
      <c r="AN89" s="144">
        <f t="shared" si="31"/>
        <v>26.677</v>
      </c>
      <c r="AO89" s="145">
        <f t="shared" si="32"/>
        <v>0</v>
      </c>
      <c r="AP89" s="148"/>
      <c r="AQ89" s="143">
        <v>0</v>
      </c>
      <c r="AR89" s="145">
        <f t="shared" si="33"/>
        <v>26.677</v>
      </c>
    </row>
    <row r="90" spans="1:44" ht="12.75">
      <c r="A90" s="129" t="s">
        <v>314</v>
      </c>
      <c r="B90" s="130">
        <v>10083</v>
      </c>
      <c r="C90" s="131" t="s">
        <v>315</v>
      </c>
      <c r="D90" s="132">
        <v>163</v>
      </c>
      <c r="E90" s="149">
        <v>7.837</v>
      </c>
      <c r="F90" s="150">
        <v>0</v>
      </c>
      <c r="G90" s="150">
        <v>-0.027</v>
      </c>
      <c r="H90" s="150">
        <v>0</v>
      </c>
      <c r="I90" s="150">
        <v>0</v>
      </c>
      <c r="J90" s="150">
        <f t="shared" si="18"/>
        <v>7.81</v>
      </c>
      <c r="K90" s="150">
        <v>0.01</v>
      </c>
      <c r="L90" s="151">
        <f t="shared" si="19"/>
        <v>7.82</v>
      </c>
      <c r="M90" s="149">
        <v>8.276</v>
      </c>
      <c r="N90" s="150">
        <v>0</v>
      </c>
      <c r="O90" s="150">
        <v>-0.248</v>
      </c>
      <c r="P90" s="150">
        <v>0</v>
      </c>
      <c r="Q90" s="150">
        <v>0</v>
      </c>
      <c r="R90" s="150">
        <f t="shared" si="20"/>
        <v>8.028</v>
      </c>
      <c r="S90" s="150">
        <v>0.02</v>
      </c>
      <c r="T90" s="151">
        <f t="shared" si="21"/>
        <v>8.048</v>
      </c>
      <c r="U90" s="152">
        <f t="shared" si="22"/>
        <v>7.934</v>
      </c>
      <c r="V90" s="149">
        <v>8.012</v>
      </c>
      <c r="W90" s="150">
        <v>0</v>
      </c>
      <c r="X90" s="150">
        <v>0.079</v>
      </c>
      <c r="Y90" s="150">
        <v>0</v>
      </c>
      <c r="Z90" s="150">
        <v>0</v>
      </c>
      <c r="AA90" s="150">
        <f t="shared" si="23"/>
        <v>8.091000000000001</v>
      </c>
      <c r="AB90" s="150">
        <v>0.163</v>
      </c>
      <c r="AC90" s="151">
        <f t="shared" si="24"/>
        <v>8.254</v>
      </c>
      <c r="AD90" s="152">
        <f t="shared" si="25"/>
        <v>0</v>
      </c>
      <c r="AE90" s="152">
        <v>0</v>
      </c>
      <c r="AF90" s="137"/>
      <c r="AG90" s="149">
        <f t="shared" si="26"/>
        <v>8.091000000000001</v>
      </c>
      <c r="AH90" s="150">
        <f t="shared" si="17"/>
        <v>0</v>
      </c>
      <c r="AI90" s="150">
        <v>0</v>
      </c>
      <c r="AJ90" s="150">
        <f t="shared" si="27"/>
        <v>8.091000000000001</v>
      </c>
      <c r="AK90" s="150">
        <f t="shared" si="28"/>
        <v>8.523116059635973</v>
      </c>
      <c r="AL90" s="150">
        <f t="shared" si="29"/>
        <v>0.163</v>
      </c>
      <c r="AM90" s="150">
        <f t="shared" si="30"/>
        <v>8.686116059635973</v>
      </c>
      <c r="AN90" s="150">
        <f t="shared" si="31"/>
        <v>8.488</v>
      </c>
      <c r="AO90" s="151">
        <f t="shared" si="32"/>
        <v>0</v>
      </c>
      <c r="AP90" s="138"/>
      <c r="AQ90" s="149">
        <v>0</v>
      </c>
      <c r="AR90" s="151">
        <f t="shared" si="33"/>
        <v>8.488</v>
      </c>
    </row>
    <row r="91" spans="1:44" ht="12.75">
      <c r="A91" s="139" t="s">
        <v>316</v>
      </c>
      <c r="B91" s="140">
        <v>10273</v>
      </c>
      <c r="C91" s="141" t="s">
        <v>317</v>
      </c>
      <c r="D91" s="142">
        <v>367</v>
      </c>
      <c r="E91" s="143">
        <v>5.798</v>
      </c>
      <c r="F91" s="144">
        <v>0</v>
      </c>
      <c r="G91" s="144">
        <v>-0.142</v>
      </c>
      <c r="H91" s="144">
        <v>-1.768</v>
      </c>
      <c r="I91" s="144">
        <v>1.705</v>
      </c>
      <c r="J91" s="144">
        <f t="shared" si="18"/>
        <v>5.593</v>
      </c>
      <c r="K91" s="144">
        <v>0.011</v>
      </c>
      <c r="L91" s="145">
        <f t="shared" si="19"/>
        <v>5.604</v>
      </c>
      <c r="M91" s="143">
        <v>5.717</v>
      </c>
      <c r="N91" s="144">
        <v>0</v>
      </c>
      <c r="O91" s="144">
        <v>-0.229</v>
      </c>
      <c r="P91" s="144">
        <v>-1.72</v>
      </c>
      <c r="Q91" s="144">
        <v>1.737</v>
      </c>
      <c r="R91" s="144">
        <f t="shared" si="20"/>
        <v>5.505</v>
      </c>
      <c r="S91" s="144">
        <v>0.031</v>
      </c>
      <c r="T91" s="145">
        <f t="shared" si="21"/>
        <v>5.536</v>
      </c>
      <c r="U91" s="146">
        <f t="shared" si="22"/>
        <v>5.57</v>
      </c>
      <c r="V91" s="143">
        <v>5.398</v>
      </c>
      <c r="W91" s="144">
        <v>0</v>
      </c>
      <c r="X91" s="144">
        <v>0.005</v>
      </c>
      <c r="Y91" s="144">
        <v>-1.401</v>
      </c>
      <c r="Z91" s="144">
        <v>1.717</v>
      </c>
      <c r="AA91" s="144">
        <f t="shared" si="23"/>
        <v>5.718999999999999</v>
      </c>
      <c r="AB91" s="144">
        <v>0.084</v>
      </c>
      <c r="AC91" s="145">
        <f t="shared" si="24"/>
        <v>5.803</v>
      </c>
      <c r="AD91" s="146">
        <f t="shared" si="25"/>
        <v>0</v>
      </c>
      <c r="AE91" s="146">
        <v>0</v>
      </c>
      <c r="AF91" s="147"/>
      <c r="AG91" s="143">
        <f t="shared" si="26"/>
        <v>5.718999999999999</v>
      </c>
      <c r="AH91" s="144">
        <f t="shared" si="17"/>
        <v>0</v>
      </c>
      <c r="AI91" s="144">
        <v>0</v>
      </c>
      <c r="AJ91" s="144">
        <f t="shared" si="27"/>
        <v>5.718999999999999</v>
      </c>
      <c r="AK91" s="144">
        <f t="shared" si="28"/>
        <v>6.0244346489998915</v>
      </c>
      <c r="AL91" s="144">
        <f t="shared" si="29"/>
        <v>0.084</v>
      </c>
      <c r="AM91" s="144">
        <f t="shared" si="30"/>
        <v>6.108434648999891</v>
      </c>
      <c r="AN91" s="144">
        <f t="shared" si="31"/>
        <v>5.969</v>
      </c>
      <c r="AO91" s="145">
        <f t="shared" si="32"/>
        <v>0</v>
      </c>
      <c r="AP91" s="148"/>
      <c r="AQ91" s="143">
        <v>0</v>
      </c>
      <c r="AR91" s="145">
        <f t="shared" si="33"/>
        <v>5.969</v>
      </c>
    </row>
    <row r="92" spans="1:44" ht="12.75">
      <c r="A92" s="129" t="s">
        <v>318</v>
      </c>
      <c r="B92" s="130">
        <v>10279</v>
      </c>
      <c r="C92" s="131" t="s">
        <v>319</v>
      </c>
      <c r="D92" s="132">
        <v>262</v>
      </c>
      <c r="E92" s="149">
        <v>61.213</v>
      </c>
      <c r="F92" s="150">
        <v>0</v>
      </c>
      <c r="G92" s="150">
        <v>-0.116</v>
      </c>
      <c r="H92" s="150">
        <v>0</v>
      </c>
      <c r="I92" s="150">
        <v>0</v>
      </c>
      <c r="J92" s="150">
        <f t="shared" si="18"/>
        <v>61.097</v>
      </c>
      <c r="K92" s="150">
        <v>0.025</v>
      </c>
      <c r="L92" s="151">
        <f t="shared" si="19"/>
        <v>61.122</v>
      </c>
      <c r="M92" s="149">
        <v>65.72</v>
      </c>
      <c r="N92" s="150">
        <v>0</v>
      </c>
      <c r="O92" s="150">
        <v>-0.417</v>
      </c>
      <c r="P92" s="150">
        <v>0</v>
      </c>
      <c r="Q92" s="150">
        <v>0</v>
      </c>
      <c r="R92" s="150">
        <f t="shared" si="20"/>
        <v>65.303</v>
      </c>
      <c r="S92" s="150">
        <v>0.128</v>
      </c>
      <c r="T92" s="151">
        <f t="shared" si="21"/>
        <v>65.431</v>
      </c>
      <c r="U92" s="152">
        <f t="shared" si="22"/>
        <v>63.277</v>
      </c>
      <c r="V92" s="149">
        <v>67.672</v>
      </c>
      <c r="W92" s="150">
        <v>0</v>
      </c>
      <c r="X92" s="150">
        <v>0.032</v>
      </c>
      <c r="Y92" s="150">
        <v>0</v>
      </c>
      <c r="Z92" s="150">
        <v>0</v>
      </c>
      <c r="AA92" s="150">
        <f t="shared" si="23"/>
        <v>67.704</v>
      </c>
      <c r="AB92" s="150">
        <v>0.389</v>
      </c>
      <c r="AC92" s="151">
        <f t="shared" si="24"/>
        <v>68.093</v>
      </c>
      <c r="AD92" s="152">
        <f t="shared" si="25"/>
        <v>0</v>
      </c>
      <c r="AE92" s="152">
        <v>0</v>
      </c>
      <c r="AF92" s="137"/>
      <c r="AG92" s="149">
        <f t="shared" si="26"/>
        <v>67.704</v>
      </c>
      <c r="AH92" s="150">
        <f t="shared" si="17"/>
        <v>0</v>
      </c>
      <c r="AI92" s="150">
        <v>-4.222</v>
      </c>
      <c r="AJ92" s="150">
        <f t="shared" si="27"/>
        <v>63.48199999999999</v>
      </c>
      <c r="AK92" s="150">
        <f t="shared" si="28"/>
        <v>66.87238335160187</v>
      </c>
      <c r="AL92" s="150">
        <f t="shared" si="29"/>
        <v>0.389</v>
      </c>
      <c r="AM92" s="150">
        <f t="shared" si="30"/>
        <v>67.26138335160186</v>
      </c>
      <c r="AN92" s="150">
        <f t="shared" si="31"/>
        <v>65.731</v>
      </c>
      <c r="AO92" s="151">
        <f t="shared" si="32"/>
        <v>0</v>
      </c>
      <c r="AP92" s="138"/>
      <c r="AQ92" s="149">
        <v>0</v>
      </c>
      <c r="AR92" s="151">
        <f t="shared" si="33"/>
        <v>65.731</v>
      </c>
    </row>
    <row r="93" spans="1:44" ht="12.75">
      <c r="A93" s="139" t="s">
        <v>320</v>
      </c>
      <c r="B93" s="140">
        <v>10278</v>
      </c>
      <c r="C93" s="141" t="s">
        <v>321</v>
      </c>
      <c r="D93" s="142">
        <v>370</v>
      </c>
      <c r="E93" s="143">
        <v>37.885</v>
      </c>
      <c r="F93" s="144">
        <v>0</v>
      </c>
      <c r="G93" s="144">
        <v>-0.375</v>
      </c>
      <c r="H93" s="144">
        <v>0</v>
      </c>
      <c r="I93" s="144">
        <v>0</v>
      </c>
      <c r="J93" s="144">
        <f t="shared" si="18"/>
        <v>37.51</v>
      </c>
      <c r="K93" s="144">
        <v>0.035</v>
      </c>
      <c r="L93" s="145">
        <f t="shared" si="19"/>
        <v>37.545</v>
      </c>
      <c r="M93" s="143">
        <v>38.725</v>
      </c>
      <c r="N93" s="144">
        <v>0</v>
      </c>
      <c r="O93" s="144">
        <v>-1.169</v>
      </c>
      <c r="P93" s="144">
        <v>0</v>
      </c>
      <c r="Q93" s="144">
        <v>0</v>
      </c>
      <c r="R93" s="144">
        <f t="shared" si="20"/>
        <v>37.556000000000004</v>
      </c>
      <c r="S93" s="144">
        <v>0.071</v>
      </c>
      <c r="T93" s="145">
        <f t="shared" si="21"/>
        <v>37.627</v>
      </c>
      <c r="U93" s="146">
        <f t="shared" si="22"/>
        <v>37.586</v>
      </c>
      <c r="V93" s="143">
        <v>37.871</v>
      </c>
      <c r="W93" s="144">
        <v>0</v>
      </c>
      <c r="X93" s="144">
        <v>0.028</v>
      </c>
      <c r="Y93" s="144">
        <v>0</v>
      </c>
      <c r="Z93" s="144">
        <v>0</v>
      </c>
      <c r="AA93" s="144">
        <f t="shared" si="23"/>
        <v>37.899</v>
      </c>
      <c r="AB93" s="144">
        <v>0.192</v>
      </c>
      <c r="AC93" s="145">
        <f t="shared" si="24"/>
        <v>38.091</v>
      </c>
      <c r="AD93" s="146">
        <f t="shared" si="25"/>
        <v>0</v>
      </c>
      <c r="AE93" s="146">
        <v>0</v>
      </c>
      <c r="AF93" s="147"/>
      <c r="AG93" s="143">
        <f t="shared" si="26"/>
        <v>37.899</v>
      </c>
      <c r="AH93" s="144">
        <f t="shared" si="17"/>
        <v>0</v>
      </c>
      <c r="AI93" s="144">
        <v>-2.66</v>
      </c>
      <c r="AJ93" s="144">
        <f t="shared" si="27"/>
        <v>35.239000000000004</v>
      </c>
      <c r="AK93" s="144">
        <f t="shared" si="28"/>
        <v>37.1210093715872</v>
      </c>
      <c r="AL93" s="144">
        <f t="shared" si="29"/>
        <v>0.192</v>
      </c>
      <c r="AM93" s="144">
        <f t="shared" si="30"/>
        <v>37.3130093715872</v>
      </c>
      <c r="AN93" s="144">
        <f t="shared" si="31"/>
        <v>36.464</v>
      </c>
      <c r="AO93" s="145">
        <f t="shared" si="32"/>
        <v>0</v>
      </c>
      <c r="AP93" s="148"/>
      <c r="AQ93" s="143">
        <v>0</v>
      </c>
      <c r="AR93" s="145">
        <f t="shared" si="33"/>
        <v>36.464</v>
      </c>
    </row>
    <row r="94" spans="1:44" ht="12.75">
      <c r="A94" s="129" t="s">
        <v>322</v>
      </c>
      <c r="B94" s="130">
        <v>10284</v>
      </c>
      <c r="C94" s="131" t="s">
        <v>323</v>
      </c>
      <c r="D94" s="132">
        <v>372</v>
      </c>
      <c r="E94" s="149">
        <v>9.621</v>
      </c>
      <c r="F94" s="150">
        <v>0</v>
      </c>
      <c r="G94" s="150">
        <v>-0.15</v>
      </c>
      <c r="H94" s="150">
        <v>0</v>
      </c>
      <c r="I94" s="150">
        <v>0</v>
      </c>
      <c r="J94" s="150">
        <f t="shared" si="18"/>
        <v>9.471</v>
      </c>
      <c r="K94" s="150">
        <v>0.038</v>
      </c>
      <c r="L94" s="151">
        <f t="shared" si="19"/>
        <v>9.509</v>
      </c>
      <c r="M94" s="149">
        <v>10.077</v>
      </c>
      <c r="N94" s="150">
        <v>0</v>
      </c>
      <c r="O94" s="150">
        <v>-0.44</v>
      </c>
      <c r="P94" s="150">
        <v>0</v>
      </c>
      <c r="Q94" s="150">
        <v>0</v>
      </c>
      <c r="R94" s="150">
        <f t="shared" si="20"/>
        <v>9.637</v>
      </c>
      <c r="S94" s="150">
        <v>0.058</v>
      </c>
      <c r="T94" s="151">
        <f t="shared" si="21"/>
        <v>9.695</v>
      </c>
      <c r="U94" s="152">
        <f t="shared" si="22"/>
        <v>9.602</v>
      </c>
      <c r="V94" s="149">
        <v>9.76</v>
      </c>
      <c r="W94" s="150">
        <v>0</v>
      </c>
      <c r="X94" s="150">
        <v>0.142</v>
      </c>
      <c r="Y94" s="150">
        <v>0</v>
      </c>
      <c r="Z94" s="150">
        <v>0</v>
      </c>
      <c r="AA94" s="150">
        <f t="shared" si="23"/>
        <v>9.902</v>
      </c>
      <c r="AB94" s="150">
        <v>0.119</v>
      </c>
      <c r="AC94" s="151">
        <f t="shared" si="24"/>
        <v>10.021</v>
      </c>
      <c r="AD94" s="152">
        <f t="shared" si="25"/>
        <v>0</v>
      </c>
      <c r="AE94" s="152">
        <v>0</v>
      </c>
      <c r="AF94" s="137"/>
      <c r="AG94" s="149">
        <f t="shared" si="26"/>
        <v>9.902</v>
      </c>
      <c r="AH94" s="150">
        <f t="shared" si="17"/>
        <v>0</v>
      </c>
      <c r="AI94" s="150">
        <v>0</v>
      </c>
      <c r="AJ94" s="150">
        <f t="shared" si="27"/>
        <v>9.902</v>
      </c>
      <c r="AK94" s="150">
        <f t="shared" si="28"/>
        <v>10.430836141702557</v>
      </c>
      <c r="AL94" s="150">
        <f t="shared" si="29"/>
        <v>0.119</v>
      </c>
      <c r="AM94" s="150">
        <f t="shared" si="30"/>
        <v>10.549836141702556</v>
      </c>
      <c r="AN94" s="150">
        <f t="shared" si="31"/>
        <v>10.31</v>
      </c>
      <c r="AO94" s="151">
        <f t="shared" si="32"/>
        <v>0</v>
      </c>
      <c r="AP94" s="138"/>
      <c r="AQ94" s="149">
        <v>0</v>
      </c>
      <c r="AR94" s="151">
        <f t="shared" si="33"/>
        <v>10.31</v>
      </c>
    </row>
    <row r="95" spans="1:44" ht="12.75">
      <c r="A95" s="139" t="s">
        <v>324</v>
      </c>
      <c r="B95" s="140">
        <v>10286</v>
      </c>
      <c r="C95" s="141" t="s">
        <v>39</v>
      </c>
      <c r="D95" s="142">
        <v>266</v>
      </c>
      <c r="E95" s="143">
        <v>75.593</v>
      </c>
      <c r="F95" s="144">
        <v>0</v>
      </c>
      <c r="G95" s="144">
        <v>-2.291</v>
      </c>
      <c r="H95" s="144">
        <v>-8.157</v>
      </c>
      <c r="I95" s="144">
        <v>8.28</v>
      </c>
      <c r="J95" s="144">
        <f t="shared" si="18"/>
        <v>73.42500000000001</v>
      </c>
      <c r="K95" s="144">
        <v>0.109</v>
      </c>
      <c r="L95" s="145">
        <f t="shared" si="19"/>
        <v>73.534</v>
      </c>
      <c r="M95" s="143">
        <v>77.86</v>
      </c>
      <c r="N95" s="144">
        <v>0</v>
      </c>
      <c r="O95" s="144">
        <v>-3.935</v>
      </c>
      <c r="P95" s="144">
        <v>-8.191</v>
      </c>
      <c r="Q95" s="144">
        <v>8.28</v>
      </c>
      <c r="R95" s="144">
        <f t="shared" si="20"/>
        <v>74.014</v>
      </c>
      <c r="S95" s="144">
        <v>0.291</v>
      </c>
      <c r="T95" s="145">
        <f t="shared" si="21"/>
        <v>74.305</v>
      </c>
      <c r="U95" s="146">
        <f t="shared" si="22"/>
        <v>73.92</v>
      </c>
      <c r="V95" s="143">
        <v>69.634</v>
      </c>
      <c r="W95" s="144">
        <v>0</v>
      </c>
      <c r="X95" s="144">
        <v>0.073</v>
      </c>
      <c r="Y95" s="144">
        <v>-8.488</v>
      </c>
      <c r="Z95" s="144">
        <v>8.421</v>
      </c>
      <c r="AA95" s="144">
        <f t="shared" si="23"/>
        <v>69.63999999999999</v>
      </c>
      <c r="AB95" s="144">
        <v>0.678</v>
      </c>
      <c r="AC95" s="145">
        <f t="shared" si="24"/>
        <v>70.318</v>
      </c>
      <c r="AD95" s="146">
        <f t="shared" si="25"/>
        <v>3.602000000000004</v>
      </c>
      <c r="AE95" s="146">
        <v>0</v>
      </c>
      <c r="AF95" s="147"/>
      <c r="AG95" s="143">
        <f t="shared" si="26"/>
        <v>69.63999999999999</v>
      </c>
      <c r="AH95" s="144">
        <f t="shared" si="17"/>
        <v>3.602000000000004</v>
      </c>
      <c r="AI95" s="144">
        <v>-25.628</v>
      </c>
      <c r="AJ95" s="144">
        <f t="shared" si="27"/>
        <v>47.61399999999999</v>
      </c>
      <c r="AK95" s="144">
        <f t="shared" si="28"/>
        <v>50.15692103120839</v>
      </c>
      <c r="AL95" s="144">
        <f t="shared" si="29"/>
        <v>0.678</v>
      </c>
      <c r="AM95" s="144">
        <f t="shared" si="30"/>
        <v>50.83492103120839</v>
      </c>
      <c r="AN95" s="144">
        <f t="shared" si="31"/>
        <v>49.678</v>
      </c>
      <c r="AO95" s="145">
        <f t="shared" si="32"/>
        <v>3.758</v>
      </c>
      <c r="AP95" s="148"/>
      <c r="AQ95" s="143">
        <v>0</v>
      </c>
      <c r="AR95" s="145">
        <f t="shared" si="33"/>
        <v>49.678</v>
      </c>
    </row>
    <row r="96" spans="1:44" ht="12.75">
      <c r="A96" s="129" t="s">
        <v>325</v>
      </c>
      <c r="B96" s="130">
        <v>10285</v>
      </c>
      <c r="C96" s="131" t="s">
        <v>326</v>
      </c>
      <c r="D96" s="132">
        <v>373</v>
      </c>
      <c r="E96" s="149">
        <v>6.602</v>
      </c>
      <c r="F96" s="150">
        <v>0</v>
      </c>
      <c r="G96" s="150">
        <v>-0.283</v>
      </c>
      <c r="H96" s="150">
        <v>0</v>
      </c>
      <c r="I96" s="150">
        <v>0</v>
      </c>
      <c r="J96" s="150">
        <f t="shared" si="18"/>
        <v>6.319</v>
      </c>
      <c r="K96" s="150">
        <v>0.024</v>
      </c>
      <c r="L96" s="151">
        <f t="shared" si="19"/>
        <v>6.343</v>
      </c>
      <c r="M96" s="149">
        <v>6.842</v>
      </c>
      <c r="N96" s="150">
        <v>0</v>
      </c>
      <c r="O96" s="150">
        <v>-0.535</v>
      </c>
      <c r="P96" s="150">
        <v>0</v>
      </c>
      <c r="Q96" s="150">
        <v>0</v>
      </c>
      <c r="R96" s="150">
        <f t="shared" si="20"/>
        <v>6.3069999999999995</v>
      </c>
      <c r="S96" s="150">
        <v>0.056</v>
      </c>
      <c r="T96" s="151">
        <f t="shared" si="21"/>
        <v>6.363</v>
      </c>
      <c r="U96" s="152">
        <f t="shared" si="22"/>
        <v>6.353</v>
      </c>
      <c r="V96" s="149">
        <v>6.371</v>
      </c>
      <c r="W96" s="150">
        <v>0</v>
      </c>
      <c r="X96" s="150">
        <v>-0.04</v>
      </c>
      <c r="Y96" s="150">
        <v>0</v>
      </c>
      <c r="Z96" s="150">
        <v>0</v>
      </c>
      <c r="AA96" s="150">
        <f t="shared" si="23"/>
        <v>6.331</v>
      </c>
      <c r="AB96" s="150">
        <v>0.111</v>
      </c>
      <c r="AC96" s="151">
        <f t="shared" si="24"/>
        <v>6.442</v>
      </c>
      <c r="AD96" s="152">
        <f t="shared" si="25"/>
        <v>0</v>
      </c>
      <c r="AE96" s="152">
        <v>0</v>
      </c>
      <c r="AF96" s="137"/>
      <c r="AG96" s="149">
        <f t="shared" si="26"/>
        <v>6.331</v>
      </c>
      <c r="AH96" s="150">
        <f t="shared" si="17"/>
        <v>0</v>
      </c>
      <c r="AI96" s="150">
        <v>0</v>
      </c>
      <c r="AJ96" s="150">
        <f t="shared" si="27"/>
        <v>6.331</v>
      </c>
      <c r="AK96" s="150">
        <f t="shared" si="28"/>
        <v>6.669119734712068</v>
      </c>
      <c r="AL96" s="150">
        <f t="shared" si="29"/>
        <v>0.111</v>
      </c>
      <c r="AM96" s="150">
        <f t="shared" si="30"/>
        <v>6.780119734712068</v>
      </c>
      <c r="AN96" s="150">
        <f t="shared" si="31"/>
        <v>6.626</v>
      </c>
      <c r="AO96" s="151">
        <f t="shared" si="32"/>
        <v>0</v>
      </c>
      <c r="AP96" s="138"/>
      <c r="AQ96" s="149">
        <v>0</v>
      </c>
      <c r="AR96" s="151">
        <f t="shared" si="33"/>
        <v>6.626</v>
      </c>
    </row>
    <row r="97" spans="1:44" ht="12.75">
      <c r="A97" s="139" t="s">
        <v>327</v>
      </c>
      <c r="B97" s="140">
        <v>10288</v>
      </c>
      <c r="C97" s="141" t="s">
        <v>40</v>
      </c>
      <c r="D97" s="142">
        <v>376</v>
      </c>
      <c r="E97" s="143">
        <v>24.41</v>
      </c>
      <c r="F97" s="144">
        <v>0</v>
      </c>
      <c r="G97" s="144">
        <v>-0.284</v>
      </c>
      <c r="H97" s="144">
        <v>0</v>
      </c>
      <c r="I97" s="144">
        <v>0</v>
      </c>
      <c r="J97" s="144">
        <f t="shared" si="18"/>
        <v>24.126</v>
      </c>
      <c r="K97" s="144">
        <v>0.015</v>
      </c>
      <c r="L97" s="145">
        <f t="shared" si="19"/>
        <v>24.141</v>
      </c>
      <c r="M97" s="143">
        <v>25.36</v>
      </c>
      <c r="N97" s="144">
        <v>0</v>
      </c>
      <c r="O97" s="144">
        <v>-0.761</v>
      </c>
      <c r="P97" s="144">
        <v>0</v>
      </c>
      <c r="Q97" s="144">
        <v>0</v>
      </c>
      <c r="R97" s="144">
        <f t="shared" si="20"/>
        <v>24.599</v>
      </c>
      <c r="S97" s="144">
        <v>0.076</v>
      </c>
      <c r="T97" s="145">
        <f t="shared" si="21"/>
        <v>24.675</v>
      </c>
      <c r="U97" s="146">
        <f t="shared" si="22"/>
        <v>24.408</v>
      </c>
      <c r="V97" s="143">
        <v>23.437</v>
      </c>
      <c r="W97" s="144">
        <v>0</v>
      </c>
      <c r="X97" s="144">
        <v>0.264</v>
      </c>
      <c r="Y97" s="144">
        <v>0</v>
      </c>
      <c r="Z97" s="144">
        <v>0</v>
      </c>
      <c r="AA97" s="144">
        <f t="shared" si="23"/>
        <v>23.701</v>
      </c>
      <c r="AB97" s="144">
        <v>0.456</v>
      </c>
      <c r="AC97" s="145">
        <f t="shared" si="24"/>
        <v>24.157</v>
      </c>
      <c r="AD97" s="146">
        <f t="shared" si="25"/>
        <v>0.2510000000000012</v>
      </c>
      <c r="AE97" s="146">
        <v>0</v>
      </c>
      <c r="AF97" s="147"/>
      <c r="AG97" s="143">
        <f t="shared" si="26"/>
        <v>23.701</v>
      </c>
      <c r="AH97" s="144">
        <f t="shared" si="17"/>
        <v>0.2510000000000012</v>
      </c>
      <c r="AI97" s="144">
        <v>0</v>
      </c>
      <c r="AJ97" s="144">
        <f t="shared" si="27"/>
        <v>23.952</v>
      </c>
      <c r="AK97" s="144">
        <f t="shared" si="28"/>
        <v>25.231204531009865</v>
      </c>
      <c r="AL97" s="144">
        <f t="shared" si="29"/>
        <v>0.456</v>
      </c>
      <c r="AM97" s="144">
        <f t="shared" si="30"/>
        <v>25.687204531009865</v>
      </c>
      <c r="AN97" s="144">
        <f t="shared" si="31"/>
        <v>25.103</v>
      </c>
      <c r="AO97" s="145">
        <f t="shared" si="32"/>
        <v>0.263</v>
      </c>
      <c r="AP97" s="148"/>
      <c r="AQ97" s="143">
        <v>0</v>
      </c>
      <c r="AR97" s="145">
        <f t="shared" si="33"/>
        <v>25.103</v>
      </c>
    </row>
    <row r="98" spans="1:44" ht="12.75">
      <c r="A98" s="129" t="s">
        <v>328</v>
      </c>
      <c r="B98" s="130">
        <v>10291</v>
      </c>
      <c r="C98" s="131" t="s">
        <v>41</v>
      </c>
      <c r="D98" s="132">
        <v>371</v>
      </c>
      <c r="E98" s="149">
        <v>81.781</v>
      </c>
      <c r="F98" s="150">
        <v>0</v>
      </c>
      <c r="G98" s="150">
        <v>-0.115</v>
      </c>
      <c r="H98" s="150">
        <v>-6.633</v>
      </c>
      <c r="I98" s="150">
        <v>5.542</v>
      </c>
      <c r="J98" s="150">
        <f t="shared" si="18"/>
        <v>80.57500000000002</v>
      </c>
      <c r="K98" s="150">
        <v>0.09</v>
      </c>
      <c r="L98" s="151">
        <f t="shared" si="19"/>
        <v>80.665</v>
      </c>
      <c r="M98" s="149">
        <v>80.434</v>
      </c>
      <c r="N98" s="150">
        <v>0</v>
      </c>
      <c r="O98" s="150">
        <v>-1.055</v>
      </c>
      <c r="P98" s="150">
        <v>-5.805</v>
      </c>
      <c r="Q98" s="150">
        <v>5.763</v>
      </c>
      <c r="R98" s="150">
        <f t="shared" si="20"/>
        <v>79.33699999999999</v>
      </c>
      <c r="S98" s="150">
        <v>0.363</v>
      </c>
      <c r="T98" s="151">
        <f t="shared" si="21"/>
        <v>79.7</v>
      </c>
      <c r="U98" s="152">
        <f t="shared" si="22"/>
        <v>80.183</v>
      </c>
      <c r="V98" s="149">
        <v>74.09</v>
      </c>
      <c r="W98" s="150">
        <v>0</v>
      </c>
      <c r="X98" s="150">
        <v>0.223</v>
      </c>
      <c r="Y98" s="150">
        <v>-4.868</v>
      </c>
      <c r="Z98" s="150">
        <v>5.687</v>
      </c>
      <c r="AA98" s="150">
        <f t="shared" si="23"/>
        <v>75.132</v>
      </c>
      <c r="AB98" s="150">
        <v>1.065</v>
      </c>
      <c r="AC98" s="151">
        <f t="shared" si="24"/>
        <v>76.197</v>
      </c>
      <c r="AD98" s="152">
        <f t="shared" si="25"/>
        <v>3.986000000000004</v>
      </c>
      <c r="AE98" s="152">
        <v>0</v>
      </c>
      <c r="AF98" s="137"/>
      <c r="AG98" s="149">
        <f t="shared" si="26"/>
        <v>75.132</v>
      </c>
      <c r="AH98" s="150">
        <f t="shared" si="17"/>
        <v>3.986000000000004</v>
      </c>
      <c r="AI98" s="150">
        <v>0</v>
      </c>
      <c r="AJ98" s="150">
        <f t="shared" si="27"/>
        <v>79.11800000000001</v>
      </c>
      <c r="AK98" s="150">
        <f t="shared" si="28"/>
        <v>83.3434552473463</v>
      </c>
      <c r="AL98" s="150">
        <f t="shared" si="29"/>
        <v>1.065</v>
      </c>
      <c r="AM98" s="150">
        <f t="shared" si="30"/>
        <v>84.4084552473463</v>
      </c>
      <c r="AN98" s="150">
        <f t="shared" si="31"/>
        <v>82.488</v>
      </c>
      <c r="AO98" s="151">
        <f t="shared" si="32"/>
        <v>4.156</v>
      </c>
      <c r="AP98" s="138"/>
      <c r="AQ98" s="149">
        <v>0</v>
      </c>
      <c r="AR98" s="151">
        <f t="shared" si="33"/>
        <v>82.488</v>
      </c>
    </row>
    <row r="99" spans="1:44" ht="12.75">
      <c r="A99" s="139" t="s">
        <v>329</v>
      </c>
      <c r="B99" s="140">
        <v>10294</v>
      </c>
      <c r="C99" s="141" t="s">
        <v>42</v>
      </c>
      <c r="D99" s="142">
        <v>270</v>
      </c>
      <c r="E99" s="143">
        <v>35.597</v>
      </c>
      <c r="F99" s="144">
        <v>0</v>
      </c>
      <c r="G99" s="144">
        <v>-0.651</v>
      </c>
      <c r="H99" s="144">
        <v>0</v>
      </c>
      <c r="I99" s="144">
        <v>0</v>
      </c>
      <c r="J99" s="144">
        <f t="shared" si="18"/>
        <v>34.946</v>
      </c>
      <c r="K99" s="144">
        <v>0.013</v>
      </c>
      <c r="L99" s="145">
        <f t="shared" si="19"/>
        <v>34.959</v>
      </c>
      <c r="M99" s="143">
        <v>37.217</v>
      </c>
      <c r="N99" s="144">
        <v>0</v>
      </c>
      <c r="O99" s="144">
        <v>-1.677</v>
      </c>
      <c r="P99" s="144">
        <v>0</v>
      </c>
      <c r="Q99" s="144">
        <v>0</v>
      </c>
      <c r="R99" s="144">
        <f t="shared" si="20"/>
        <v>35.54</v>
      </c>
      <c r="S99" s="144">
        <v>0.31</v>
      </c>
      <c r="T99" s="145">
        <f t="shared" si="21"/>
        <v>35.85</v>
      </c>
      <c r="U99" s="146">
        <f t="shared" si="22"/>
        <v>35.405</v>
      </c>
      <c r="V99" s="143">
        <v>34.216</v>
      </c>
      <c r="W99" s="144">
        <v>0</v>
      </c>
      <c r="X99" s="144">
        <v>0.597</v>
      </c>
      <c r="Y99" s="144">
        <v>0</v>
      </c>
      <c r="Z99" s="144">
        <v>0</v>
      </c>
      <c r="AA99" s="144">
        <f t="shared" si="23"/>
        <v>34.813</v>
      </c>
      <c r="AB99" s="144">
        <v>1.055</v>
      </c>
      <c r="AC99" s="145">
        <f t="shared" si="24"/>
        <v>35.868</v>
      </c>
      <c r="AD99" s="146">
        <f t="shared" si="25"/>
        <v>0</v>
      </c>
      <c r="AE99" s="146">
        <v>0</v>
      </c>
      <c r="AF99" s="147"/>
      <c r="AG99" s="143">
        <f t="shared" si="26"/>
        <v>34.813</v>
      </c>
      <c r="AH99" s="144">
        <f t="shared" si="17"/>
        <v>0</v>
      </c>
      <c r="AI99" s="144">
        <v>0</v>
      </c>
      <c r="AJ99" s="144">
        <f t="shared" si="27"/>
        <v>34.813</v>
      </c>
      <c r="AK99" s="144">
        <f t="shared" si="28"/>
        <v>36.672257988395394</v>
      </c>
      <c r="AL99" s="144">
        <f t="shared" si="29"/>
        <v>1.055</v>
      </c>
      <c r="AM99" s="144">
        <f t="shared" si="30"/>
        <v>37.727257988395394</v>
      </c>
      <c r="AN99" s="144">
        <f t="shared" si="31"/>
        <v>36.869</v>
      </c>
      <c r="AO99" s="145">
        <f t="shared" si="32"/>
        <v>0</v>
      </c>
      <c r="AP99" s="148"/>
      <c r="AQ99" s="143">
        <v>0</v>
      </c>
      <c r="AR99" s="145">
        <f t="shared" si="33"/>
        <v>36.869</v>
      </c>
    </row>
    <row r="100" spans="1:44" ht="12.75">
      <c r="A100" s="129" t="s">
        <v>330</v>
      </c>
      <c r="B100" s="130">
        <v>10304</v>
      </c>
      <c r="C100" s="131" t="s">
        <v>43</v>
      </c>
      <c r="D100" s="132">
        <v>375</v>
      </c>
      <c r="E100" s="149">
        <v>13.949</v>
      </c>
      <c r="F100" s="150">
        <v>0</v>
      </c>
      <c r="G100" s="150">
        <v>-0.155</v>
      </c>
      <c r="H100" s="150">
        <v>0</v>
      </c>
      <c r="I100" s="150">
        <v>0</v>
      </c>
      <c r="J100" s="150">
        <f t="shared" si="18"/>
        <v>13.794</v>
      </c>
      <c r="K100" s="150">
        <v>0</v>
      </c>
      <c r="L100" s="151">
        <f t="shared" si="19"/>
        <v>13.794</v>
      </c>
      <c r="M100" s="149">
        <v>14.372</v>
      </c>
      <c r="N100" s="150">
        <v>0</v>
      </c>
      <c r="O100" s="150">
        <v>-0.437</v>
      </c>
      <c r="P100" s="150">
        <v>0</v>
      </c>
      <c r="Q100" s="150">
        <v>0</v>
      </c>
      <c r="R100" s="150">
        <f t="shared" si="20"/>
        <v>13.935</v>
      </c>
      <c r="S100" s="150">
        <v>0.021</v>
      </c>
      <c r="T100" s="151">
        <f t="shared" si="21"/>
        <v>13.956</v>
      </c>
      <c r="U100" s="152">
        <f t="shared" si="22"/>
        <v>13.875</v>
      </c>
      <c r="V100" s="149">
        <v>13.616</v>
      </c>
      <c r="W100" s="150">
        <v>0</v>
      </c>
      <c r="X100" s="150">
        <v>0.127</v>
      </c>
      <c r="Y100" s="150">
        <v>0</v>
      </c>
      <c r="Z100" s="150">
        <v>0</v>
      </c>
      <c r="AA100" s="150">
        <f t="shared" si="23"/>
        <v>13.743</v>
      </c>
      <c r="AB100" s="150">
        <v>0.106</v>
      </c>
      <c r="AC100" s="151">
        <f t="shared" si="24"/>
        <v>13.849</v>
      </c>
      <c r="AD100" s="152">
        <f t="shared" si="25"/>
        <v>0.0259999999999998</v>
      </c>
      <c r="AE100" s="152">
        <v>0</v>
      </c>
      <c r="AF100" s="137"/>
      <c r="AG100" s="149">
        <f t="shared" si="26"/>
        <v>13.743</v>
      </c>
      <c r="AH100" s="150">
        <f t="shared" si="17"/>
        <v>0.0259999999999998</v>
      </c>
      <c r="AI100" s="150">
        <v>0</v>
      </c>
      <c r="AJ100" s="150">
        <f t="shared" si="27"/>
        <v>13.769</v>
      </c>
      <c r="AK100" s="150">
        <f t="shared" si="28"/>
        <v>14.50436102152116</v>
      </c>
      <c r="AL100" s="150">
        <f t="shared" si="29"/>
        <v>0.106</v>
      </c>
      <c r="AM100" s="150">
        <f t="shared" si="30"/>
        <v>14.61036102152116</v>
      </c>
      <c r="AN100" s="150">
        <f t="shared" si="31"/>
        <v>14.278</v>
      </c>
      <c r="AO100" s="151">
        <f t="shared" si="32"/>
        <v>0.027</v>
      </c>
      <c r="AP100" s="138"/>
      <c r="AQ100" s="149">
        <v>0</v>
      </c>
      <c r="AR100" s="151">
        <f t="shared" si="33"/>
        <v>14.278</v>
      </c>
    </row>
    <row r="101" spans="1:44" ht="12.75">
      <c r="A101" s="139" t="s">
        <v>331</v>
      </c>
      <c r="B101" s="140">
        <v>10306</v>
      </c>
      <c r="C101" s="141" t="s">
        <v>44</v>
      </c>
      <c r="D101" s="142">
        <v>273</v>
      </c>
      <c r="E101" s="143">
        <v>108.442</v>
      </c>
      <c r="F101" s="144">
        <v>-52.677</v>
      </c>
      <c r="G101" s="144">
        <v>-0.41</v>
      </c>
      <c r="H101" s="144">
        <v>0</v>
      </c>
      <c r="I101" s="144">
        <v>0</v>
      </c>
      <c r="J101" s="144">
        <f t="shared" si="18"/>
        <v>55.355</v>
      </c>
      <c r="K101" s="144">
        <v>0.017</v>
      </c>
      <c r="L101" s="145">
        <f t="shared" si="19"/>
        <v>55.372</v>
      </c>
      <c r="M101" s="143">
        <v>113.931</v>
      </c>
      <c r="N101" s="144">
        <v>-56.001</v>
      </c>
      <c r="O101" s="144">
        <v>-1.398</v>
      </c>
      <c r="P101" s="144">
        <v>0</v>
      </c>
      <c r="Q101" s="144">
        <v>0</v>
      </c>
      <c r="R101" s="144">
        <f t="shared" si="20"/>
        <v>56.532</v>
      </c>
      <c r="S101" s="144">
        <v>0.077</v>
      </c>
      <c r="T101" s="145">
        <f t="shared" si="21"/>
        <v>56.609</v>
      </c>
      <c r="U101" s="146">
        <f t="shared" si="22"/>
        <v>55.991</v>
      </c>
      <c r="V101" s="143">
        <v>113.449</v>
      </c>
      <c r="W101" s="144">
        <v>-60.765</v>
      </c>
      <c r="X101" s="144">
        <v>-0.138</v>
      </c>
      <c r="Y101" s="144">
        <v>0</v>
      </c>
      <c r="Z101" s="144">
        <v>0</v>
      </c>
      <c r="AA101" s="144">
        <f t="shared" si="23"/>
        <v>52.546</v>
      </c>
      <c r="AB101" s="144">
        <v>0.278</v>
      </c>
      <c r="AC101" s="145">
        <f t="shared" si="24"/>
        <v>52.824</v>
      </c>
      <c r="AD101" s="146">
        <f t="shared" si="25"/>
        <v>3.1670000000000016</v>
      </c>
      <c r="AE101" s="146">
        <v>0</v>
      </c>
      <c r="AF101" s="147"/>
      <c r="AG101" s="143">
        <f t="shared" si="26"/>
        <v>52.546</v>
      </c>
      <c r="AH101" s="144">
        <f t="shared" si="17"/>
        <v>3.1670000000000016</v>
      </c>
      <c r="AI101" s="144">
        <v>-27.375</v>
      </c>
      <c r="AJ101" s="144">
        <f t="shared" si="27"/>
        <v>28.338</v>
      </c>
      <c r="AK101" s="144">
        <f t="shared" si="28"/>
        <v>29.85144764528046</v>
      </c>
      <c r="AL101" s="144">
        <f t="shared" si="29"/>
        <v>0.278</v>
      </c>
      <c r="AM101" s="144">
        <f t="shared" si="30"/>
        <v>30.129447645280457</v>
      </c>
      <c r="AN101" s="144">
        <f t="shared" si="31"/>
        <v>29.444</v>
      </c>
      <c r="AO101" s="145">
        <f t="shared" si="32"/>
        <v>3.291</v>
      </c>
      <c r="AP101" s="148"/>
      <c r="AQ101" s="143">
        <v>0</v>
      </c>
      <c r="AR101" s="145">
        <f t="shared" si="33"/>
        <v>29.444</v>
      </c>
    </row>
    <row r="102" spans="1:44" ht="12.75">
      <c r="A102" s="129" t="s">
        <v>332</v>
      </c>
      <c r="B102" s="130">
        <v>10307</v>
      </c>
      <c r="C102" s="131" t="s">
        <v>333</v>
      </c>
      <c r="D102" s="132">
        <v>374</v>
      </c>
      <c r="E102" s="149">
        <v>65.758</v>
      </c>
      <c r="F102" s="150">
        <v>0</v>
      </c>
      <c r="G102" s="150">
        <v>-0.734</v>
      </c>
      <c r="H102" s="150">
        <v>0</v>
      </c>
      <c r="I102" s="150">
        <v>0</v>
      </c>
      <c r="J102" s="150">
        <f t="shared" si="18"/>
        <v>65.024</v>
      </c>
      <c r="K102" s="150">
        <v>0.002</v>
      </c>
      <c r="L102" s="151">
        <f t="shared" si="19"/>
        <v>65.026</v>
      </c>
      <c r="M102" s="149">
        <v>70.53</v>
      </c>
      <c r="N102" s="150">
        <v>0</v>
      </c>
      <c r="O102" s="150">
        <v>-2.183</v>
      </c>
      <c r="P102" s="150">
        <v>0</v>
      </c>
      <c r="Q102" s="150">
        <v>0</v>
      </c>
      <c r="R102" s="150">
        <f t="shared" si="20"/>
        <v>68.34700000000001</v>
      </c>
      <c r="S102" s="150">
        <v>0.389</v>
      </c>
      <c r="T102" s="151">
        <f t="shared" si="21"/>
        <v>68.736</v>
      </c>
      <c r="U102" s="152">
        <f t="shared" si="22"/>
        <v>66.881</v>
      </c>
      <c r="V102" s="149">
        <v>68.879</v>
      </c>
      <c r="W102" s="150">
        <v>0</v>
      </c>
      <c r="X102" s="150">
        <v>0.681</v>
      </c>
      <c r="Y102" s="150">
        <v>0</v>
      </c>
      <c r="Z102" s="150">
        <v>0</v>
      </c>
      <c r="AA102" s="150">
        <f t="shared" si="23"/>
        <v>69.56</v>
      </c>
      <c r="AB102" s="150">
        <v>1.485</v>
      </c>
      <c r="AC102" s="151">
        <f t="shared" si="24"/>
        <v>71.045</v>
      </c>
      <c r="AD102" s="152">
        <f t="shared" si="25"/>
        <v>0</v>
      </c>
      <c r="AE102" s="152">
        <v>0</v>
      </c>
      <c r="AF102" s="137"/>
      <c r="AG102" s="149">
        <f t="shared" si="26"/>
        <v>69.56</v>
      </c>
      <c r="AH102" s="150">
        <f t="shared" si="17"/>
        <v>0</v>
      </c>
      <c r="AI102" s="150">
        <v>0</v>
      </c>
      <c r="AJ102" s="150">
        <f t="shared" si="27"/>
        <v>69.56</v>
      </c>
      <c r="AK102" s="150">
        <f t="shared" si="28"/>
        <v>73.27499111460614</v>
      </c>
      <c r="AL102" s="150">
        <f t="shared" si="29"/>
        <v>1.485</v>
      </c>
      <c r="AM102" s="150">
        <f t="shared" si="30"/>
        <v>74.75999111460614</v>
      </c>
      <c r="AN102" s="150">
        <f t="shared" si="31"/>
        <v>73.059</v>
      </c>
      <c r="AO102" s="151">
        <f t="shared" si="32"/>
        <v>0</v>
      </c>
      <c r="AP102" s="138"/>
      <c r="AQ102" s="149">
        <v>0</v>
      </c>
      <c r="AR102" s="151">
        <f t="shared" si="33"/>
        <v>73.059</v>
      </c>
    </row>
    <row r="103" spans="1:44" ht="12.75">
      <c r="A103" s="139" t="s">
        <v>334</v>
      </c>
      <c r="B103" s="140">
        <v>10086</v>
      </c>
      <c r="C103" s="141" t="s">
        <v>45</v>
      </c>
      <c r="D103" s="142">
        <v>167</v>
      </c>
      <c r="E103" s="143">
        <v>3.788</v>
      </c>
      <c r="F103" s="144">
        <v>0</v>
      </c>
      <c r="G103" s="144">
        <v>0.016</v>
      </c>
      <c r="H103" s="144">
        <v>0</v>
      </c>
      <c r="I103" s="144">
        <v>0</v>
      </c>
      <c r="J103" s="144">
        <f t="shared" si="18"/>
        <v>3.804</v>
      </c>
      <c r="K103" s="144">
        <v>0</v>
      </c>
      <c r="L103" s="145">
        <f t="shared" si="19"/>
        <v>3.804</v>
      </c>
      <c r="M103" s="143">
        <v>4.016</v>
      </c>
      <c r="N103" s="144">
        <v>0</v>
      </c>
      <c r="O103" s="144">
        <v>-0.047</v>
      </c>
      <c r="P103" s="144">
        <v>0</v>
      </c>
      <c r="Q103" s="144">
        <v>0</v>
      </c>
      <c r="R103" s="144">
        <f t="shared" si="20"/>
        <v>3.969</v>
      </c>
      <c r="S103" s="144">
        <v>0.01</v>
      </c>
      <c r="T103" s="145">
        <f t="shared" si="21"/>
        <v>3.979</v>
      </c>
      <c r="U103" s="146">
        <f t="shared" si="22"/>
        <v>3.892</v>
      </c>
      <c r="V103" s="143">
        <v>3.812</v>
      </c>
      <c r="W103" s="144">
        <v>0</v>
      </c>
      <c r="X103" s="144">
        <v>0.013</v>
      </c>
      <c r="Y103" s="144">
        <v>0</v>
      </c>
      <c r="Z103" s="144">
        <v>0</v>
      </c>
      <c r="AA103" s="144">
        <f t="shared" si="23"/>
        <v>3.8249999999999997</v>
      </c>
      <c r="AB103" s="144">
        <v>0.057</v>
      </c>
      <c r="AC103" s="145">
        <f t="shared" si="24"/>
        <v>3.882</v>
      </c>
      <c r="AD103" s="146">
        <f t="shared" si="25"/>
        <v>0.009999999999999787</v>
      </c>
      <c r="AE103" s="146">
        <v>0</v>
      </c>
      <c r="AF103" s="147"/>
      <c r="AG103" s="143">
        <f t="shared" si="26"/>
        <v>3.8249999999999997</v>
      </c>
      <c r="AH103" s="144">
        <f t="shared" si="17"/>
        <v>0.009999999999999787</v>
      </c>
      <c r="AI103" s="144">
        <v>0</v>
      </c>
      <c r="AJ103" s="144">
        <f t="shared" si="27"/>
        <v>3.8349999999999995</v>
      </c>
      <c r="AK103" s="144">
        <f t="shared" si="28"/>
        <v>4.039815855729075</v>
      </c>
      <c r="AL103" s="144">
        <f t="shared" si="29"/>
        <v>0.057</v>
      </c>
      <c r="AM103" s="144">
        <f t="shared" si="30"/>
        <v>4.0968158557290755</v>
      </c>
      <c r="AN103" s="144">
        <f t="shared" si="31"/>
        <v>4.004</v>
      </c>
      <c r="AO103" s="145">
        <f t="shared" si="32"/>
        <v>0.01</v>
      </c>
      <c r="AP103" s="148"/>
      <c r="AQ103" s="143">
        <v>0</v>
      </c>
      <c r="AR103" s="145">
        <f t="shared" si="33"/>
        <v>4.004</v>
      </c>
    </row>
    <row r="104" spans="1:44" ht="12.75">
      <c r="A104" s="129" t="s">
        <v>335</v>
      </c>
      <c r="B104" s="130">
        <v>10087</v>
      </c>
      <c r="C104" s="131" t="s">
        <v>336</v>
      </c>
      <c r="D104" s="132">
        <v>170</v>
      </c>
      <c r="E104" s="149">
        <v>82.144</v>
      </c>
      <c r="F104" s="150">
        <v>0</v>
      </c>
      <c r="G104" s="150">
        <v>-0.536</v>
      </c>
      <c r="H104" s="150">
        <v>0</v>
      </c>
      <c r="I104" s="150">
        <v>0</v>
      </c>
      <c r="J104" s="150">
        <f t="shared" si="18"/>
        <v>81.608</v>
      </c>
      <c r="K104" s="150">
        <v>0.038</v>
      </c>
      <c r="L104" s="151">
        <f t="shared" si="19"/>
        <v>81.646</v>
      </c>
      <c r="M104" s="149">
        <v>82.677</v>
      </c>
      <c r="N104" s="150">
        <v>0</v>
      </c>
      <c r="O104" s="150">
        <v>-1.188</v>
      </c>
      <c r="P104" s="150">
        <v>0</v>
      </c>
      <c r="Q104" s="150">
        <v>0</v>
      </c>
      <c r="R104" s="150">
        <f t="shared" si="20"/>
        <v>81.489</v>
      </c>
      <c r="S104" s="150">
        <v>0.311</v>
      </c>
      <c r="T104" s="151">
        <f t="shared" si="21"/>
        <v>81.8</v>
      </c>
      <c r="U104" s="152">
        <f t="shared" si="22"/>
        <v>81.723</v>
      </c>
      <c r="V104" s="149">
        <v>83.628</v>
      </c>
      <c r="W104" s="150">
        <v>0</v>
      </c>
      <c r="X104" s="150">
        <v>-0.204</v>
      </c>
      <c r="Y104" s="150">
        <v>0</v>
      </c>
      <c r="Z104" s="150">
        <v>0</v>
      </c>
      <c r="AA104" s="150">
        <f t="shared" si="23"/>
        <v>83.424</v>
      </c>
      <c r="AB104" s="150">
        <v>0.895</v>
      </c>
      <c r="AC104" s="151">
        <f t="shared" si="24"/>
        <v>84.319</v>
      </c>
      <c r="AD104" s="152">
        <f t="shared" si="25"/>
        <v>0</v>
      </c>
      <c r="AE104" s="152">
        <v>0</v>
      </c>
      <c r="AF104" s="137"/>
      <c r="AG104" s="149">
        <f t="shared" si="26"/>
        <v>83.424</v>
      </c>
      <c r="AH104" s="150">
        <f t="shared" si="17"/>
        <v>0</v>
      </c>
      <c r="AI104" s="150">
        <v>0</v>
      </c>
      <c r="AJ104" s="150">
        <f t="shared" si="27"/>
        <v>83.424</v>
      </c>
      <c r="AK104" s="150">
        <f t="shared" si="28"/>
        <v>87.87942580139308</v>
      </c>
      <c r="AL104" s="150">
        <f t="shared" si="29"/>
        <v>0.895</v>
      </c>
      <c r="AM104" s="150">
        <f t="shared" si="30"/>
        <v>88.77442580139308</v>
      </c>
      <c r="AN104" s="150">
        <f t="shared" si="31"/>
        <v>86.755</v>
      </c>
      <c r="AO104" s="151">
        <f t="shared" si="32"/>
        <v>0</v>
      </c>
      <c r="AP104" s="138"/>
      <c r="AQ104" s="149">
        <v>0</v>
      </c>
      <c r="AR104" s="151">
        <f t="shared" si="33"/>
        <v>86.755</v>
      </c>
    </row>
    <row r="105" spans="1:44" ht="12.75">
      <c r="A105" s="139" t="s">
        <v>337</v>
      </c>
      <c r="B105" s="140">
        <v>10706</v>
      </c>
      <c r="C105" s="141" t="s">
        <v>338</v>
      </c>
      <c r="D105" s="142">
        <v>10706</v>
      </c>
      <c r="E105" s="143">
        <v>16.492</v>
      </c>
      <c r="F105" s="144">
        <v>0</v>
      </c>
      <c r="G105" s="144">
        <v>-0.004</v>
      </c>
      <c r="H105" s="144">
        <v>0</v>
      </c>
      <c r="I105" s="144">
        <v>0</v>
      </c>
      <c r="J105" s="144">
        <f t="shared" si="18"/>
        <v>16.488</v>
      </c>
      <c r="K105" s="144">
        <v>0</v>
      </c>
      <c r="L105" s="145">
        <f t="shared" si="19"/>
        <v>16.488</v>
      </c>
      <c r="M105" s="143">
        <v>16.294</v>
      </c>
      <c r="N105" s="144">
        <v>0</v>
      </c>
      <c r="O105" s="144">
        <v>0.039</v>
      </c>
      <c r="P105" s="144">
        <v>0</v>
      </c>
      <c r="Q105" s="144">
        <v>0</v>
      </c>
      <c r="R105" s="144">
        <f t="shared" si="20"/>
        <v>16.333000000000002</v>
      </c>
      <c r="S105" s="144">
        <v>0</v>
      </c>
      <c r="T105" s="145">
        <f t="shared" si="21"/>
        <v>16.333</v>
      </c>
      <c r="U105" s="146">
        <f t="shared" si="22"/>
        <v>16.411</v>
      </c>
      <c r="V105" s="143">
        <v>16.588</v>
      </c>
      <c r="W105" s="144">
        <v>0</v>
      </c>
      <c r="X105" s="144">
        <v>0.055</v>
      </c>
      <c r="Y105" s="144">
        <v>0</v>
      </c>
      <c r="Z105" s="144">
        <v>0</v>
      </c>
      <c r="AA105" s="144">
        <f t="shared" si="23"/>
        <v>16.643</v>
      </c>
      <c r="AB105" s="144">
        <v>0.412</v>
      </c>
      <c r="AC105" s="145">
        <f t="shared" si="24"/>
        <v>17.055</v>
      </c>
      <c r="AD105" s="146">
        <f t="shared" si="25"/>
        <v>0</v>
      </c>
      <c r="AE105" s="146">
        <v>0</v>
      </c>
      <c r="AF105" s="147"/>
      <c r="AG105" s="143">
        <f t="shared" si="26"/>
        <v>16.643</v>
      </c>
      <c r="AH105" s="144">
        <f t="shared" si="17"/>
        <v>0</v>
      </c>
      <c r="AI105" s="144">
        <v>0</v>
      </c>
      <c r="AJ105" s="144">
        <f t="shared" si="27"/>
        <v>16.643</v>
      </c>
      <c r="AK105" s="144">
        <f t="shared" si="28"/>
        <v>17.531852747561672</v>
      </c>
      <c r="AL105" s="144">
        <f t="shared" si="29"/>
        <v>0.412</v>
      </c>
      <c r="AM105" s="144">
        <f t="shared" si="30"/>
        <v>17.94385274756167</v>
      </c>
      <c r="AN105" s="144">
        <f t="shared" si="31"/>
        <v>17.536</v>
      </c>
      <c r="AO105" s="145">
        <f t="shared" si="32"/>
        <v>0</v>
      </c>
      <c r="AP105" s="148"/>
      <c r="AQ105" s="143">
        <v>0</v>
      </c>
      <c r="AR105" s="145">
        <f t="shared" si="33"/>
        <v>17.536</v>
      </c>
    </row>
    <row r="106" spans="1:44" ht="12.75">
      <c r="A106" s="129" t="s">
        <v>339</v>
      </c>
      <c r="B106" s="130">
        <v>10331</v>
      </c>
      <c r="C106" s="131" t="s">
        <v>46</v>
      </c>
      <c r="D106" s="132">
        <v>379</v>
      </c>
      <c r="E106" s="149">
        <v>38.102</v>
      </c>
      <c r="F106" s="150">
        <v>0</v>
      </c>
      <c r="G106" s="150">
        <v>-0.005</v>
      </c>
      <c r="H106" s="150">
        <v>-19.195</v>
      </c>
      <c r="I106" s="150">
        <v>17.777</v>
      </c>
      <c r="J106" s="150">
        <f t="shared" si="18"/>
        <v>36.678999999999995</v>
      </c>
      <c r="K106" s="150">
        <v>0.049</v>
      </c>
      <c r="L106" s="151">
        <f t="shared" si="19"/>
        <v>36.728</v>
      </c>
      <c r="M106" s="149">
        <v>41.063</v>
      </c>
      <c r="N106" s="150">
        <v>0</v>
      </c>
      <c r="O106" s="150">
        <v>-0.208</v>
      </c>
      <c r="P106" s="150">
        <v>-20.338</v>
      </c>
      <c r="Q106" s="150">
        <v>17.777</v>
      </c>
      <c r="R106" s="150">
        <f t="shared" si="20"/>
        <v>38.294000000000004</v>
      </c>
      <c r="S106" s="150">
        <v>0.051</v>
      </c>
      <c r="T106" s="151">
        <f t="shared" si="21"/>
        <v>38.345</v>
      </c>
      <c r="U106" s="152">
        <f t="shared" si="22"/>
        <v>37.537</v>
      </c>
      <c r="V106" s="149">
        <v>32.712</v>
      </c>
      <c r="W106" s="150">
        <v>0</v>
      </c>
      <c r="X106" s="150">
        <v>-0.142</v>
      </c>
      <c r="Y106" s="150">
        <v>-18.529</v>
      </c>
      <c r="Z106" s="150">
        <v>18.52</v>
      </c>
      <c r="AA106" s="150">
        <f t="shared" si="23"/>
        <v>32.561</v>
      </c>
      <c r="AB106" s="150">
        <v>0.165</v>
      </c>
      <c r="AC106" s="151">
        <f t="shared" si="24"/>
        <v>32.726</v>
      </c>
      <c r="AD106" s="152">
        <f t="shared" si="25"/>
        <v>4.811</v>
      </c>
      <c r="AE106" s="152">
        <v>0</v>
      </c>
      <c r="AF106" s="137"/>
      <c r="AG106" s="149">
        <f t="shared" si="26"/>
        <v>32.561</v>
      </c>
      <c r="AH106" s="150">
        <f t="shared" si="17"/>
        <v>4.811</v>
      </c>
      <c r="AI106" s="150">
        <v>0</v>
      </c>
      <c r="AJ106" s="150">
        <f t="shared" si="27"/>
        <v>37.372</v>
      </c>
      <c r="AK106" s="150">
        <f t="shared" si="28"/>
        <v>39.36792650855463</v>
      </c>
      <c r="AL106" s="150">
        <f t="shared" si="29"/>
        <v>0.165</v>
      </c>
      <c r="AM106" s="150">
        <f t="shared" si="30"/>
        <v>39.53292650855463</v>
      </c>
      <c r="AN106" s="150">
        <f t="shared" si="31"/>
        <v>38.633</v>
      </c>
      <c r="AO106" s="151">
        <f t="shared" si="32"/>
        <v>4.973</v>
      </c>
      <c r="AP106" s="138"/>
      <c r="AQ106" s="149">
        <v>0</v>
      </c>
      <c r="AR106" s="151">
        <f t="shared" si="33"/>
        <v>38.633</v>
      </c>
    </row>
    <row r="107" spans="1:44" ht="12.75">
      <c r="A107" s="139" t="s">
        <v>340</v>
      </c>
      <c r="B107" s="140">
        <v>10333</v>
      </c>
      <c r="C107" s="141" t="s">
        <v>341</v>
      </c>
      <c r="D107" s="142">
        <v>380</v>
      </c>
      <c r="E107" s="143">
        <v>17.044</v>
      </c>
      <c r="F107" s="144">
        <v>0</v>
      </c>
      <c r="G107" s="144">
        <v>0.061</v>
      </c>
      <c r="H107" s="144">
        <v>0</v>
      </c>
      <c r="I107" s="144">
        <v>0</v>
      </c>
      <c r="J107" s="144">
        <f t="shared" si="18"/>
        <v>17.105</v>
      </c>
      <c r="K107" s="144">
        <v>0.001</v>
      </c>
      <c r="L107" s="145">
        <f t="shared" si="19"/>
        <v>17.106</v>
      </c>
      <c r="M107" s="143">
        <v>17.528</v>
      </c>
      <c r="N107" s="144">
        <v>0</v>
      </c>
      <c r="O107" s="144">
        <v>-0.022</v>
      </c>
      <c r="P107" s="144">
        <v>0</v>
      </c>
      <c r="Q107" s="144">
        <v>0</v>
      </c>
      <c r="R107" s="144">
        <f t="shared" si="20"/>
        <v>17.506</v>
      </c>
      <c r="S107" s="144">
        <v>0.022</v>
      </c>
      <c r="T107" s="145">
        <f t="shared" si="21"/>
        <v>17.528</v>
      </c>
      <c r="U107" s="146">
        <f t="shared" si="22"/>
        <v>17.317</v>
      </c>
      <c r="V107" s="143">
        <v>17.786</v>
      </c>
      <c r="W107" s="144">
        <v>0</v>
      </c>
      <c r="X107" s="144">
        <v>0.03</v>
      </c>
      <c r="Y107" s="144">
        <v>0</v>
      </c>
      <c r="Z107" s="144">
        <v>0</v>
      </c>
      <c r="AA107" s="144">
        <f t="shared" si="23"/>
        <v>17.816000000000003</v>
      </c>
      <c r="AB107" s="144">
        <v>0.461</v>
      </c>
      <c r="AC107" s="145">
        <f t="shared" si="24"/>
        <v>18.277</v>
      </c>
      <c r="AD107" s="146">
        <f t="shared" si="25"/>
        <v>0</v>
      </c>
      <c r="AE107" s="146">
        <v>0</v>
      </c>
      <c r="AF107" s="147"/>
      <c r="AG107" s="143">
        <f t="shared" si="26"/>
        <v>17.816000000000003</v>
      </c>
      <c r="AH107" s="144">
        <f t="shared" si="17"/>
        <v>0</v>
      </c>
      <c r="AI107" s="144">
        <v>0</v>
      </c>
      <c r="AJ107" s="144">
        <f t="shared" si="27"/>
        <v>17.816000000000003</v>
      </c>
      <c r="AK107" s="144">
        <f t="shared" si="28"/>
        <v>18.767499161843343</v>
      </c>
      <c r="AL107" s="144">
        <f t="shared" si="29"/>
        <v>0.461</v>
      </c>
      <c r="AM107" s="144">
        <f t="shared" si="30"/>
        <v>19.22849916184334</v>
      </c>
      <c r="AN107" s="144">
        <f t="shared" si="31"/>
        <v>18.791</v>
      </c>
      <c r="AO107" s="145">
        <f t="shared" si="32"/>
        <v>0</v>
      </c>
      <c r="AP107" s="148"/>
      <c r="AQ107" s="143">
        <v>0</v>
      </c>
      <c r="AR107" s="145">
        <f t="shared" si="33"/>
        <v>18.791</v>
      </c>
    </row>
    <row r="108" spans="1:44" ht="12.75">
      <c r="A108" s="129" t="s">
        <v>342</v>
      </c>
      <c r="B108" s="130">
        <v>10089</v>
      </c>
      <c r="C108" s="131" t="s">
        <v>343</v>
      </c>
      <c r="D108" s="132">
        <v>175</v>
      </c>
      <c r="E108" s="149">
        <v>95.711</v>
      </c>
      <c r="F108" s="150">
        <v>0</v>
      </c>
      <c r="G108" s="150">
        <v>-0.79</v>
      </c>
      <c r="H108" s="150">
        <v>0</v>
      </c>
      <c r="I108" s="150">
        <v>0</v>
      </c>
      <c r="J108" s="150">
        <f t="shared" si="18"/>
        <v>94.92099999999999</v>
      </c>
      <c r="K108" s="150">
        <v>0.205</v>
      </c>
      <c r="L108" s="151">
        <f t="shared" si="19"/>
        <v>95.126</v>
      </c>
      <c r="M108" s="149">
        <v>96.958</v>
      </c>
      <c r="N108" s="150">
        <v>0</v>
      </c>
      <c r="O108" s="150">
        <v>0.033</v>
      </c>
      <c r="P108" s="150">
        <v>0</v>
      </c>
      <c r="Q108" s="150">
        <v>0</v>
      </c>
      <c r="R108" s="150">
        <f t="shared" si="20"/>
        <v>96.991</v>
      </c>
      <c r="S108" s="150">
        <v>0.424</v>
      </c>
      <c r="T108" s="151">
        <f t="shared" si="21"/>
        <v>97.415</v>
      </c>
      <c r="U108" s="152">
        <f t="shared" si="22"/>
        <v>96.271</v>
      </c>
      <c r="V108" s="149">
        <v>96.904</v>
      </c>
      <c r="W108" s="150">
        <v>0</v>
      </c>
      <c r="X108" s="150">
        <v>0.8</v>
      </c>
      <c r="Y108" s="150">
        <v>0</v>
      </c>
      <c r="Z108" s="150">
        <v>0</v>
      </c>
      <c r="AA108" s="150">
        <f t="shared" si="23"/>
        <v>97.704</v>
      </c>
      <c r="AB108" s="150">
        <v>2.067</v>
      </c>
      <c r="AC108" s="151">
        <f t="shared" si="24"/>
        <v>99.771</v>
      </c>
      <c r="AD108" s="152">
        <f t="shared" si="25"/>
        <v>0</v>
      </c>
      <c r="AE108" s="152">
        <v>0</v>
      </c>
      <c r="AF108" s="137"/>
      <c r="AG108" s="149">
        <f t="shared" si="26"/>
        <v>97.704</v>
      </c>
      <c r="AH108" s="150">
        <f t="shared" si="17"/>
        <v>0</v>
      </c>
      <c r="AI108" s="150">
        <v>0</v>
      </c>
      <c r="AJ108" s="150">
        <f t="shared" si="27"/>
        <v>97.704</v>
      </c>
      <c r="AK108" s="150">
        <f t="shared" si="28"/>
        <v>102.92207780134383</v>
      </c>
      <c r="AL108" s="150">
        <f t="shared" si="29"/>
        <v>2.067</v>
      </c>
      <c r="AM108" s="150">
        <f t="shared" si="30"/>
        <v>104.98907780134383</v>
      </c>
      <c r="AN108" s="150">
        <f t="shared" si="31"/>
        <v>102.6</v>
      </c>
      <c r="AO108" s="151">
        <f t="shared" si="32"/>
        <v>0</v>
      </c>
      <c r="AP108" s="138"/>
      <c r="AQ108" s="149">
        <v>0</v>
      </c>
      <c r="AR108" s="151">
        <f t="shared" si="33"/>
        <v>102.6</v>
      </c>
    </row>
    <row r="109" spans="1:44" ht="12.75">
      <c r="A109" s="139" t="s">
        <v>344</v>
      </c>
      <c r="B109" s="140">
        <v>10338</v>
      </c>
      <c r="C109" s="141" t="s">
        <v>345</v>
      </c>
      <c r="D109" s="142">
        <v>381</v>
      </c>
      <c r="E109" s="143">
        <v>2.253</v>
      </c>
      <c r="F109" s="144">
        <v>0</v>
      </c>
      <c r="G109" s="144">
        <v>-0.011</v>
      </c>
      <c r="H109" s="144">
        <v>-0.675</v>
      </c>
      <c r="I109" s="144">
        <v>0.61</v>
      </c>
      <c r="J109" s="144">
        <f t="shared" si="18"/>
        <v>2.177</v>
      </c>
      <c r="K109" s="144">
        <v>0.002</v>
      </c>
      <c r="L109" s="145">
        <f t="shared" si="19"/>
        <v>2.179</v>
      </c>
      <c r="M109" s="143">
        <v>2.425</v>
      </c>
      <c r="N109" s="144">
        <v>0</v>
      </c>
      <c r="O109" s="144">
        <v>-0.032</v>
      </c>
      <c r="P109" s="144">
        <v>-0.701</v>
      </c>
      <c r="Q109" s="144">
        <v>0.618</v>
      </c>
      <c r="R109" s="144">
        <f t="shared" si="20"/>
        <v>2.3099999999999996</v>
      </c>
      <c r="S109" s="144">
        <v>0.003</v>
      </c>
      <c r="T109" s="145">
        <f t="shared" si="21"/>
        <v>2.313</v>
      </c>
      <c r="U109" s="146">
        <f t="shared" si="22"/>
        <v>2.246</v>
      </c>
      <c r="V109" s="143">
        <v>2.253</v>
      </c>
      <c r="W109" s="144">
        <v>0</v>
      </c>
      <c r="X109" s="144">
        <v>-0.005</v>
      </c>
      <c r="Y109" s="144">
        <v>-0.565</v>
      </c>
      <c r="Z109" s="144">
        <v>0.645</v>
      </c>
      <c r="AA109" s="144">
        <f t="shared" si="23"/>
        <v>2.3280000000000003</v>
      </c>
      <c r="AB109" s="144">
        <v>0.012</v>
      </c>
      <c r="AC109" s="145">
        <f t="shared" si="24"/>
        <v>2.34</v>
      </c>
      <c r="AD109" s="146">
        <f t="shared" si="25"/>
        <v>0</v>
      </c>
      <c r="AE109" s="146">
        <v>0</v>
      </c>
      <c r="AF109" s="147"/>
      <c r="AG109" s="143">
        <f t="shared" si="26"/>
        <v>2.3280000000000003</v>
      </c>
      <c r="AH109" s="144">
        <f t="shared" si="17"/>
        <v>0</v>
      </c>
      <c r="AI109" s="144">
        <v>0</v>
      </c>
      <c r="AJ109" s="144">
        <f t="shared" si="27"/>
        <v>2.3280000000000003</v>
      </c>
      <c r="AK109" s="144">
        <f t="shared" si="28"/>
        <v>2.452331502512983</v>
      </c>
      <c r="AL109" s="144">
        <f t="shared" si="29"/>
        <v>0.012</v>
      </c>
      <c r="AM109" s="144">
        <f t="shared" si="30"/>
        <v>2.464331502512983</v>
      </c>
      <c r="AN109" s="144">
        <f t="shared" si="31"/>
        <v>2.408</v>
      </c>
      <c r="AO109" s="145">
        <f t="shared" si="32"/>
        <v>0</v>
      </c>
      <c r="AP109" s="148"/>
      <c r="AQ109" s="143">
        <v>0</v>
      </c>
      <c r="AR109" s="145">
        <f t="shared" si="33"/>
        <v>2.408</v>
      </c>
    </row>
    <row r="110" spans="1:44" ht="12.75">
      <c r="A110" s="129" t="s">
        <v>346</v>
      </c>
      <c r="B110" s="130">
        <v>10091</v>
      </c>
      <c r="C110" s="131" t="s">
        <v>347</v>
      </c>
      <c r="D110" s="132">
        <v>177</v>
      </c>
      <c r="E110" s="149">
        <v>8.378</v>
      </c>
      <c r="F110" s="150">
        <v>0</v>
      </c>
      <c r="G110" s="150">
        <v>-0.028</v>
      </c>
      <c r="H110" s="150">
        <v>0</v>
      </c>
      <c r="I110" s="150">
        <v>0</v>
      </c>
      <c r="J110" s="150">
        <f t="shared" si="18"/>
        <v>8.35</v>
      </c>
      <c r="K110" s="150">
        <v>0</v>
      </c>
      <c r="L110" s="151">
        <f t="shared" si="19"/>
        <v>8.35</v>
      </c>
      <c r="M110" s="149">
        <v>9.006</v>
      </c>
      <c r="N110" s="150">
        <v>0</v>
      </c>
      <c r="O110" s="150">
        <v>-0.172</v>
      </c>
      <c r="P110" s="150">
        <v>0</v>
      </c>
      <c r="Q110" s="150">
        <v>0</v>
      </c>
      <c r="R110" s="150">
        <f t="shared" si="20"/>
        <v>8.834</v>
      </c>
      <c r="S110" s="150">
        <v>0.027</v>
      </c>
      <c r="T110" s="151">
        <f t="shared" si="21"/>
        <v>8.861</v>
      </c>
      <c r="U110" s="152">
        <f t="shared" si="22"/>
        <v>8.606</v>
      </c>
      <c r="V110" s="149">
        <v>9.298</v>
      </c>
      <c r="W110" s="150">
        <v>0</v>
      </c>
      <c r="X110" s="150">
        <v>-0.098</v>
      </c>
      <c r="Y110" s="150">
        <v>0</v>
      </c>
      <c r="Z110" s="150">
        <v>0</v>
      </c>
      <c r="AA110" s="150">
        <f t="shared" si="23"/>
        <v>9.2</v>
      </c>
      <c r="AB110" s="150">
        <v>0.094</v>
      </c>
      <c r="AC110" s="151">
        <f t="shared" si="24"/>
        <v>9.294</v>
      </c>
      <c r="AD110" s="152">
        <f t="shared" si="25"/>
        <v>0</v>
      </c>
      <c r="AE110" s="152">
        <v>0</v>
      </c>
      <c r="AF110" s="137"/>
      <c r="AG110" s="149">
        <f t="shared" si="26"/>
        <v>9.2</v>
      </c>
      <c r="AH110" s="150">
        <f t="shared" si="17"/>
        <v>0</v>
      </c>
      <c r="AI110" s="150">
        <v>0</v>
      </c>
      <c r="AJ110" s="150">
        <f t="shared" si="27"/>
        <v>9.2</v>
      </c>
      <c r="AK110" s="150">
        <f t="shared" si="28"/>
        <v>9.69134442573859</v>
      </c>
      <c r="AL110" s="150">
        <f t="shared" si="29"/>
        <v>0.094</v>
      </c>
      <c r="AM110" s="150">
        <f t="shared" si="30"/>
        <v>9.78534442573859</v>
      </c>
      <c r="AN110" s="150">
        <f t="shared" si="31"/>
        <v>9.563</v>
      </c>
      <c r="AO110" s="151">
        <f t="shared" si="32"/>
        <v>0</v>
      </c>
      <c r="AP110" s="138"/>
      <c r="AQ110" s="149">
        <v>0</v>
      </c>
      <c r="AR110" s="151">
        <f t="shared" si="33"/>
        <v>9.563</v>
      </c>
    </row>
    <row r="111" spans="1:44" ht="12.75">
      <c r="A111" s="139" t="s">
        <v>348</v>
      </c>
      <c r="B111" s="140">
        <v>10342</v>
      </c>
      <c r="C111" s="141" t="s">
        <v>47</v>
      </c>
      <c r="D111" s="142">
        <v>383</v>
      </c>
      <c r="E111" s="143">
        <v>38.642</v>
      </c>
      <c r="F111" s="144">
        <v>0</v>
      </c>
      <c r="G111" s="144">
        <v>-0.155</v>
      </c>
      <c r="H111" s="144">
        <v>0</v>
      </c>
      <c r="I111" s="144">
        <v>0</v>
      </c>
      <c r="J111" s="144">
        <f t="shared" si="18"/>
        <v>38.487</v>
      </c>
      <c r="K111" s="144">
        <v>0.069</v>
      </c>
      <c r="L111" s="145">
        <f t="shared" si="19"/>
        <v>38.556</v>
      </c>
      <c r="M111" s="143">
        <v>39.96</v>
      </c>
      <c r="N111" s="144">
        <v>0</v>
      </c>
      <c r="O111" s="144">
        <v>-0.89</v>
      </c>
      <c r="P111" s="144">
        <v>0</v>
      </c>
      <c r="Q111" s="144">
        <v>0</v>
      </c>
      <c r="R111" s="144">
        <f t="shared" si="20"/>
        <v>39.07</v>
      </c>
      <c r="S111" s="144">
        <v>0.117</v>
      </c>
      <c r="T111" s="145">
        <f t="shared" si="21"/>
        <v>39.187</v>
      </c>
      <c r="U111" s="146">
        <f t="shared" si="22"/>
        <v>38.872</v>
      </c>
      <c r="V111" s="143">
        <v>37.1</v>
      </c>
      <c r="W111" s="144">
        <v>0</v>
      </c>
      <c r="X111" s="144">
        <v>0.315</v>
      </c>
      <c r="Y111" s="144">
        <v>0</v>
      </c>
      <c r="Z111" s="144">
        <v>0</v>
      </c>
      <c r="AA111" s="144">
        <f t="shared" si="23"/>
        <v>37.415</v>
      </c>
      <c r="AB111" s="144">
        <v>0.782</v>
      </c>
      <c r="AC111" s="145">
        <f t="shared" si="24"/>
        <v>38.197</v>
      </c>
      <c r="AD111" s="146">
        <f t="shared" si="25"/>
        <v>0.6749999999999972</v>
      </c>
      <c r="AE111" s="146">
        <v>0</v>
      </c>
      <c r="AF111" s="147"/>
      <c r="AG111" s="143">
        <f t="shared" si="26"/>
        <v>37.415</v>
      </c>
      <c r="AH111" s="144">
        <f t="shared" si="17"/>
        <v>0.6749999999999972</v>
      </c>
      <c r="AI111" s="144">
        <v>0</v>
      </c>
      <c r="AJ111" s="144">
        <f t="shared" si="27"/>
        <v>38.089999999999996</v>
      </c>
      <c r="AK111" s="144">
        <f t="shared" si="28"/>
        <v>40.12427273656336</v>
      </c>
      <c r="AL111" s="144">
        <f t="shared" si="29"/>
        <v>0.782</v>
      </c>
      <c r="AM111" s="144">
        <f t="shared" si="30"/>
        <v>40.906272736563366</v>
      </c>
      <c r="AN111" s="144">
        <f t="shared" si="31"/>
        <v>39.976</v>
      </c>
      <c r="AO111" s="145">
        <f t="shared" si="32"/>
        <v>0.708</v>
      </c>
      <c r="AP111" s="148"/>
      <c r="AQ111" s="143">
        <v>0</v>
      </c>
      <c r="AR111" s="145">
        <f t="shared" si="33"/>
        <v>39.976</v>
      </c>
    </row>
    <row r="112" spans="1:44" ht="12.75">
      <c r="A112" s="129" t="s">
        <v>349</v>
      </c>
      <c r="B112" s="130">
        <v>10343</v>
      </c>
      <c r="C112" s="131" t="s">
        <v>350</v>
      </c>
      <c r="D112" s="132">
        <v>384</v>
      </c>
      <c r="E112" s="149">
        <v>28.348</v>
      </c>
      <c r="F112" s="150">
        <v>0</v>
      </c>
      <c r="G112" s="150">
        <v>-0.044</v>
      </c>
      <c r="H112" s="150">
        <v>-1.606</v>
      </c>
      <c r="I112" s="150">
        <v>1.495</v>
      </c>
      <c r="J112" s="150">
        <f t="shared" si="18"/>
        <v>28.192999999999998</v>
      </c>
      <c r="K112" s="150">
        <v>0</v>
      </c>
      <c r="L112" s="151">
        <f t="shared" si="19"/>
        <v>28.193</v>
      </c>
      <c r="M112" s="149">
        <v>33.452</v>
      </c>
      <c r="N112" s="150">
        <v>0</v>
      </c>
      <c r="O112" s="150">
        <v>-0.092</v>
      </c>
      <c r="P112" s="150">
        <v>-1.683</v>
      </c>
      <c r="Q112" s="150">
        <v>1.503</v>
      </c>
      <c r="R112" s="150">
        <f t="shared" si="20"/>
        <v>33.18</v>
      </c>
      <c r="S112" s="150">
        <v>0.028</v>
      </c>
      <c r="T112" s="151">
        <f t="shared" si="21"/>
        <v>33.208</v>
      </c>
      <c r="U112" s="152">
        <f t="shared" si="22"/>
        <v>30.701</v>
      </c>
      <c r="V112" s="149">
        <v>30.777</v>
      </c>
      <c r="W112" s="150">
        <v>0</v>
      </c>
      <c r="X112" s="150">
        <v>-0.004</v>
      </c>
      <c r="Y112" s="150">
        <v>-1.405</v>
      </c>
      <c r="Z112" s="150">
        <v>1.525</v>
      </c>
      <c r="AA112" s="150">
        <f t="shared" si="23"/>
        <v>30.892999999999997</v>
      </c>
      <c r="AB112" s="150">
        <v>0.056</v>
      </c>
      <c r="AC112" s="151">
        <f t="shared" si="24"/>
        <v>30.949</v>
      </c>
      <c r="AD112" s="152">
        <f t="shared" si="25"/>
        <v>0</v>
      </c>
      <c r="AE112" s="152">
        <v>0</v>
      </c>
      <c r="AF112" s="137"/>
      <c r="AG112" s="149">
        <f t="shared" si="26"/>
        <v>30.892999999999997</v>
      </c>
      <c r="AH112" s="150">
        <f t="shared" si="17"/>
        <v>0</v>
      </c>
      <c r="AI112" s="150">
        <v>0</v>
      </c>
      <c r="AJ112" s="150">
        <f t="shared" si="27"/>
        <v>30.892999999999997</v>
      </c>
      <c r="AK112" s="150">
        <f t="shared" si="28"/>
        <v>32.54290253742851</v>
      </c>
      <c r="AL112" s="150">
        <f t="shared" si="29"/>
        <v>0.056</v>
      </c>
      <c r="AM112" s="150">
        <f t="shared" si="30"/>
        <v>32.59890253742851</v>
      </c>
      <c r="AN112" s="150">
        <f t="shared" si="31"/>
        <v>31.857</v>
      </c>
      <c r="AO112" s="151">
        <f t="shared" si="32"/>
        <v>0</v>
      </c>
      <c r="AP112" s="138"/>
      <c r="AQ112" s="149">
        <v>0</v>
      </c>
      <c r="AR112" s="151">
        <f t="shared" si="33"/>
        <v>31.857</v>
      </c>
    </row>
    <row r="113" spans="1:44" ht="12.75">
      <c r="A113" s="139" t="s">
        <v>351</v>
      </c>
      <c r="B113" s="140">
        <v>10349</v>
      </c>
      <c r="C113" s="141" t="s">
        <v>48</v>
      </c>
      <c r="D113" s="142">
        <v>180</v>
      </c>
      <c r="E113" s="143">
        <v>1157.868</v>
      </c>
      <c r="F113" s="144">
        <v>0</v>
      </c>
      <c r="G113" s="144">
        <v>-5.979</v>
      </c>
      <c r="H113" s="144">
        <v>0</v>
      </c>
      <c r="I113" s="144">
        <v>0</v>
      </c>
      <c r="J113" s="144">
        <f t="shared" si="18"/>
        <v>1151.889</v>
      </c>
      <c r="K113" s="144">
        <v>3.048</v>
      </c>
      <c r="L113" s="145">
        <f t="shared" si="19"/>
        <v>1154.937</v>
      </c>
      <c r="M113" s="143">
        <v>1180.427</v>
      </c>
      <c r="N113" s="144">
        <v>0</v>
      </c>
      <c r="O113" s="144">
        <v>-15.701</v>
      </c>
      <c r="P113" s="144">
        <v>0</v>
      </c>
      <c r="Q113" s="144">
        <v>0</v>
      </c>
      <c r="R113" s="144">
        <f t="shared" si="20"/>
        <v>1164.7259999999999</v>
      </c>
      <c r="S113" s="144">
        <v>14.273</v>
      </c>
      <c r="T113" s="145">
        <f t="shared" si="21"/>
        <v>1178.999</v>
      </c>
      <c r="U113" s="146">
        <f t="shared" si="22"/>
        <v>1166.968</v>
      </c>
      <c r="V113" s="143">
        <v>1130.609</v>
      </c>
      <c r="W113" s="144">
        <v>0</v>
      </c>
      <c r="X113" s="144">
        <v>4.867</v>
      </c>
      <c r="Y113" s="144">
        <v>0</v>
      </c>
      <c r="Z113" s="144">
        <v>0</v>
      </c>
      <c r="AA113" s="144">
        <f t="shared" si="23"/>
        <v>1135.4759999999999</v>
      </c>
      <c r="AB113" s="144">
        <v>40.101</v>
      </c>
      <c r="AC113" s="145">
        <f t="shared" si="24"/>
        <v>1175.577</v>
      </c>
      <c r="AD113" s="146">
        <f t="shared" si="25"/>
        <v>0</v>
      </c>
      <c r="AE113" s="146">
        <v>0</v>
      </c>
      <c r="AF113" s="147"/>
      <c r="AG113" s="143">
        <f t="shared" si="26"/>
        <v>1135.4759999999999</v>
      </c>
      <c r="AH113" s="144">
        <f t="shared" si="17"/>
        <v>0</v>
      </c>
      <c r="AI113" s="144">
        <v>-657.023</v>
      </c>
      <c r="AJ113" s="144">
        <f t="shared" si="27"/>
        <v>478.45299999999986</v>
      </c>
      <c r="AK113" s="144">
        <f t="shared" si="28"/>
        <v>504.00574070955486</v>
      </c>
      <c r="AL113" s="144">
        <f t="shared" si="29"/>
        <v>40.101</v>
      </c>
      <c r="AM113" s="144">
        <f t="shared" si="30"/>
        <v>544.1067407095549</v>
      </c>
      <c r="AN113" s="144">
        <f t="shared" si="31"/>
        <v>531.727</v>
      </c>
      <c r="AO113" s="145">
        <f t="shared" si="32"/>
        <v>0</v>
      </c>
      <c r="AP113" s="148"/>
      <c r="AQ113" s="143">
        <v>0</v>
      </c>
      <c r="AR113" s="145">
        <f t="shared" si="33"/>
        <v>531.727</v>
      </c>
    </row>
    <row r="114" spans="1:44" ht="12.75">
      <c r="A114" s="129" t="s">
        <v>352</v>
      </c>
      <c r="B114" s="130">
        <v>10352</v>
      </c>
      <c r="C114" s="131" t="s">
        <v>353</v>
      </c>
      <c r="D114" s="132">
        <v>279</v>
      </c>
      <c r="E114" s="149">
        <v>15.91</v>
      </c>
      <c r="F114" s="150">
        <v>0</v>
      </c>
      <c r="G114" s="150">
        <v>-0.075</v>
      </c>
      <c r="H114" s="150">
        <v>0</v>
      </c>
      <c r="I114" s="150">
        <v>0</v>
      </c>
      <c r="J114" s="150">
        <f t="shared" si="18"/>
        <v>15.835</v>
      </c>
      <c r="K114" s="150">
        <v>0.02</v>
      </c>
      <c r="L114" s="151">
        <f t="shared" si="19"/>
        <v>15.855</v>
      </c>
      <c r="M114" s="149">
        <v>15.783</v>
      </c>
      <c r="N114" s="150">
        <v>0</v>
      </c>
      <c r="O114" s="150">
        <v>-0.305</v>
      </c>
      <c r="P114" s="150">
        <v>0</v>
      </c>
      <c r="Q114" s="150">
        <v>0</v>
      </c>
      <c r="R114" s="150">
        <f t="shared" si="20"/>
        <v>15.478</v>
      </c>
      <c r="S114" s="150">
        <v>0.049</v>
      </c>
      <c r="T114" s="151">
        <f t="shared" si="21"/>
        <v>15.527</v>
      </c>
      <c r="U114" s="152">
        <f t="shared" si="22"/>
        <v>15.691</v>
      </c>
      <c r="V114" s="149">
        <v>15.49</v>
      </c>
      <c r="W114" s="150">
        <v>0</v>
      </c>
      <c r="X114" s="150">
        <v>-0.078</v>
      </c>
      <c r="Y114" s="150">
        <v>0</v>
      </c>
      <c r="Z114" s="150">
        <v>0</v>
      </c>
      <c r="AA114" s="150">
        <f t="shared" si="23"/>
        <v>15.412</v>
      </c>
      <c r="AB114" s="150">
        <v>0.354</v>
      </c>
      <c r="AC114" s="151">
        <f t="shared" si="24"/>
        <v>15.766</v>
      </c>
      <c r="AD114" s="152">
        <f t="shared" si="25"/>
        <v>0</v>
      </c>
      <c r="AE114" s="152">
        <v>0</v>
      </c>
      <c r="AF114" s="137"/>
      <c r="AG114" s="149">
        <f t="shared" si="26"/>
        <v>15.412</v>
      </c>
      <c r="AH114" s="150">
        <f t="shared" si="17"/>
        <v>0</v>
      </c>
      <c r="AI114" s="150">
        <v>-0.066</v>
      </c>
      <c r="AJ114" s="150">
        <f t="shared" si="27"/>
        <v>15.346</v>
      </c>
      <c r="AK114" s="150">
        <f t="shared" si="28"/>
        <v>16.16558386493309</v>
      </c>
      <c r="AL114" s="150">
        <f t="shared" si="29"/>
        <v>0.354</v>
      </c>
      <c r="AM114" s="150">
        <f t="shared" si="30"/>
        <v>16.51958386493309</v>
      </c>
      <c r="AN114" s="150">
        <f t="shared" si="31"/>
        <v>16.144</v>
      </c>
      <c r="AO114" s="151">
        <f t="shared" si="32"/>
        <v>0</v>
      </c>
      <c r="AP114" s="138"/>
      <c r="AQ114" s="149">
        <v>0</v>
      </c>
      <c r="AR114" s="151">
        <f t="shared" si="33"/>
        <v>16.144</v>
      </c>
    </row>
    <row r="115" spans="1:44" ht="12.75">
      <c r="A115" s="139" t="s">
        <v>354</v>
      </c>
      <c r="B115" s="140">
        <v>10354</v>
      </c>
      <c r="C115" s="141" t="s">
        <v>49</v>
      </c>
      <c r="D115" s="142">
        <v>283</v>
      </c>
      <c r="E115" s="143">
        <v>795.932</v>
      </c>
      <c r="F115" s="144">
        <v>0</v>
      </c>
      <c r="G115" s="144">
        <v>-5.636</v>
      </c>
      <c r="H115" s="144">
        <v>0</v>
      </c>
      <c r="I115" s="144">
        <v>0</v>
      </c>
      <c r="J115" s="144">
        <f t="shared" si="18"/>
        <v>790.296</v>
      </c>
      <c r="K115" s="144">
        <v>4.21</v>
      </c>
      <c r="L115" s="145">
        <f t="shared" si="19"/>
        <v>794.506</v>
      </c>
      <c r="M115" s="143">
        <v>823.765</v>
      </c>
      <c r="N115" s="144">
        <v>0</v>
      </c>
      <c r="O115" s="144">
        <v>-16.918</v>
      </c>
      <c r="P115" s="144">
        <v>0</v>
      </c>
      <c r="Q115" s="144">
        <v>0</v>
      </c>
      <c r="R115" s="144">
        <f t="shared" si="20"/>
        <v>806.847</v>
      </c>
      <c r="S115" s="144">
        <v>9.208</v>
      </c>
      <c r="T115" s="145">
        <f t="shared" si="21"/>
        <v>816.055</v>
      </c>
      <c r="U115" s="146">
        <f t="shared" si="22"/>
        <v>805.281</v>
      </c>
      <c r="V115" s="143">
        <v>793.613</v>
      </c>
      <c r="W115" s="144">
        <v>0</v>
      </c>
      <c r="X115" s="144">
        <v>5.236</v>
      </c>
      <c r="Y115" s="144">
        <v>0</v>
      </c>
      <c r="Z115" s="144">
        <v>0</v>
      </c>
      <c r="AA115" s="144">
        <f t="shared" si="23"/>
        <v>798.849</v>
      </c>
      <c r="AB115" s="144">
        <v>20.791</v>
      </c>
      <c r="AC115" s="145">
        <f t="shared" si="24"/>
        <v>819.64</v>
      </c>
      <c r="AD115" s="146">
        <f t="shared" si="25"/>
        <v>0</v>
      </c>
      <c r="AE115" s="146">
        <v>0</v>
      </c>
      <c r="AF115" s="147"/>
      <c r="AG115" s="143">
        <f t="shared" si="26"/>
        <v>798.849</v>
      </c>
      <c r="AH115" s="144">
        <f t="shared" si="17"/>
        <v>0</v>
      </c>
      <c r="AI115" s="144">
        <v>-30.788999999999998</v>
      </c>
      <c r="AJ115" s="144">
        <f t="shared" si="27"/>
        <v>768.0600000000001</v>
      </c>
      <c r="AK115" s="144">
        <f t="shared" si="28"/>
        <v>809.0797825687807</v>
      </c>
      <c r="AL115" s="144">
        <f t="shared" si="29"/>
        <v>20.791</v>
      </c>
      <c r="AM115" s="144">
        <f t="shared" si="30"/>
        <v>829.8707825687808</v>
      </c>
      <c r="AN115" s="144">
        <f t="shared" si="31"/>
        <v>810.99</v>
      </c>
      <c r="AO115" s="145">
        <f t="shared" si="32"/>
        <v>0</v>
      </c>
      <c r="AP115" s="148"/>
      <c r="AQ115" s="143">
        <v>0</v>
      </c>
      <c r="AR115" s="145">
        <f t="shared" si="33"/>
        <v>810.99</v>
      </c>
    </row>
    <row r="116" spans="1:44" ht="12.75">
      <c r="A116" s="129" t="s">
        <v>355</v>
      </c>
      <c r="B116" s="130">
        <v>10094</v>
      </c>
      <c r="C116" s="131" t="s">
        <v>50</v>
      </c>
      <c r="D116" s="132">
        <v>181</v>
      </c>
      <c r="E116" s="149">
        <v>2.97</v>
      </c>
      <c r="F116" s="150">
        <v>0</v>
      </c>
      <c r="G116" s="150">
        <v>-0.013</v>
      </c>
      <c r="H116" s="150">
        <v>0</v>
      </c>
      <c r="I116" s="150">
        <v>0</v>
      </c>
      <c r="J116" s="150">
        <f t="shared" si="18"/>
        <v>2.9570000000000003</v>
      </c>
      <c r="K116" s="150">
        <v>0.004</v>
      </c>
      <c r="L116" s="151">
        <f t="shared" si="19"/>
        <v>2.961</v>
      </c>
      <c r="M116" s="149">
        <v>3.074</v>
      </c>
      <c r="N116" s="150">
        <v>0</v>
      </c>
      <c r="O116" s="150">
        <v>-0.034</v>
      </c>
      <c r="P116" s="150">
        <v>0</v>
      </c>
      <c r="Q116" s="150">
        <v>0</v>
      </c>
      <c r="R116" s="150">
        <f t="shared" si="20"/>
        <v>3.04</v>
      </c>
      <c r="S116" s="150">
        <v>0.033</v>
      </c>
      <c r="T116" s="151">
        <f t="shared" si="21"/>
        <v>3.073</v>
      </c>
      <c r="U116" s="152">
        <f t="shared" si="22"/>
        <v>3.017</v>
      </c>
      <c r="V116" s="149">
        <v>2.903</v>
      </c>
      <c r="W116" s="150">
        <v>0</v>
      </c>
      <c r="X116" s="150">
        <v>-0.021</v>
      </c>
      <c r="Y116" s="150">
        <v>0</v>
      </c>
      <c r="Z116" s="150">
        <v>0</v>
      </c>
      <c r="AA116" s="150">
        <f t="shared" si="23"/>
        <v>2.882</v>
      </c>
      <c r="AB116" s="150">
        <v>0.054</v>
      </c>
      <c r="AC116" s="151">
        <f t="shared" si="24"/>
        <v>2.936</v>
      </c>
      <c r="AD116" s="152">
        <f t="shared" si="25"/>
        <v>0.08099999999999996</v>
      </c>
      <c r="AE116" s="152">
        <v>0</v>
      </c>
      <c r="AF116" s="137"/>
      <c r="AG116" s="149">
        <f t="shared" si="26"/>
        <v>2.882</v>
      </c>
      <c r="AH116" s="150">
        <f t="shared" si="17"/>
        <v>0.08099999999999996</v>
      </c>
      <c r="AI116" s="150">
        <v>0</v>
      </c>
      <c r="AJ116" s="150">
        <f t="shared" si="27"/>
        <v>2.963</v>
      </c>
      <c r="AK116" s="150">
        <f t="shared" si="28"/>
        <v>3.121244949289505</v>
      </c>
      <c r="AL116" s="150">
        <f t="shared" si="29"/>
        <v>0.054</v>
      </c>
      <c r="AM116" s="150">
        <f t="shared" si="30"/>
        <v>3.175244949289505</v>
      </c>
      <c r="AN116" s="150">
        <f t="shared" si="31"/>
        <v>3.103</v>
      </c>
      <c r="AO116" s="151">
        <f t="shared" si="32"/>
        <v>0.085</v>
      </c>
      <c r="AP116" s="138"/>
      <c r="AQ116" s="149">
        <v>0</v>
      </c>
      <c r="AR116" s="151">
        <f t="shared" si="33"/>
        <v>3.103</v>
      </c>
    </row>
    <row r="117" spans="1:44" ht="12.75">
      <c r="A117" s="139" t="s">
        <v>356</v>
      </c>
      <c r="B117" s="140">
        <v>10360</v>
      </c>
      <c r="C117" s="141" t="s">
        <v>357</v>
      </c>
      <c r="D117" s="142">
        <v>385</v>
      </c>
      <c r="E117" s="143">
        <v>6.542</v>
      </c>
      <c r="F117" s="144">
        <v>0</v>
      </c>
      <c r="G117" s="144">
        <v>-0.02</v>
      </c>
      <c r="H117" s="144">
        <v>-3.316</v>
      </c>
      <c r="I117" s="144">
        <v>3.044</v>
      </c>
      <c r="J117" s="144">
        <f t="shared" si="18"/>
        <v>6.25</v>
      </c>
      <c r="K117" s="144">
        <v>0.01</v>
      </c>
      <c r="L117" s="145">
        <f t="shared" si="19"/>
        <v>6.26</v>
      </c>
      <c r="M117" s="143">
        <v>6.807</v>
      </c>
      <c r="N117" s="144">
        <v>0</v>
      </c>
      <c r="O117" s="144">
        <v>-0.029</v>
      </c>
      <c r="P117" s="144">
        <v>-3.177</v>
      </c>
      <c r="Q117" s="144">
        <v>3.074</v>
      </c>
      <c r="R117" s="144">
        <f t="shared" si="20"/>
        <v>6.675000000000001</v>
      </c>
      <c r="S117" s="144">
        <v>0.021</v>
      </c>
      <c r="T117" s="145">
        <f t="shared" si="21"/>
        <v>6.696</v>
      </c>
      <c r="U117" s="146">
        <f t="shared" si="22"/>
        <v>6.478</v>
      </c>
      <c r="V117" s="143">
        <v>6.375</v>
      </c>
      <c r="W117" s="144">
        <v>0</v>
      </c>
      <c r="X117" s="144">
        <v>0.019</v>
      </c>
      <c r="Y117" s="144">
        <v>-2.995</v>
      </c>
      <c r="Z117" s="144">
        <v>3.181</v>
      </c>
      <c r="AA117" s="144">
        <f t="shared" si="23"/>
        <v>6.58</v>
      </c>
      <c r="AB117" s="144">
        <v>0.094</v>
      </c>
      <c r="AC117" s="145">
        <f t="shared" si="24"/>
        <v>6.674</v>
      </c>
      <c r="AD117" s="146">
        <f t="shared" si="25"/>
        <v>0</v>
      </c>
      <c r="AE117" s="146">
        <v>0</v>
      </c>
      <c r="AF117" s="147"/>
      <c r="AG117" s="143">
        <f t="shared" si="26"/>
        <v>6.58</v>
      </c>
      <c r="AH117" s="144">
        <f t="shared" si="17"/>
        <v>0</v>
      </c>
      <c r="AI117" s="144">
        <v>0</v>
      </c>
      <c r="AJ117" s="144">
        <f t="shared" si="27"/>
        <v>6.58</v>
      </c>
      <c r="AK117" s="144">
        <f t="shared" si="28"/>
        <v>6.931418078408688</v>
      </c>
      <c r="AL117" s="144">
        <f t="shared" si="29"/>
        <v>0.094</v>
      </c>
      <c r="AM117" s="144">
        <f t="shared" si="30"/>
        <v>7.025418078408689</v>
      </c>
      <c r="AN117" s="144">
        <f t="shared" si="31"/>
        <v>6.866</v>
      </c>
      <c r="AO117" s="145">
        <f t="shared" si="32"/>
        <v>0</v>
      </c>
      <c r="AP117" s="148"/>
      <c r="AQ117" s="143">
        <v>0</v>
      </c>
      <c r="AR117" s="145">
        <f t="shared" si="33"/>
        <v>6.866</v>
      </c>
    </row>
    <row r="118" spans="1:44" ht="12.75">
      <c r="A118" s="129" t="s">
        <v>358</v>
      </c>
      <c r="B118" s="130">
        <v>10363</v>
      </c>
      <c r="C118" s="131" t="s">
        <v>359</v>
      </c>
      <c r="D118" s="132">
        <v>184</v>
      </c>
      <c r="E118" s="149">
        <v>95.345</v>
      </c>
      <c r="F118" s="150">
        <v>0</v>
      </c>
      <c r="G118" s="150">
        <v>-0.578</v>
      </c>
      <c r="H118" s="150">
        <v>0</v>
      </c>
      <c r="I118" s="150">
        <v>0</v>
      </c>
      <c r="J118" s="150">
        <f t="shared" si="18"/>
        <v>94.767</v>
      </c>
      <c r="K118" s="150">
        <v>0.399</v>
      </c>
      <c r="L118" s="151">
        <f t="shared" si="19"/>
        <v>95.166</v>
      </c>
      <c r="M118" s="149">
        <v>99.055</v>
      </c>
      <c r="N118" s="150">
        <v>0</v>
      </c>
      <c r="O118" s="150">
        <v>-2.684</v>
      </c>
      <c r="P118" s="150">
        <v>0</v>
      </c>
      <c r="Q118" s="150">
        <v>0</v>
      </c>
      <c r="R118" s="150">
        <f t="shared" si="20"/>
        <v>96.37100000000001</v>
      </c>
      <c r="S118" s="150">
        <v>0.903</v>
      </c>
      <c r="T118" s="151">
        <f t="shared" si="21"/>
        <v>97.274</v>
      </c>
      <c r="U118" s="152">
        <f t="shared" si="22"/>
        <v>96.22</v>
      </c>
      <c r="V118" s="149">
        <v>96.497</v>
      </c>
      <c r="W118" s="150">
        <v>0</v>
      </c>
      <c r="X118" s="150">
        <v>0.026</v>
      </c>
      <c r="Y118" s="150">
        <v>0</v>
      </c>
      <c r="Z118" s="150">
        <v>0</v>
      </c>
      <c r="AA118" s="150">
        <f t="shared" si="23"/>
        <v>96.523</v>
      </c>
      <c r="AB118" s="150">
        <v>2.91</v>
      </c>
      <c r="AC118" s="151">
        <f t="shared" si="24"/>
        <v>99.433</v>
      </c>
      <c r="AD118" s="152">
        <f t="shared" si="25"/>
        <v>0</v>
      </c>
      <c r="AE118" s="152">
        <v>0</v>
      </c>
      <c r="AF118" s="137"/>
      <c r="AG118" s="149">
        <f t="shared" si="26"/>
        <v>96.523</v>
      </c>
      <c r="AH118" s="150">
        <f t="shared" si="17"/>
        <v>0</v>
      </c>
      <c r="AI118" s="150">
        <v>0</v>
      </c>
      <c r="AJ118" s="150">
        <f t="shared" si="27"/>
        <v>96.523</v>
      </c>
      <c r="AK118" s="150">
        <f t="shared" si="28"/>
        <v>101.67800413103978</v>
      </c>
      <c r="AL118" s="150">
        <f t="shared" si="29"/>
        <v>2.91</v>
      </c>
      <c r="AM118" s="150">
        <f t="shared" si="30"/>
        <v>104.58800413103978</v>
      </c>
      <c r="AN118" s="150">
        <f t="shared" si="31"/>
        <v>102.208</v>
      </c>
      <c r="AO118" s="151">
        <f t="shared" si="32"/>
        <v>0</v>
      </c>
      <c r="AP118" s="138"/>
      <c r="AQ118" s="149">
        <v>0</v>
      </c>
      <c r="AR118" s="151">
        <f t="shared" si="33"/>
        <v>102.208</v>
      </c>
    </row>
    <row r="119" spans="1:44" ht="12.75">
      <c r="A119" s="139" t="s">
        <v>360</v>
      </c>
      <c r="B119" s="140">
        <v>10379</v>
      </c>
      <c r="C119" s="141" t="s">
        <v>361</v>
      </c>
      <c r="D119" s="142">
        <v>185</v>
      </c>
      <c r="E119" s="143">
        <v>4.675</v>
      </c>
      <c r="F119" s="144">
        <v>0</v>
      </c>
      <c r="G119" s="144">
        <v>-0.052</v>
      </c>
      <c r="H119" s="144">
        <v>0</v>
      </c>
      <c r="I119" s="144">
        <v>0</v>
      </c>
      <c r="J119" s="144">
        <f t="shared" si="18"/>
        <v>4.623</v>
      </c>
      <c r="K119" s="144">
        <v>0</v>
      </c>
      <c r="L119" s="145">
        <f t="shared" si="19"/>
        <v>4.623</v>
      </c>
      <c r="M119" s="143">
        <v>4.878</v>
      </c>
      <c r="N119" s="144">
        <v>0</v>
      </c>
      <c r="O119" s="144">
        <v>-0.155</v>
      </c>
      <c r="P119" s="144">
        <v>0</v>
      </c>
      <c r="Q119" s="144">
        <v>0</v>
      </c>
      <c r="R119" s="144">
        <f t="shared" si="20"/>
        <v>4.723</v>
      </c>
      <c r="S119" s="144">
        <v>0.016</v>
      </c>
      <c r="T119" s="145">
        <f t="shared" si="21"/>
        <v>4.739</v>
      </c>
      <c r="U119" s="146">
        <f t="shared" si="22"/>
        <v>4.681</v>
      </c>
      <c r="V119" s="143">
        <v>4.634</v>
      </c>
      <c r="W119" s="144">
        <v>0</v>
      </c>
      <c r="X119" s="144">
        <v>0.048</v>
      </c>
      <c r="Y119" s="144">
        <v>0</v>
      </c>
      <c r="Z119" s="144">
        <v>0</v>
      </c>
      <c r="AA119" s="144">
        <f t="shared" si="23"/>
        <v>4.682</v>
      </c>
      <c r="AB119" s="144">
        <v>0.062</v>
      </c>
      <c r="AC119" s="145">
        <f t="shared" si="24"/>
        <v>4.744</v>
      </c>
      <c r="AD119" s="146">
        <f t="shared" si="25"/>
        <v>0</v>
      </c>
      <c r="AE119" s="146">
        <v>0</v>
      </c>
      <c r="AF119" s="147"/>
      <c r="AG119" s="143">
        <f t="shared" si="26"/>
        <v>4.682</v>
      </c>
      <c r="AH119" s="144">
        <f t="shared" si="17"/>
        <v>0</v>
      </c>
      <c r="AI119" s="144">
        <v>0</v>
      </c>
      <c r="AJ119" s="144">
        <f t="shared" si="27"/>
        <v>4.682</v>
      </c>
      <c r="AK119" s="144">
        <f t="shared" si="28"/>
        <v>4.932051587098705</v>
      </c>
      <c r="AL119" s="144">
        <f t="shared" si="29"/>
        <v>0.062</v>
      </c>
      <c r="AM119" s="144">
        <f t="shared" si="30"/>
        <v>4.9940515870987054</v>
      </c>
      <c r="AN119" s="144">
        <f t="shared" si="31"/>
        <v>4.88</v>
      </c>
      <c r="AO119" s="145">
        <f t="shared" si="32"/>
        <v>0</v>
      </c>
      <c r="AP119" s="148"/>
      <c r="AQ119" s="143">
        <v>0</v>
      </c>
      <c r="AR119" s="145">
        <f t="shared" si="33"/>
        <v>4.88</v>
      </c>
    </row>
    <row r="120" spans="1:44" ht="12.75">
      <c r="A120" s="129" t="s">
        <v>362</v>
      </c>
      <c r="B120" s="130">
        <v>10095</v>
      </c>
      <c r="C120" s="131" t="s">
        <v>363</v>
      </c>
      <c r="D120" s="132">
        <v>186</v>
      </c>
      <c r="E120" s="149">
        <v>3.469</v>
      </c>
      <c r="F120" s="150">
        <v>0</v>
      </c>
      <c r="G120" s="150">
        <v>-0.005</v>
      </c>
      <c r="H120" s="150">
        <v>0</v>
      </c>
      <c r="I120" s="150">
        <v>0</v>
      </c>
      <c r="J120" s="150">
        <f t="shared" si="18"/>
        <v>3.464</v>
      </c>
      <c r="K120" s="150">
        <v>0</v>
      </c>
      <c r="L120" s="151">
        <f t="shared" si="19"/>
        <v>3.464</v>
      </c>
      <c r="M120" s="149">
        <v>3.568</v>
      </c>
      <c r="N120" s="150">
        <v>0</v>
      </c>
      <c r="O120" s="150">
        <v>-0.019</v>
      </c>
      <c r="P120" s="150">
        <v>0</v>
      </c>
      <c r="Q120" s="150">
        <v>0</v>
      </c>
      <c r="R120" s="150">
        <f t="shared" si="20"/>
        <v>3.549</v>
      </c>
      <c r="S120" s="150">
        <v>0</v>
      </c>
      <c r="T120" s="151">
        <f t="shared" si="21"/>
        <v>3.549</v>
      </c>
      <c r="U120" s="152">
        <f t="shared" si="22"/>
        <v>3.507</v>
      </c>
      <c r="V120" s="149">
        <v>3.574</v>
      </c>
      <c r="W120" s="150">
        <v>0</v>
      </c>
      <c r="X120" s="150">
        <v>0.008</v>
      </c>
      <c r="Y120" s="150">
        <v>0</v>
      </c>
      <c r="Z120" s="150">
        <v>0</v>
      </c>
      <c r="AA120" s="150">
        <f t="shared" si="23"/>
        <v>3.582</v>
      </c>
      <c r="AB120" s="150">
        <v>0.01</v>
      </c>
      <c r="AC120" s="151">
        <f t="shared" si="24"/>
        <v>3.592</v>
      </c>
      <c r="AD120" s="152">
        <f t="shared" si="25"/>
        <v>0</v>
      </c>
      <c r="AE120" s="152">
        <v>0</v>
      </c>
      <c r="AF120" s="137"/>
      <c r="AG120" s="149">
        <f t="shared" si="26"/>
        <v>3.582</v>
      </c>
      <c r="AH120" s="150">
        <f t="shared" si="17"/>
        <v>0</v>
      </c>
      <c r="AI120" s="150">
        <v>0</v>
      </c>
      <c r="AJ120" s="150">
        <f t="shared" si="27"/>
        <v>3.582</v>
      </c>
      <c r="AK120" s="150">
        <f t="shared" si="28"/>
        <v>3.7733038840212645</v>
      </c>
      <c r="AL120" s="150">
        <f t="shared" si="29"/>
        <v>0.01</v>
      </c>
      <c r="AM120" s="150">
        <f t="shared" si="30"/>
        <v>3.7833038840212643</v>
      </c>
      <c r="AN120" s="150">
        <f t="shared" si="31"/>
        <v>3.697</v>
      </c>
      <c r="AO120" s="151">
        <f t="shared" si="32"/>
        <v>0</v>
      </c>
      <c r="AP120" s="138"/>
      <c r="AQ120" s="149">
        <v>0</v>
      </c>
      <c r="AR120" s="151">
        <f t="shared" si="33"/>
        <v>3.697</v>
      </c>
    </row>
    <row r="121" spans="1:44" ht="12.75">
      <c r="A121" s="139" t="s">
        <v>364</v>
      </c>
      <c r="B121" s="140">
        <v>10369</v>
      </c>
      <c r="C121" s="141" t="s">
        <v>365</v>
      </c>
      <c r="D121" s="142">
        <v>386</v>
      </c>
      <c r="E121" s="143">
        <v>16.932</v>
      </c>
      <c r="F121" s="144">
        <v>0</v>
      </c>
      <c r="G121" s="144">
        <v>-0.089</v>
      </c>
      <c r="H121" s="144">
        <v>-8.379</v>
      </c>
      <c r="I121" s="144">
        <v>6.887</v>
      </c>
      <c r="J121" s="144">
        <f t="shared" si="18"/>
        <v>15.350999999999999</v>
      </c>
      <c r="K121" s="144">
        <v>0.012</v>
      </c>
      <c r="L121" s="145">
        <f t="shared" si="19"/>
        <v>15.363</v>
      </c>
      <c r="M121" s="143">
        <v>16.559</v>
      </c>
      <c r="N121" s="144">
        <v>0</v>
      </c>
      <c r="O121" s="144">
        <v>-0.238</v>
      </c>
      <c r="P121" s="144">
        <v>-7.525</v>
      </c>
      <c r="Q121" s="144">
        <v>6.911</v>
      </c>
      <c r="R121" s="144">
        <f t="shared" si="20"/>
        <v>15.707</v>
      </c>
      <c r="S121" s="144">
        <v>0.028</v>
      </c>
      <c r="T121" s="145">
        <f t="shared" si="21"/>
        <v>15.735</v>
      </c>
      <c r="U121" s="146">
        <f t="shared" si="22"/>
        <v>15.549</v>
      </c>
      <c r="V121" s="143">
        <v>15.638</v>
      </c>
      <c r="W121" s="144">
        <v>0</v>
      </c>
      <c r="X121" s="144">
        <v>0.068</v>
      </c>
      <c r="Y121" s="144">
        <v>-6.874</v>
      </c>
      <c r="Z121" s="144">
        <v>7.193</v>
      </c>
      <c r="AA121" s="144">
        <f t="shared" si="23"/>
        <v>16.025</v>
      </c>
      <c r="AB121" s="144">
        <v>0.184</v>
      </c>
      <c r="AC121" s="145">
        <f t="shared" si="24"/>
        <v>16.209</v>
      </c>
      <c r="AD121" s="146">
        <f t="shared" si="25"/>
        <v>0</v>
      </c>
      <c r="AE121" s="146">
        <v>0</v>
      </c>
      <c r="AF121" s="147"/>
      <c r="AG121" s="143">
        <f t="shared" si="26"/>
        <v>16.025</v>
      </c>
      <c r="AH121" s="144">
        <f t="shared" si="17"/>
        <v>0</v>
      </c>
      <c r="AI121" s="144">
        <v>0</v>
      </c>
      <c r="AJ121" s="144">
        <f t="shared" si="27"/>
        <v>16.025</v>
      </c>
      <c r="AK121" s="144">
        <f t="shared" si="28"/>
        <v>16.88084721983271</v>
      </c>
      <c r="AL121" s="144">
        <f t="shared" si="29"/>
        <v>0.184</v>
      </c>
      <c r="AM121" s="144">
        <f t="shared" si="30"/>
        <v>17.06484721983271</v>
      </c>
      <c r="AN121" s="144">
        <f t="shared" si="31"/>
        <v>16.677</v>
      </c>
      <c r="AO121" s="145">
        <f t="shared" si="32"/>
        <v>0</v>
      </c>
      <c r="AP121" s="148"/>
      <c r="AQ121" s="143">
        <v>0</v>
      </c>
      <c r="AR121" s="145">
        <f t="shared" si="33"/>
        <v>16.677</v>
      </c>
    </row>
    <row r="122" spans="1:44" ht="12.75">
      <c r="A122" s="129" t="s">
        <v>366</v>
      </c>
      <c r="B122" s="130">
        <v>10370</v>
      </c>
      <c r="C122" s="131" t="s">
        <v>51</v>
      </c>
      <c r="D122" s="132">
        <v>188</v>
      </c>
      <c r="E122" s="149">
        <v>571.337</v>
      </c>
      <c r="F122" s="150">
        <v>0</v>
      </c>
      <c r="G122" s="150">
        <v>-4.086</v>
      </c>
      <c r="H122" s="150">
        <v>0</v>
      </c>
      <c r="I122" s="150">
        <v>0</v>
      </c>
      <c r="J122" s="150">
        <f t="shared" si="18"/>
        <v>567.251</v>
      </c>
      <c r="K122" s="150">
        <v>1.098</v>
      </c>
      <c r="L122" s="151">
        <f t="shared" si="19"/>
        <v>568.349</v>
      </c>
      <c r="M122" s="149">
        <v>581.845</v>
      </c>
      <c r="N122" s="150">
        <v>0</v>
      </c>
      <c r="O122" s="150">
        <v>-11.457</v>
      </c>
      <c r="P122" s="150">
        <v>0</v>
      </c>
      <c r="Q122" s="150">
        <v>0</v>
      </c>
      <c r="R122" s="150">
        <f t="shared" si="20"/>
        <v>570.388</v>
      </c>
      <c r="S122" s="150">
        <v>3.04</v>
      </c>
      <c r="T122" s="151">
        <f t="shared" si="21"/>
        <v>573.428</v>
      </c>
      <c r="U122" s="152">
        <f t="shared" si="22"/>
        <v>570.889</v>
      </c>
      <c r="V122" s="149">
        <v>560.9</v>
      </c>
      <c r="W122" s="150">
        <v>0</v>
      </c>
      <c r="X122" s="150">
        <v>2.495</v>
      </c>
      <c r="Y122" s="150">
        <v>0</v>
      </c>
      <c r="Z122" s="150">
        <v>0</v>
      </c>
      <c r="AA122" s="150">
        <f t="shared" si="23"/>
        <v>563.395</v>
      </c>
      <c r="AB122" s="150">
        <v>10.375</v>
      </c>
      <c r="AC122" s="151">
        <f t="shared" si="24"/>
        <v>573.77</v>
      </c>
      <c r="AD122" s="152">
        <f t="shared" si="25"/>
        <v>0</v>
      </c>
      <c r="AE122" s="152">
        <v>0</v>
      </c>
      <c r="AF122" s="137"/>
      <c r="AG122" s="149">
        <f t="shared" si="26"/>
        <v>563.395</v>
      </c>
      <c r="AH122" s="150">
        <f t="shared" si="17"/>
        <v>0</v>
      </c>
      <c r="AI122" s="150">
        <v>-176.53</v>
      </c>
      <c r="AJ122" s="150">
        <f t="shared" si="27"/>
        <v>386.865</v>
      </c>
      <c r="AK122" s="150">
        <f t="shared" si="28"/>
        <v>407.52630013732175</v>
      </c>
      <c r="AL122" s="150">
        <f t="shared" si="29"/>
        <v>10.375</v>
      </c>
      <c r="AM122" s="150">
        <f t="shared" si="30"/>
        <v>417.90130013732175</v>
      </c>
      <c r="AN122" s="150">
        <f t="shared" si="31"/>
        <v>408.393</v>
      </c>
      <c r="AO122" s="151">
        <f t="shared" si="32"/>
        <v>0</v>
      </c>
      <c r="AP122" s="138"/>
      <c r="AQ122" s="149">
        <v>0</v>
      </c>
      <c r="AR122" s="151">
        <f t="shared" si="33"/>
        <v>408.393</v>
      </c>
    </row>
    <row r="123" spans="1:44" ht="12.75">
      <c r="A123" s="139" t="s">
        <v>367</v>
      </c>
      <c r="B123" s="140">
        <v>10371</v>
      </c>
      <c r="C123" s="141" t="s">
        <v>368</v>
      </c>
      <c r="D123" s="142">
        <v>387</v>
      </c>
      <c r="E123" s="143">
        <v>8.066</v>
      </c>
      <c r="F123" s="144">
        <v>0</v>
      </c>
      <c r="G123" s="144">
        <v>-0.072</v>
      </c>
      <c r="H123" s="144">
        <v>0</v>
      </c>
      <c r="I123" s="144">
        <v>0</v>
      </c>
      <c r="J123" s="144">
        <f t="shared" si="18"/>
        <v>7.994000000000001</v>
      </c>
      <c r="K123" s="144">
        <v>0.002</v>
      </c>
      <c r="L123" s="145">
        <f t="shared" si="19"/>
        <v>7.996</v>
      </c>
      <c r="M123" s="143">
        <v>8.789</v>
      </c>
      <c r="N123" s="144">
        <v>0</v>
      </c>
      <c r="O123" s="144">
        <v>-0.209</v>
      </c>
      <c r="P123" s="144">
        <v>0</v>
      </c>
      <c r="Q123" s="144">
        <v>0</v>
      </c>
      <c r="R123" s="144">
        <f t="shared" si="20"/>
        <v>8.58</v>
      </c>
      <c r="S123" s="144">
        <v>0.018</v>
      </c>
      <c r="T123" s="145">
        <f t="shared" si="21"/>
        <v>8.598</v>
      </c>
      <c r="U123" s="146">
        <f t="shared" si="22"/>
        <v>8.297</v>
      </c>
      <c r="V123" s="143">
        <v>10.699</v>
      </c>
      <c r="W123" s="144">
        <v>0</v>
      </c>
      <c r="X123" s="144">
        <v>0.057</v>
      </c>
      <c r="Y123" s="144">
        <v>0</v>
      </c>
      <c r="Z123" s="144">
        <v>0</v>
      </c>
      <c r="AA123" s="144">
        <f t="shared" si="23"/>
        <v>10.756</v>
      </c>
      <c r="AB123" s="144">
        <v>0.127</v>
      </c>
      <c r="AC123" s="145">
        <f t="shared" si="24"/>
        <v>10.883</v>
      </c>
      <c r="AD123" s="146">
        <f t="shared" si="25"/>
        <v>0</v>
      </c>
      <c r="AE123" s="146">
        <v>0</v>
      </c>
      <c r="AF123" s="147"/>
      <c r="AG123" s="143">
        <f t="shared" si="26"/>
        <v>10.756</v>
      </c>
      <c r="AH123" s="144">
        <f aca="true" t="shared" si="34" ref="AH123:AH144">IF(AD123&gt;AE123,AD123,AE123)</f>
        <v>0</v>
      </c>
      <c r="AI123" s="144">
        <v>0</v>
      </c>
      <c r="AJ123" s="144">
        <f t="shared" si="27"/>
        <v>10.756</v>
      </c>
      <c r="AK123" s="144">
        <f t="shared" si="28"/>
        <v>11.33044572209177</v>
      </c>
      <c r="AL123" s="144">
        <f t="shared" si="29"/>
        <v>0.127</v>
      </c>
      <c r="AM123" s="144">
        <f t="shared" si="30"/>
        <v>11.457445722091771</v>
      </c>
      <c r="AN123" s="144">
        <f t="shared" si="31"/>
        <v>11.197</v>
      </c>
      <c r="AO123" s="145">
        <f t="shared" si="32"/>
        <v>0</v>
      </c>
      <c r="AP123" s="148"/>
      <c r="AQ123" s="143">
        <v>0</v>
      </c>
      <c r="AR123" s="145">
        <f t="shared" si="33"/>
        <v>11.197</v>
      </c>
    </row>
    <row r="124" spans="1:44" ht="12.75">
      <c r="A124" s="129" t="s">
        <v>369</v>
      </c>
      <c r="B124" s="130">
        <v>10376</v>
      </c>
      <c r="C124" s="131" t="s">
        <v>370</v>
      </c>
      <c r="D124" s="132">
        <v>288</v>
      </c>
      <c r="E124" s="149">
        <v>50.569</v>
      </c>
      <c r="F124" s="150">
        <v>0</v>
      </c>
      <c r="G124" s="150">
        <v>-1.153</v>
      </c>
      <c r="H124" s="150">
        <v>0</v>
      </c>
      <c r="I124" s="150">
        <v>0</v>
      </c>
      <c r="J124" s="150">
        <f t="shared" si="18"/>
        <v>49.416000000000004</v>
      </c>
      <c r="K124" s="150">
        <v>0.063</v>
      </c>
      <c r="L124" s="151">
        <f t="shared" si="19"/>
        <v>49.479</v>
      </c>
      <c r="M124" s="149">
        <v>53.318</v>
      </c>
      <c r="N124" s="150">
        <v>0</v>
      </c>
      <c r="O124" s="150">
        <v>-2.07</v>
      </c>
      <c r="P124" s="150">
        <v>0</v>
      </c>
      <c r="Q124" s="150">
        <v>0</v>
      </c>
      <c r="R124" s="150">
        <f t="shared" si="20"/>
        <v>51.248</v>
      </c>
      <c r="S124" s="150">
        <v>0.224</v>
      </c>
      <c r="T124" s="151">
        <f t="shared" si="21"/>
        <v>51.472</v>
      </c>
      <c r="U124" s="152">
        <f t="shared" si="22"/>
        <v>50.476</v>
      </c>
      <c r="V124" s="149">
        <v>54.213</v>
      </c>
      <c r="W124" s="150">
        <v>0</v>
      </c>
      <c r="X124" s="150">
        <v>0.295</v>
      </c>
      <c r="Y124" s="150">
        <v>0</v>
      </c>
      <c r="Z124" s="150">
        <v>0</v>
      </c>
      <c r="AA124" s="150">
        <f t="shared" si="23"/>
        <v>54.508</v>
      </c>
      <c r="AB124" s="150">
        <v>0.77</v>
      </c>
      <c r="AC124" s="151">
        <f t="shared" si="24"/>
        <v>55.278</v>
      </c>
      <c r="AD124" s="152">
        <f t="shared" si="25"/>
        <v>0</v>
      </c>
      <c r="AE124" s="152">
        <v>0</v>
      </c>
      <c r="AF124" s="137"/>
      <c r="AG124" s="149">
        <f t="shared" si="26"/>
        <v>54.508</v>
      </c>
      <c r="AH124" s="150">
        <f t="shared" si="34"/>
        <v>0</v>
      </c>
      <c r="AI124" s="150">
        <v>0</v>
      </c>
      <c r="AJ124" s="150">
        <f t="shared" si="27"/>
        <v>54.508</v>
      </c>
      <c r="AK124" s="150">
        <f t="shared" si="28"/>
        <v>57.41910890849556</v>
      </c>
      <c r="AL124" s="150">
        <f t="shared" si="29"/>
        <v>0.77</v>
      </c>
      <c r="AM124" s="150">
        <f t="shared" si="30"/>
        <v>58.18910890849556</v>
      </c>
      <c r="AN124" s="150">
        <f t="shared" si="31"/>
        <v>56.865</v>
      </c>
      <c r="AO124" s="151">
        <f t="shared" si="32"/>
        <v>0</v>
      </c>
      <c r="AP124" s="138"/>
      <c r="AQ124" s="149">
        <v>0</v>
      </c>
      <c r="AR124" s="151">
        <f t="shared" si="33"/>
        <v>56.865</v>
      </c>
    </row>
    <row r="125" spans="1:44" ht="12.75">
      <c r="A125" s="139" t="s">
        <v>371</v>
      </c>
      <c r="B125" s="140">
        <v>10097</v>
      </c>
      <c r="C125" s="141" t="s">
        <v>372</v>
      </c>
      <c r="D125" s="142">
        <v>189</v>
      </c>
      <c r="E125" s="143">
        <v>1.878</v>
      </c>
      <c r="F125" s="144">
        <v>0</v>
      </c>
      <c r="G125" s="144">
        <v>0.004</v>
      </c>
      <c r="H125" s="144">
        <v>0</v>
      </c>
      <c r="I125" s="144">
        <v>0</v>
      </c>
      <c r="J125" s="144">
        <f t="shared" si="18"/>
        <v>1.882</v>
      </c>
      <c r="K125" s="144">
        <v>0</v>
      </c>
      <c r="L125" s="145">
        <f t="shared" si="19"/>
        <v>1.882</v>
      </c>
      <c r="M125" s="143">
        <v>1.951</v>
      </c>
      <c r="N125" s="144">
        <v>0</v>
      </c>
      <c r="O125" s="144">
        <v>0.014</v>
      </c>
      <c r="P125" s="144">
        <v>0</v>
      </c>
      <c r="Q125" s="144">
        <v>0</v>
      </c>
      <c r="R125" s="144">
        <f t="shared" si="20"/>
        <v>1.965</v>
      </c>
      <c r="S125" s="144">
        <v>0.007</v>
      </c>
      <c r="T125" s="145">
        <f t="shared" si="21"/>
        <v>1.972</v>
      </c>
      <c r="U125" s="146">
        <f t="shared" si="22"/>
        <v>1.927</v>
      </c>
      <c r="V125" s="143">
        <v>1.995</v>
      </c>
      <c r="W125" s="144">
        <v>0</v>
      </c>
      <c r="X125" s="144">
        <v>0.005</v>
      </c>
      <c r="Y125" s="144">
        <v>0</v>
      </c>
      <c r="Z125" s="144">
        <v>0</v>
      </c>
      <c r="AA125" s="144">
        <f t="shared" si="23"/>
        <v>2</v>
      </c>
      <c r="AB125" s="144">
        <v>0.009</v>
      </c>
      <c r="AC125" s="145">
        <f t="shared" si="24"/>
        <v>2.009</v>
      </c>
      <c r="AD125" s="146">
        <f t="shared" si="25"/>
        <v>0</v>
      </c>
      <c r="AE125" s="146">
        <v>0</v>
      </c>
      <c r="AF125" s="147"/>
      <c r="AG125" s="143">
        <f t="shared" si="26"/>
        <v>2</v>
      </c>
      <c r="AH125" s="144">
        <f t="shared" si="34"/>
        <v>0</v>
      </c>
      <c r="AI125" s="144">
        <v>0</v>
      </c>
      <c r="AJ125" s="144">
        <f t="shared" si="27"/>
        <v>2</v>
      </c>
      <c r="AK125" s="144">
        <f t="shared" si="28"/>
        <v>2.106814005595346</v>
      </c>
      <c r="AL125" s="144">
        <f t="shared" si="29"/>
        <v>0.009</v>
      </c>
      <c r="AM125" s="144">
        <f t="shared" si="30"/>
        <v>2.115814005595346</v>
      </c>
      <c r="AN125" s="144">
        <f t="shared" si="31"/>
        <v>2.068</v>
      </c>
      <c r="AO125" s="145">
        <f t="shared" si="32"/>
        <v>0</v>
      </c>
      <c r="AP125" s="148"/>
      <c r="AQ125" s="143">
        <v>0</v>
      </c>
      <c r="AR125" s="145">
        <f t="shared" si="33"/>
        <v>2.068</v>
      </c>
    </row>
    <row r="126" spans="1:44" ht="12.75">
      <c r="A126" s="129" t="s">
        <v>373</v>
      </c>
      <c r="B126" s="130">
        <v>10388</v>
      </c>
      <c r="C126" s="131" t="s">
        <v>374</v>
      </c>
      <c r="D126" s="132">
        <v>388</v>
      </c>
      <c r="E126" s="149">
        <v>103.809</v>
      </c>
      <c r="F126" s="150">
        <v>0</v>
      </c>
      <c r="G126" s="150">
        <v>-0.349</v>
      </c>
      <c r="H126" s="150">
        <v>-36.062</v>
      </c>
      <c r="I126" s="150">
        <v>34.588</v>
      </c>
      <c r="J126" s="150">
        <f t="shared" si="18"/>
        <v>101.98599999999999</v>
      </c>
      <c r="K126" s="150">
        <v>0.104</v>
      </c>
      <c r="L126" s="151">
        <f t="shared" si="19"/>
        <v>102.09</v>
      </c>
      <c r="M126" s="149">
        <v>108.284</v>
      </c>
      <c r="N126" s="150">
        <v>0</v>
      </c>
      <c r="O126" s="150">
        <v>0.115</v>
      </c>
      <c r="P126" s="150">
        <v>-35.468</v>
      </c>
      <c r="Q126" s="150">
        <v>35.041</v>
      </c>
      <c r="R126" s="150">
        <f t="shared" si="20"/>
        <v>107.972</v>
      </c>
      <c r="S126" s="150">
        <v>0.543</v>
      </c>
      <c r="T126" s="151">
        <f t="shared" si="21"/>
        <v>108.515</v>
      </c>
      <c r="U126" s="152">
        <f t="shared" si="22"/>
        <v>105.303</v>
      </c>
      <c r="V126" s="149">
        <v>105.759</v>
      </c>
      <c r="W126" s="150">
        <v>0</v>
      </c>
      <c r="X126" s="150">
        <v>0.695</v>
      </c>
      <c r="Y126" s="150">
        <v>-31.6</v>
      </c>
      <c r="Z126" s="150">
        <v>33.964</v>
      </c>
      <c r="AA126" s="150">
        <f t="shared" si="23"/>
        <v>108.81799999999998</v>
      </c>
      <c r="AB126" s="150">
        <v>2.958</v>
      </c>
      <c r="AC126" s="151">
        <f t="shared" si="24"/>
        <v>111.776</v>
      </c>
      <c r="AD126" s="152">
        <f t="shared" si="25"/>
        <v>0</v>
      </c>
      <c r="AE126" s="152">
        <v>0</v>
      </c>
      <c r="AF126" s="137"/>
      <c r="AG126" s="149">
        <f t="shared" si="26"/>
        <v>108.81799999999998</v>
      </c>
      <c r="AH126" s="150">
        <f t="shared" si="34"/>
        <v>0</v>
      </c>
      <c r="AI126" s="150">
        <v>0</v>
      </c>
      <c r="AJ126" s="150">
        <f t="shared" si="27"/>
        <v>108.81799999999998</v>
      </c>
      <c r="AK126" s="150">
        <f t="shared" si="28"/>
        <v>114.62964323043715</v>
      </c>
      <c r="AL126" s="150">
        <f t="shared" si="29"/>
        <v>2.958</v>
      </c>
      <c r="AM126" s="150">
        <f t="shared" si="30"/>
        <v>117.58764323043715</v>
      </c>
      <c r="AN126" s="150">
        <f t="shared" si="31"/>
        <v>114.912</v>
      </c>
      <c r="AO126" s="151">
        <f t="shared" si="32"/>
        <v>0</v>
      </c>
      <c r="AP126" s="138"/>
      <c r="AQ126" s="149">
        <v>0</v>
      </c>
      <c r="AR126" s="151">
        <f t="shared" si="33"/>
        <v>114.912</v>
      </c>
    </row>
    <row r="127" spans="1:44" ht="12.75">
      <c r="A127" s="139" t="s">
        <v>375</v>
      </c>
      <c r="B127" s="140">
        <v>10482</v>
      </c>
      <c r="C127" s="141" t="s">
        <v>376</v>
      </c>
      <c r="D127" s="142">
        <v>10482</v>
      </c>
      <c r="E127" s="143">
        <v>2.54</v>
      </c>
      <c r="F127" s="144">
        <v>0</v>
      </c>
      <c r="G127" s="144">
        <v>-0.008</v>
      </c>
      <c r="H127" s="144">
        <v>0</v>
      </c>
      <c r="I127" s="144">
        <v>0</v>
      </c>
      <c r="J127" s="144">
        <f t="shared" si="18"/>
        <v>2.532</v>
      </c>
      <c r="K127" s="144">
        <v>0</v>
      </c>
      <c r="L127" s="145">
        <f t="shared" si="19"/>
        <v>2.532</v>
      </c>
      <c r="M127" s="143">
        <v>2.527</v>
      </c>
      <c r="N127" s="144">
        <v>0</v>
      </c>
      <c r="O127" s="144">
        <v>-0.03</v>
      </c>
      <c r="P127" s="144">
        <v>0</v>
      </c>
      <c r="Q127" s="144">
        <v>0</v>
      </c>
      <c r="R127" s="144">
        <f t="shared" si="20"/>
        <v>2.4970000000000003</v>
      </c>
      <c r="S127" s="144">
        <v>0</v>
      </c>
      <c r="T127" s="145">
        <f t="shared" si="21"/>
        <v>2.497</v>
      </c>
      <c r="U127" s="146">
        <f t="shared" si="22"/>
        <v>2.515</v>
      </c>
      <c r="V127" s="143">
        <v>2.723</v>
      </c>
      <c r="W127" s="144">
        <v>0</v>
      </c>
      <c r="X127" s="144">
        <v>-0.003</v>
      </c>
      <c r="Y127" s="144">
        <v>0</v>
      </c>
      <c r="Z127" s="144">
        <v>0</v>
      </c>
      <c r="AA127" s="144">
        <f t="shared" si="23"/>
        <v>2.7199999999999998</v>
      </c>
      <c r="AB127" s="144">
        <v>0</v>
      </c>
      <c r="AC127" s="145">
        <f t="shared" si="24"/>
        <v>2.72</v>
      </c>
      <c r="AD127" s="146">
        <f t="shared" si="25"/>
        <v>0</v>
      </c>
      <c r="AE127" s="146">
        <v>0</v>
      </c>
      <c r="AF127" s="147"/>
      <c r="AG127" s="143">
        <f t="shared" si="26"/>
        <v>2.7199999999999998</v>
      </c>
      <c r="AH127" s="144">
        <f t="shared" si="34"/>
        <v>0</v>
      </c>
      <c r="AI127" s="144">
        <v>0</v>
      </c>
      <c r="AJ127" s="144">
        <f t="shared" si="27"/>
        <v>2.7199999999999998</v>
      </c>
      <c r="AK127" s="144">
        <f t="shared" si="28"/>
        <v>2.86526704760967</v>
      </c>
      <c r="AL127" s="144">
        <f t="shared" si="29"/>
        <v>0</v>
      </c>
      <c r="AM127" s="144">
        <f t="shared" si="30"/>
        <v>2.86526704760967</v>
      </c>
      <c r="AN127" s="144">
        <f t="shared" si="31"/>
        <v>2.8</v>
      </c>
      <c r="AO127" s="145">
        <f t="shared" si="32"/>
        <v>0</v>
      </c>
      <c r="AP127" s="148"/>
      <c r="AQ127" s="143">
        <v>0.78</v>
      </c>
      <c r="AR127" s="145">
        <f t="shared" si="33"/>
        <v>3.58</v>
      </c>
    </row>
    <row r="128" spans="1:44" ht="12.75">
      <c r="A128" s="129" t="s">
        <v>377</v>
      </c>
      <c r="B128" s="130">
        <v>10391</v>
      </c>
      <c r="C128" s="131" t="s">
        <v>378</v>
      </c>
      <c r="D128" s="132">
        <v>311</v>
      </c>
      <c r="E128" s="149">
        <v>22.442</v>
      </c>
      <c r="F128" s="150">
        <v>0</v>
      </c>
      <c r="G128" s="150">
        <v>-0.08</v>
      </c>
      <c r="H128" s="150">
        <v>-6.608</v>
      </c>
      <c r="I128" s="150">
        <v>6.364</v>
      </c>
      <c r="J128" s="150">
        <f t="shared" si="18"/>
        <v>22.118000000000002</v>
      </c>
      <c r="K128" s="150">
        <v>0.028</v>
      </c>
      <c r="L128" s="151">
        <f t="shared" si="19"/>
        <v>22.146</v>
      </c>
      <c r="M128" s="149">
        <v>25.736</v>
      </c>
      <c r="N128" s="150">
        <v>0</v>
      </c>
      <c r="O128" s="150">
        <v>-0.215</v>
      </c>
      <c r="P128" s="150">
        <v>-6.888</v>
      </c>
      <c r="Q128" s="150">
        <v>6.44</v>
      </c>
      <c r="R128" s="150">
        <f t="shared" si="20"/>
        <v>25.073000000000004</v>
      </c>
      <c r="S128" s="150">
        <v>0.125</v>
      </c>
      <c r="T128" s="151">
        <f t="shared" si="21"/>
        <v>25.198</v>
      </c>
      <c r="U128" s="152">
        <f t="shared" si="22"/>
        <v>23.672</v>
      </c>
      <c r="V128" s="149">
        <v>28.767</v>
      </c>
      <c r="W128" s="150">
        <v>0</v>
      </c>
      <c r="X128" s="150">
        <v>-0.018</v>
      </c>
      <c r="Y128" s="150">
        <v>-6.316</v>
      </c>
      <c r="Z128" s="150">
        <v>6.721</v>
      </c>
      <c r="AA128" s="150">
        <f t="shared" si="23"/>
        <v>29.154</v>
      </c>
      <c r="AB128" s="150">
        <v>0.421</v>
      </c>
      <c r="AC128" s="151">
        <f t="shared" si="24"/>
        <v>29.575</v>
      </c>
      <c r="AD128" s="152">
        <f t="shared" si="25"/>
        <v>0</v>
      </c>
      <c r="AE128" s="152">
        <v>0</v>
      </c>
      <c r="AF128" s="137"/>
      <c r="AG128" s="149">
        <f t="shared" si="26"/>
        <v>29.154</v>
      </c>
      <c r="AH128" s="150">
        <f t="shared" si="34"/>
        <v>0</v>
      </c>
      <c r="AI128" s="150">
        <v>0</v>
      </c>
      <c r="AJ128" s="150">
        <f t="shared" si="27"/>
        <v>29.154</v>
      </c>
      <c r="AK128" s="150">
        <f t="shared" si="28"/>
        <v>30.711027759563358</v>
      </c>
      <c r="AL128" s="150">
        <f t="shared" si="29"/>
        <v>0.421</v>
      </c>
      <c r="AM128" s="150">
        <f t="shared" si="30"/>
        <v>31.132027759563357</v>
      </c>
      <c r="AN128" s="150">
        <f t="shared" si="31"/>
        <v>30.424</v>
      </c>
      <c r="AO128" s="151">
        <f t="shared" si="32"/>
        <v>0</v>
      </c>
      <c r="AP128" s="138"/>
      <c r="AQ128" s="149">
        <v>0</v>
      </c>
      <c r="AR128" s="151">
        <f t="shared" si="33"/>
        <v>30.424</v>
      </c>
    </row>
    <row r="129" spans="1:44" ht="12.75">
      <c r="A129" s="139" t="s">
        <v>379</v>
      </c>
      <c r="B129" s="140">
        <v>10399</v>
      </c>
      <c r="C129" s="141" t="s">
        <v>380</v>
      </c>
      <c r="D129" s="142">
        <v>482</v>
      </c>
      <c r="E129" s="143">
        <v>2.075</v>
      </c>
      <c r="F129" s="144">
        <v>0</v>
      </c>
      <c r="G129" s="144">
        <v>0</v>
      </c>
      <c r="H129" s="144">
        <v>0</v>
      </c>
      <c r="I129" s="144">
        <v>0</v>
      </c>
      <c r="J129" s="144">
        <f t="shared" si="18"/>
        <v>2.075</v>
      </c>
      <c r="K129" s="144">
        <v>0</v>
      </c>
      <c r="L129" s="145">
        <f t="shared" si="19"/>
        <v>2.075</v>
      </c>
      <c r="M129" s="143">
        <v>1.925</v>
      </c>
      <c r="N129" s="144">
        <v>0</v>
      </c>
      <c r="O129" s="144">
        <v>0</v>
      </c>
      <c r="P129" s="144">
        <v>0</v>
      </c>
      <c r="Q129" s="144">
        <v>0</v>
      </c>
      <c r="R129" s="144">
        <f t="shared" si="20"/>
        <v>1.925</v>
      </c>
      <c r="S129" s="144">
        <v>0</v>
      </c>
      <c r="T129" s="145">
        <f t="shared" si="21"/>
        <v>1.925</v>
      </c>
      <c r="U129" s="146">
        <f t="shared" si="22"/>
        <v>2</v>
      </c>
      <c r="V129" s="143">
        <v>1.969</v>
      </c>
      <c r="W129" s="144">
        <v>0</v>
      </c>
      <c r="X129" s="144">
        <v>0</v>
      </c>
      <c r="Y129" s="144">
        <v>0</v>
      </c>
      <c r="Z129" s="144">
        <v>0</v>
      </c>
      <c r="AA129" s="144">
        <f t="shared" si="23"/>
        <v>1.969</v>
      </c>
      <c r="AB129" s="144">
        <v>0</v>
      </c>
      <c r="AC129" s="145">
        <f t="shared" si="24"/>
        <v>1.969</v>
      </c>
      <c r="AD129" s="146">
        <f t="shared" si="25"/>
        <v>0.030999999999999917</v>
      </c>
      <c r="AE129" s="146">
        <v>0</v>
      </c>
      <c r="AF129" s="147"/>
      <c r="AG129" s="143">
        <f t="shared" si="26"/>
        <v>1.969</v>
      </c>
      <c r="AH129" s="144">
        <f t="shared" si="34"/>
        <v>0.030999999999999917</v>
      </c>
      <c r="AI129" s="144">
        <v>-0.207</v>
      </c>
      <c r="AJ129" s="144">
        <f t="shared" si="27"/>
        <v>1.793</v>
      </c>
      <c r="AK129" s="144">
        <f t="shared" si="28"/>
        <v>1.8887587560162276</v>
      </c>
      <c r="AL129" s="144">
        <f t="shared" si="29"/>
        <v>0</v>
      </c>
      <c r="AM129" s="144">
        <f t="shared" si="30"/>
        <v>1.8887587560162276</v>
      </c>
      <c r="AN129" s="144">
        <f t="shared" si="31"/>
        <v>1.846</v>
      </c>
      <c r="AO129" s="145">
        <f t="shared" si="32"/>
        <v>0.032</v>
      </c>
      <c r="AP129" s="148"/>
      <c r="AQ129" s="143">
        <v>0</v>
      </c>
      <c r="AR129" s="145">
        <f t="shared" si="33"/>
        <v>1.846</v>
      </c>
    </row>
    <row r="130" spans="1:44" ht="12.75">
      <c r="A130" s="129" t="s">
        <v>381</v>
      </c>
      <c r="B130" s="130">
        <v>10406</v>
      </c>
      <c r="C130" s="131" t="s">
        <v>382</v>
      </c>
      <c r="D130" s="132">
        <v>410</v>
      </c>
      <c r="E130" s="149">
        <v>0.438</v>
      </c>
      <c r="F130" s="150">
        <v>0</v>
      </c>
      <c r="G130" s="150">
        <v>-0.001</v>
      </c>
      <c r="H130" s="150">
        <v>0</v>
      </c>
      <c r="I130" s="150">
        <v>0</v>
      </c>
      <c r="J130" s="150">
        <f t="shared" si="18"/>
        <v>0.437</v>
      </c>
      <c r="K130" s="150">
        <v>0</v>
      </c>
      <c r="L130" s="151">
        <f t="shared" si="19"/>
        <v>0.437</v>
      </c>
      <c r="M130" s="149">
        <v>0.431</v>
      </c>
      <c r="N130" s="150">
        <v>0</v>
      </c>
      <c r="O130" s="150">
        <v>-0.019</v>
      </c>
      <c r="P130" s="150">
        <v>0</v>
      </c>
      <c r="Q130" s="150">
        <v>0</v>
      </c>
      <c r="R130" s="150">
        <f t="shared" si="20"/>
        <v>0.412</v>
      </c>
      <c r="S130" s="150">
        <v>0</v>
      </c>
      <c r="T130" s="151">
        <f t="shared" si="21"/>
        <v>0.412</v>
      </c>
      <c r="U130" s="152">
        <f t="shared" si="22"/>
        <v>0.425</v>
      </c>
      <c r="V130" s="149">
        <v>0.447</v>
      </c>
      <c r="W130" s="150">
        <v>0</v>
      </c>
      <c r="X130" s="150">
        <v>0.005</v>
      </c>
      <c r="Y130" s="150">
        <v>0</v>
      </c>
      <c r="Z130" s="150">
        <v>0</v>
      </c>
      <c r="AA130" s="150">
        <f t="shared" si="23"/>
        <v>0.452</v>
      </c>
      <c r="AB130" s="150">
        <v>0</v>
      </c>
      <c r="AC130" s="151">
        <f t="shared" si="24"/>
        <v>0.452</v>
      </c>
      <c r="AD130" s="152">
        <f t="shared" si="25"/>
        <v>0</v>
      </c>
      <c r="AE130" s="152">
        <v>0</v>
      </c>
      <c r="AF130" s="137"/>
      <c r="AG130" s="149">
        <f t="shared" si="26"/>
        <v>0.452</v>
      </c>
      <c r="AH130" s="150">
        <f t="shared" si="34"/>
        <v>0</v>
      </c>
      <c r="AI130" s="150">
        <v>0</v>
      </c>
      <c r="AJ130" s="150">
        <f t="shared" si="27"/>
        <v>0.452</v>
      </c>
      <c r="AK130" s="150">
        <f t="shared" si="28"/>
        <v>0.4761399652645482</v>
      </c>
      <c r="AL130" s="150">
        <f t="shared" si="29"/>
        <v>0</v>
      </c>
      <c r="AM130" s="150">
        <f t="shared" si="30"/>
        <v>0.4761399652645482</v>
      </c>
      <c r="AN130" s="150">
        <f t="shared" si="31"/>
        <v>0.465</v>
      </c>
      <c r="AO130" s="151">
        <f t="shared" si="32"/>
        <v>0</v>
      </c>
      <c r="AP130" s="138"/>
      <c r="AQ130" s="149">
        <v>0</v>
      </c>
      <c r="AR130" s="151">
        <f t="shared" si="33"/>
        <v>0.465</v>
      </c>
    </row>
    <row r="131" spans="1:44" ht="12.75">
      <c r="A131" s="139" t="s">
        <v>383</v>
      </c>
      <c r="B131" s="140">
        <v>10426</v>
      </c>
      <c r="C131" s="141" t="s">
        <v>384</v>
      </c>
      <c r="D131" s="142">
        <v>404</v>
      </c>
      <c r="E131" s="143">
        <v>21.089</v>
      </c>
      <c r="F131" s="144">
        <v>0</v>
      </c>
      <c r="G131" s="144">
        <v>-0.123</v>
      </c>
      <c r="H131" s="144">
        <v>0</v>
      </c>
      <c r="I131" s="144">
        <v>0</v>
      </c>
      <c r="J131" s="144">
        <f t="shared" si="18"/>
        <v>20.965999999999998</v>
      </c>
      <c r="K131" s="144">
        <v>0</v>
      </c>
      <c r="L131" s="145">
        <f t="shared" si="19"/>
        <v>20.966</v>
      </c>
      <c r="M131" s="143">
        <v>21.189</v>
      </c>
      <c r="N131" s="144">
        <v>0</v>
      </c>
      <c r="O131" s="144">
        <v>-0.11</v>
      </c>
      <c r="P131" s="144">
        <v>0</v>
      </c>
      <c r="Q131" s="144">
        <v>0</v>
      </c>
      <c r="R131" s="144">
        <f t="shared" si="20"/>
        <v>21.079</v>
      </c>
      <c r="S131" s="144">
        <v>0</v>
      </c>
      <c r="T131" s="145">
        <f t="shared" si="21"/>
        <v>21.079</v>
      </c>
      <c r="U131" s="146">
        <f t="shared" si="22"/>
        <v>21.023</v>
      </c>
      <c r="V131" s="143">
        <v>22.007</v>
      </c>
      <c r="W131" s="144">
        <v>0</v>
      </c>
      <c r="X131" s="144">
        <v>0</v>
      </c>
      <c r="Y131" s="144">
        <v>0</v>
      </c>
      <c r="Z131" s="144">
        <v>0</v>
      </c>
      <c r="AA131" s="144">
        <f t="shared" si="23"/>
        <v>22.007</v>
      </c>
      <c r="AB131" s="144">
        <v>0.081</v>
      </c>
      <c r="AC131" s="145">
        <f t="shared" si="24"/>
        <v>22.088</v>
      </c>
      <c r="AD131" s="146">
        <f t="shared" si="25"/>
        <v>0</v>
      </c>
      <c r="AE131" s="146">
        <v>0</v>
      </c>
      <c r="AF131" s="147"/>
      <c r="AG131" s="143">
        <f t="shared" si="26"/>
        <v>22.007</v>
      </c>
      <c r="AH131" s="144">
        <f t="shared" si="34"/>
        <v>0</v>
      </c>
      <c r="AI131" s="144">
        <v>0</v>
      </c>
      <c r="AJ131" s="144">
        <f t="shared" si="27"/>
        <v>22.007</v>
      </c>
      <c r="AK131" s="144">
        <f t="shared" si="28"/>
        <v>23.18232791056839</v>
      </c>
      <c r="AL131" s="144">
        <f t="shared" si="29"/>
        <v>0.081</v>
      </c>
      <c r="AM131" s="144">
        <f t="shared" si="30"/>
        <v>23.26332791056839</v>
      </c>
      <c r="AN131" s="144">
        <f t="shared" si="31"/>
        <v>22.734</v>
      </c>
      <c r="AO131" s="145">
        <f t="shared" si="32"/>
        <v>0</v>
      </c>
      <c r="AP131" s="148"/>
      <c r="AQ131" s="143">
        <v>3.916999999999998</v>
      </c>
      <c r="AR131" s="145">
        <f t="shared" si="33"/>
        <v>26.651</v>
      </c>
    </row>
    <row r="132" spans="1:44" ht="12.75">
      <c r="A132" s="129" t="s">
        <v>385</v>
      </c>
      <c r="B132" s="130">
        <v>10409</v>
      </c>
      <c r="C132" s="131" t="s">
        <v>386</v>
      </c>
      <c r="D132" s="132">
        <v>490</v>
      </c>
      <c r="E132" s="149">
        <v>20.01</v>
      </c>
      <c r="F132" s="150">
        <v>0</v>
      </c>
      <c r="G132" s="150">
        <v>-0.166</v>
      </c>
      <c r="H132" s="150">
        <v>0</v>
      </c>
      <c r="I132" s="150">
        <v>0</v>
      </c>
      <c r="J132" s="150">
        <f t="shared" si="18"/>
        <v>19.844</v>
      </c>
      <c r="K132" s="150">
        <v>0.01</v>
      </c>
      <c r="L132" s="151">
        <f t="shared" si="19"/>
        <v>19.854</v>
      </c>
      <c r="M132" s="149">
        <v>20.258</v>
      </c>
      <c r="N132" s="150">
        <v>0</v>
      </c>
      <c r="O132" s="150">
        <v>-0.369</v>
      </c>
      <c r="P132" s="150">
        <v>0</v>
      </c>
      <c r="Q132" s="150">
        <v>0</v>
      </c>
      <c r="R132" s="150">
        <f t="shared" si="20"/>
        <v>19.889</v>
      </c>
      <c r="S132" s="150">
        <v>0.364</v>
      </c>
      <c r="T132" s="151">
        <f t="shared" si="21"/>
        <v>20.253</v>
      </c>
      <c r="U132" s="152">
        <f t="shared" si="22"/>
        <v>20.054</v>
      </c>
      <c r="V132" s="149">
        <v>19.45</v>
      </c>
      <c r="W132" s="150">
        <v>0</v>
      </c>
      <c r="X132" s="150">
        <v>-0.178</v>
      </c>
      <c r="Y132" s="150">
        <v>0</v>
      </c>
      <c r="Z132" s="150">
        <v>0</v>
      </c>
      <c r="AA132" s="150">
        <f t="shared" si="23"/>
        <v>19.272</v>
      </c>
      <c r="AB132" s="150">
        <v>0.907</v>
      </c>
      <c r="AC132" s="151">
        <f t="shared" si="24"/>
        <v>20.179</v>
      </c>
      <c r="AD132" s="152">
        <f t="shared" si="25"/>
        <v>0</v>
      </c>
      <c r="AE132" s="152">
        <v>0</v>
      </c>
      <c r="AF132" s="137"/>
      <c r="AG132" s="149">
        <f t="shared" si="26"/>
        <v>19.272</v>
      </c>
      <c r="AH132" s="150">
        <f t="shared" si="34"/>
        <v>0</v>
      </c>
      <c r="AI132" s="150">
        <v>0</v>
      </c>
      <c r="AJ132" s="150">
        <f t="shared" si="27"/>
        <v>19.272</v>
      </c>
      <c r="AK132" s="150">
        <f t="shared" si="28"/>
        <v>20.301259757916753</v>
      </c>
      <c r="AL132" s="150">
        <f t="shared" si="29"/>
        <v>0.907</v>
      </c>
      <c r="AM132" s="150">
        <f t="shared" si="30"/>
        <v>21.208259757916753</v>
      </c>
      <c r="AN132" s="150">
        <f t="shared" si="31"/>
        <v>20.726</v>
      </c>
      <c r="AO132" s="151">
        <f t="shared" si="32"/>
        <v>0</v>
      </c>
      <c r="AP132" s="138"/>
      <c r="AQ132" s="149">
        <v>0</v>
      </c>
      <c r="AR132" s="151">
        <f t="shared" si="33"/>
        <v>20.726</v>
      </c>
    </row>
    <row r="133" spans="1:44" ht="12.75">
      <c r="A133" s="139" t="s">
        <v>387</v>
      </c>
      <c r="B133" s="140">
        <v>10408</v>
      </c>
      <c r="C133" s="141" t="s">
        <v>388</v>
      </c>
      <c r="D133" s="142">
        <v>491</v>
      </c>
      <c r="E133" s="143">
        <v>1.48</v>
      </c>
      <c r="F133" s="144">
        <v>0</v>
      </c>
      <c r="G133" s="144">
        <v>-0.003</v>
      </c>
      <c r="H133" s="144">
        <v>0</v>
      </c>
      <c r="I133" s="144">
        <v>0</v>
      </c>
      <c r="J133" s="144">
        <f t="shared" si="18"/>
        <v>1.477</v>
      </c>
      <c r="K133" s="144">
        <v>0</v>
      </c>
      <c r="L133" s="145">
        <f t="shared" si="19"/>
        <v>1.477</v>
      </c>
      <c r="M133" s="143">
        <v>1.514</v>
      </c>
      <c r="N133" s="144">
        <v>0</v>
      </c>
      <c r="O133" s="144">
        <v>-0.009</v>
      </c>
      <c r="P133" s="144">
        <v>0</v>
      </c>
      <c r="Q133" s="144">
        <v>0</v>
      </c>
      <c r="R133" s="144">
        <f t="shared" si="20"/>
        <v>1.5050000000000001</v>
      </c>
      <c r="S133" s="144">
        <v>0</v>
      </c>
      <c r="T133" s="145">
        <f t="shared" si="21"/>
        <v>1.505</v>
      </c>
      <c r="U133" s="146">
        <f t="shared" si="22"/>
        <v>1.491</v>
      </c>
      <c r="V133" s="143">
        <v>1.502</v>
      </c>
      <c r="W133" s="144">
        <v>0</v>
      </c>
      <c r="X133" s="144">
        <v>0.004</v>
      </c>
      <c r="Y133" s="144">
        <v>0</v>
      </c>
      <c r="Z133" s="144">
        <v>0</v>
      </c>
      <c r="AA133" s="144">
        <f t="shared" si="23"/>
        <v>1.506</v>
      </c>
      <c r="AB133" s="144">
        <v>0</v>
      </c>
      <c r="AC133" s="145">
        <f t="shared" si="24"/>
        <v>1.506</v>
      </c>
      <c r="AD133" s="146">
        <f t="shared" si="25"/>
        <v>0</v>
      </c>
      <c r="AE133" s="146">
        <v>0</v>
      </c>
      <c r="AF133" s="147"/>
      <c r="AG133" s="143">
        <f t="shared" si="26"/>
        <v>1.506</v>
      </c>
      <c r="AH133" s="144">
        <f t="shared" si="34"/>
        <v>0</v>
      </c>
      <c r="AI133" s="144">
        <v>0</v>
      </c>
      <c r="AJ133" s="144">
        <f t="shared" si="27"/>
        <v>1.506</v>
      </c>
      <c r="AK133" s="144">
        <f t="shared" si="28"/>
        <v>1.5864309462132955</v>
      </c>
      <c r="AL133" s="144">
        <f t="shared" si="29"/>
        <v>0</v>
      </c>
      <c r="AM133" s="144">
        <f t="shared" si="30"/>
        <v>1.5864309462132955</v>
      </c>
      <c r="AN133" s="144">
        <f t="shared" si="31"/>
        <v>1.55</v>
      </c>
      <c r="AO133" s="145">
        <f t="shared" si="32"/>
        <v>0</v>
      </c>
      <c r="AP133" s="148"/>
      <c r="AQ133" s="143">
        <v>0</v>
      </c>
      <c r="AR133" s="145">
        <f t="shared" si="33"/>
        <v>1.55</v>
      </c>
    </row>
    <row r="134" spans="1:44" ht="12.75">
      <c r="A134" s="129" t="s">
        <v>389</v>
      </c>
      <c r="B134" s="130">
        <v>10326</v>
      </c>
      <c r="C134" s="131" t="s">
        <v>390</v>
      </c>
      <c r="D134" s="132">
        <v>451</v>
      </c>
      <c r="E134" s="149">
        <v>27.605</v>
      </c>
      <c r="F134" s="150">
        <v>0</v>
      </c>
      <c r="G134" s="150">
        <v>-0.156</v>
      </c>
      <c r="H134" s="150">
        <v>0</v>
      </c>
      <c r="I134" s="150">
        <v>0</v>
      </c>
      <c r="J134" s="150">
        <f t="shared" si="18"/>
        <v>27.449</v>
      </c>
      <c r="K134" s="150">
        <v>0.723</v>
      </c>
      <c r="L134" s="151">
        <f t="shared" si="19"/>
        <v>28.172</v>
      </c>
      <c r="M134" s="149">
        <v>27.3</v>
      </c>
      <c r="N134" s="150">
        <v>0</v>
      </c>
      <c r="O134" s="150">
        <v>-0.33</v>
      </c>
      <c r="P134" s="150">
        <v>0</v>
      </c>
      <c r="Q134" s="150">
        <v>0</v>
      </c>
      <c r="R134" s="150">
        <f t="shared" si="20"/>
        <v>26.970000000000002</v>
      </c>
      <c r="S134" s="150">
        <v>1.352</v>
      </c>
      <c r="T134" s="151">
        <f t="shared" si="21"/>
        <v>28.322</v>
      </c>
      <c r="U134" s="152">
        <f t="shared" si="22"/>
        <v>28.247</v>
      </c>
      <c r="V134" s="149">
        <v>28.059</v>
      </c>
      <c r="W134" s="150">
        <v>0</v>
      </c>
      <c r="X134" s="150">
        <v>-0.207</v>
      </c>
      <c r="Y134" s="150">
        <v>0</v>
      </c>
      <c r="Z134" s="150">
        <v>0</v>
      </c>
      <c r="AA134" s="150">
        <f t="shared" si="23"/>
        <v>27.852</v>
      </c>
      <c r="AB134" s="150">
        <v>2.294</v>
      </c>
      <c r="AC134" s="151">
        <f t="shared" si="24"/>
        <v>30.146</v>
      </c>
      <c r="AD134" s="152">
        <f t="shared" si="25"/>
        <v>0</v>
      </c>
      <c r="AE134" s="152">
        <v>0</v>
      </c>
      <c r="AF134" s="137"/>
      <c r="AG134" s="149">
        <f t="shared" si="26"/>
        <v>27.852</v>
      </c>
      <c r="AH134" s="150">
        <f t="shared" si="34"/>
        <v>0</v>
      </c>
      <c r="AI134" s="150">
        <v>0</v>
      </c>
      <c r="AJ134" s="150">
        <f t="shared" si="27"/>
        <v>27.852</v>
      </c>
      <c r="AK134" s="150">
        <f t="shared" si="28"/>
        <v>29.339491841920786</v>
      </c>
      <c r="AL134" s="150">
        <f t="shared" si="29"/>
        <v>2.294</v>
      </c>
      <c r="AM134" s="150">
        <f t="shared" si="30"/>
        <v>31.633491841920787</v>
      </c>
      <c r="AN134" s="150">
        <f t="shared" si="31"/>
        <v>30.914</v>
      </c>
      <c r="AO134" s="151">
        <f t="shared" si="32"/>
        <v>0</v>
      </c>
      <c r="AP134" s="138"/>
      <c r="AQ134" s="149">
        <v>0</v>
      </c>
      <c r="AR134" s="151">
        <f t="shared" si="33"/>
        <v>30.914</v>
      </c>
    </row>
    <row r="135" spans="1:44" ht="12.75">
      <c r="A135" s="139" t="s">
        <v>391</v>
      </c>
      <c r="B135" s="140">
        <v>10434</v>
      </c>
      <c r="C135" s="141" t="s">
        <v>392</v>
      </c>
      <c r="D135" s="142">
        <v>191</v>
      </c>
      <c r="E135" s="143">
        <v>25.962</v>
      </c>
      <c r="F135" s="144">
        <v>0</v>
      </c>
      <c r="G135" s="144">
        <v>-0.221</v>
      </c>
      <c r="H135" s="144">
        <v>0</v>
      </c>
      <c r="I135" s="144">
        <v>0</v>
      </c>
      <c r="J135" s="144">
        <f t="shared" si="18"/>
        <v>25.741</v>
      </c>
      <c r="K135" s="144">
        <v>0.002</v>
      </c>
      <c r="L135" s="145">
        <f t="shared" si="19"/>
        <v>25.743</v>
      </c>
      <c r="M135" s="143">
        <v>26.66</v>
      </c>
      <c r="N135" s="144">
        <v>0</v>
      </c>
      <c r="O135" s="144">
        <v>-0.429</v>
      </c>
      <c r="P135" s="144">
        <v>0</v>
      </c>
      <c r="Q135" s="144">
        <v>0</v>
      </c>
      <c r="R135" s="144">
        <f t="shared" si="20"/>
        <v>26.231</v>
      </c>
      <c r="S135" s="144">
        <v>0.194</v>
      </c>
      <c r="T135" s="145">
        <f t="shared" si="21"/>
        <v>26.425</v>
      </c>
      <c r="U135" s="146">
        <f t="shared" si="22"/>
        <v>26.084</v>
      </c>
      <c r="V135" s="143">
        <v>26.073</v>
      </c>
      <c r="W135" s="144">
        <v>0</v>
      </c>
      <c r="X135" s="144">
        <v>0.203</v>
      </c>
      <c r="Y135" s="144">
        <v>0</v>
      </c>
      <c r="Z135" s="144">
        <v>0</v>
      </c>
      <c r="AA135" s="144">
        <f t="shared" si="23"/>
        <v>26.276</v>
      </c>
      <c r="AB135" s="144">
        <v>0.524</v>
      </c>
      <c r="AC135" s="145">
        <f t="shared" si="24"/>
        <v>26.8</v>
      </c>
      <c r="AD135" s="146">
        <f t="shared" si="25"/>
        <v>0</v>
      </c>
      <c r="AE135" s="146">
        <v>0</v>
      </c>
      <c r="AF135" s="147"/>
      <c r="AG135" s="143">
        <f t="shared" si="26"/>
        <v>26.276</v>
      </c>
      <c r="AH135" s="144">
        <f t="shared" si="34"/>
        <v>0</v>
      </c>
      <c r="AI135" s="144">
        <v>0</v>
      </c>
      <c r="AJ135" s="144">
        <f t="shared" si="27"/>
        <v>26.276</v>
      </c>
      <c r="AK135" s="144">
        <f t="shared" si="28"/>
        <v>27.679322405511655</v>
      </c>
      <c r="AL135" s="144">
        <f t="shared" si="29"/>
        <v>0.524</v>
      </c>
      <c r="AM135" s="144">
        <f t="shared" si="30"/>
        <v>28.203322405511656</v>
      </c>
      <c r="AN135" s="144">
        <f t="shared" si="31"/>
        <v>27.562</v>
      </c>
      <c r="AO135" s="145">
        <f t="shared" si="32"/>
        <v>0</v>
      </c>
      <c r="AP135" s="148"/>
      <c r="AQ135" s="143">
        <v>0</v>
      </c>
      <c r="AR135" s="145">
        <f t="shared" si="33"/>
        <v>27.562</v>
      </c>
    </row>
    <row r="136" spans="1:44" ht="12.75">
      <c r="A136" s="129" t="s">
        <v>393</v>
      </c>
      <c r="B136" s="130">
        <v>10436</v>
      </c>
      <c r="C136" s="131" t="s">
        <v>394</v>
      </c>
      <c r="D136" s="132">
        <v>390</v>
      </c>
      <c r="E136" s="149">
        <v>17.73</v>
      </c>
      <c r="F136" s="150">
        <v>0</v>
      </c>
      <c r="G136" s="150">
        <v>-0.063</v>
      </c>
      <c r="H136" s="150">
        <v>-5.716</v>
      </c>
      <c r="I136" s="150">
        <v>5.508</v>
      </c>
      <c r="J136" s="150">
        <f t="shared" si="18"/>
        <v>17.459</v>
      </c>
      <c r="K136" s="150">
        <v>0.016</v>
      </c>
      <c r="L136" s="151">
        <f t="shared" si="19"/>
        <v>17.475</v>
      </c>
      <c r="M136" s="149">
        <v>18.69</v>
      </c>
      <c r="N136" s="150">
        <v>0</v>
      </c>
      <c r="O136" s="150">
        <v>-0.026</v>
      </c>
      <c r="P136" s="150">
        <v>-5.745</v>
      </c>
      <c r="Q136" s="150">
        <v>5.513</v>
      </c>
      <c r="R136" s="150">
        <f t="shared" si="20"/>
        <v>18.432000000000002</v>
      </c>
      <c r="S136" s="150">
        <v>0.036</v>
      </c>
      <c r="T136" s="151">
        <f t="shared" si="21"/>
        <v>18.468</v>
      </c>
      <c r="U136" s="152">
        <f t="shared" si="22"/>
        <v>17.972</v>
      </c>
      <c r="V136" s="149">
        <v>17.764</v>
      </c>
      <c r="W136" s="150">
        <v>0</v>
      </c>
      <c r="X136" s="150">
        <v>0.071</v>
      </c>
      <c r="Y136" s="150">
        <v>-4.479</v>
      </c>
      <c r="Z136" s="150">
        <v>5.441</v>
      </c>
      <c r="AA136" s="150">
        <f t="shared" si="23"/>
        <v>18.797</v>
      </c>
      <c r="AB136" s="150">
        <v>0.09</v>
      </c>
      <c r="AC136" s="151">
        <f t="shared" si="24"/>
        <v>18.887</v>
      </c>
      <c r="AD136" s="152">
        <f t="shared" si="25"/>
        <v>0</v>
      </c>
      <c r="AE136" s="152">
        <v>0</v>
      </c>
      <c r="AF136" s="137"/>
      <c r="AG136" s="149">
        <f t="shared" si="26"/>
        <v>18.797</v>
      </c>
      <c r="AH136" s="150">
        <f t="shared" si="34"/>
        <v>0</v>
      </c>
      <c r="AI136" s="150">
        <v>0</v>
      </c>
      <c r="AJ136" s="150">
        <f t="shared" si="27"/>
        <v>18.797</v>
      </c>
      <c r="AK136" s="150">
        <f t="shared" si="28"/>
        <v>19.80089143158786</v>
      </c>
      <c r="AL136" s="150">
        <f t="shared" si="29"/>
        <v>0.09</v>
      </c>
      <c r="AM136" s="150">
        <f t="shared" si="30"/>
        <v>19.89089143158786</v>
      </c>
      <c r="AN136" s="150">
        <f t="shared" si="31"/>
        <v>19.438</v>
      </c>
      <c r="AO136" s="151">
        <f t="shared" si="32"/>
        <v>0</v>
      </c>
      <c r="AP136" s="138"/>
      <c r="AQ136" s="149">
        <v>0</v>
      </c>
      <c r="AR136" s="151">
        <f t="shared" si="33"/>
        <v>19.438</v>
      </c>
    </row>
    <row r="137" spans="1:44" ht="12.75">
      <c r="A137" s="139" t="s">
        <v>395</v>
      </c>
      <c r="B137" s="140">
        <v>10440</v>
      </c>
      <c r="C137" s="141" t="s">
        <v>396</v>
      </c>
      <c r="D137" s="142">
        <v>293</v>
      </c>
      <c r="E137" s="143">
        <v>4.92</v>
      </c>
      <c r="F137" s="144">
        <v>0</v>
      </c>
      <c r="G137" s="144">
        <v>-0.091</v>
      </c>
      <c r="H137" s="144">
        <v>0</v>
      </c>
      <c r="I137" s="144">
        <v>0</v>
      </c>
      <c r="J137" s="144">
        <f t="shared" si="18"/>
        <v>4.829</v>
      </c>
      <c r="K137" s="144">
        <v>0</v>
      </c>
      <c r="L137" s="145">
        <f t="shared" si="19"/>
        <v>4.829</v>
      </c>
      <c r="M137" s="143">
        <v>5.174</v>
      </c>
      <c r="N137" s="144">
        <v>0</v>
      </c>
      <c r="O137" s="144">
        <v>-0.244</v>
      </c>
      <c r="P137" s="144">
        <v>0</v>
      </c>
      <c r="Q137" s="144">
        <v>0</v>
      </c>
      <c r="R137" s="144">
        <f t="shared" si="20"/>
        <v>4.930000000000001</v>
      </c>
      <c r="S137" s="144">
        <v>0.022</v>
      </c>
      <c r="T137" s="145">
        <f t="shared" si="21"/>
        <v>4.952</v>
      </c>
      <c r="U137" s="146">
        <f t="shared" si="22"/>
        <v>4.891</v>
      </c>
      <c r="V137" s="143">
        <v>4.872</v>
      </c>
      <c r="W137" s="144">
        <v>0</v>
      </c>
      <c r="X137" s="144">
        <v>0.093</v>
      </c>
      <c r="Y137" s="144">
        <v>0</v>
      </c>
      <c r="Z137" s="144">
        <v>0</v>
      </c>
      <c r="AA137" s="144">
        <f t="shared" si="23"/>
        <v>4.965</v>
      </c>
      <c r="AB137" s="144">
        <v>0.038</v>
      </c>
      <c r="AC137" s="145">
        <f t="shared" si="24"/>
        <v>5.003</v>
      </c>
      <c r="AD137" s="146">
        <f t="shared" si="25"/>
        <v>0</v>
      </c>
      <c r="AE137" s="146">
        <v>0</v>
      </c>
      <c r="AF137" s="147"/>
      <c r="AG137" s="143">
        <f t="shared" si="26"/>
        <v>4.965</v>
      </c>
      <c r="AH137" s="144">
        <f t="shared" si="34"/>
        <v>0</v>
      </c>
      <c r="AI137" s="144">
        <v>-0.066</v>
      </c>
      <c r="AJ137" s="144">
        <f t="shared" si="27"/>
        <v>4.899</v>
      </c>
      <c r="AK137" s="144">
        <f t="shared" si="28"/>
        <v>5.1606409067058</v>
      </c>
      <c r="AL137" s="144">
        <f t="shared" si="29"/>
        <v>0.038</v>
      </c>
      <c r="AM137" s="144">
        <f t="shared" si="30"/>
        <v>5.1986409067058</v>
      </c>
      <c r="AN137" s="144">
        <f t="shared" si="31"/>
        <v>5.08</v>
      </c>
      <c r="AO137" s="145">
        <f t="shared" si="32"/>
        <v>0</v>
      </c>
      <c r="AP137" s="148"/>
      <c r="AQ137" s="143">
        <v>0</v>
      </c>
      <c r="AR137" s="145">
        <f t="shared" si="33"/>
        <v>5.08</v>
      </c>
    </row>
    <row r="138" spans="1:44" ht="12.75">
      <c r="A138" s="129" t="s">
        <v>397</v>
      </c>
      <c r="B138" s="130">
        <v>10442</v>
      </c>
      <c r="C138" s="131" t="s">
        <v>398</v>
      </c>
      <c r="D138" s="132">
        <v>394</v>
      </c>
      <c r="E138" s="149">
        <v>11.923</v>
      </c>
      <c r="F138" s="150">
        <v>0</v>
      </c>
      <c r="G138" s="150">
        <v>-0.084</v>
      </c>
      <c r="H138" s="150">
        <v>-1.467</v>
      </c>
      <c r="I138" s="150">
        <v>1.458</v>
      </c>
      <c r="J138" s="150">
        <f t="shared" si="18"/>
        <v>11.83</v>
      </c>
      <c r="K138" s="150">
        <v>0.001</v>
      </c>
      <c r="L138" s="151">
        <f t="shared" si="19"/>
        <v>11.831</v>
      </c>
      <c r="M138" s="149">
        <v>12.381</v>
      </c>
      <c r="N138" s="150">
        <v>0</v>
      </c>
      <c r="O138" s="150">
        <v>-0.186</v>
      </c>
      <c r="P138" s="150">
        <v>-1.522</v>
      </c>
      <c r="Q138" s="150">
        <v>1.458</v>
      </c>
      <c r="R138" s="150">
        <f t="shared" si="20"/>
        <v>12.131</v>
      </c>
      <c r="S138" s="150">
        <v>0.005</v>
      </c>
      <c r="T138" s="151">
        <f t="shared" si="21"/>
        <v>12.136</v>
      </c>
      <c r="U138" s="152">
        <f t="shared" si="22"/>
        <v>11.984</v>
      </c>
      <c r="V138" s="149">
        <v>13.03</v>
      </c>
      <c r="W138" s="150">
        <v>0</v>
      </c>
      <c r="X138" s="150">
        <v>0.016</v>
      </c>
      <c r="Y138" s="150">
        <v>-1.383</v>
      </c>
      <c r="Z138" s="150">
        <v>1.466</v>
      </c>
      <c r="AA138" s="150">
        <f t="shared" si="23"/>
        <v>13.129</v>
      </c>
      <c r="AB138" s="150">
        <v>0.082</v>
      </c>
      <c r="AC138" s="151">
        <f t="shared" si="24"/>
        <v>13.211</v>
      </c>
      <c r="AD138" s="152">
        <f t="shared" si="25"/>
        <v>0</v>
      </c>
      <c r="AE138" s="152">
        <v>0</v>
      </c>
      <c r="AF138" s="137"/>
      <c r="AG138" s="149">
        <f t="shared" si="26"/>
        <v>13.129</v>
      </c>
      <c r="AH138" s="150">
        <f t="shared" si="34"/>
        <v>0</v>
      </c>
      <c r="AI138" s="150">
        <v>0</v>
      </c>
      <c r="AJ138" s="150">
        <f t="shared" si="27"/>
        <v>13.129</v>
      </c>
      <c r="AK138" s="150">
        <f t="shared" si="28"/>
        <v>13.830180539730648</v>
      </c>
      <c r="AL138" s="150">
        <f t="shared" si="29"/>
        <v>0.082</v>
      </c>
      <c r="AM138" s="150">
        <f t="shared" si="30"/>
        <v>13.912180539730649</v>
      </c>
      <c r="AN138" s="150">
        <f t="shared" si="31"/>
        <v>13.596</v>
      </c>
      <c r="AO138" s="151">
        <f t="shared" si="32"/>
        <v>0</v>
      </c>
      <c r="AP138" s="138"/>
      <c r="AQ138" s="149">
        <v>0</v>
      </c>
      <c r="AR138" s="151">
        <f t="shared" si="33"/>
        <v>13.596</v>
      </c>
    </row>
    <row r="139" spans="1:44" ht="12.75">
      <c r="A139" s="139" t="s">
        <v>399</v>
      </c>
      <c r="B139" s="140">
        <v>11680</v>
      </c>
      <c r="C139" s="141" t="s">
        <v>400</v>
      </c>
      <c r="D139" s="142">
        <v>11680</v>
      </c>
      <c r="E139" s="143">
        <v>4.275</v>
      </c>
      <c r="F139" s="144">
        <v>0</v>
      </c>
      <c r="G139" s="144">
        <v>-0.058</v>
      </c>
      <c r="H139" s="144">
        <v>0</v>
      </c>
      <c r="I139" s="144">
        <v>0</v>
      </c>
      <c r="J139" s="144">
        <f t="shared" si="18"/>
        <v>4.2170000000000005</v>
      </c>
      <c r="K139" s="144">
        <v>0.009</v>
      </c>
      <c r="L139" s="145">
        <f t="shared" si="19"/>
        <v>4.226</v>
      </c>
      <c r="M139" s="143">
        <v>6.136</v>
      </c>
      <c r="N139" s="144">
        <v>0</v>
      </c>
      <c r="O139" s="144">
        <v>-0.075</v>
      </c>
      <c r="P139" s="144">
        <v>0</v>
      </c>
      <c r="Q139" s="144">
        <v>0</v>
      </c>
      <c r="R139" s="144">
        <f t="shared" si="20"/>
        <v>6.061</v>
      </c>
      <c r="S139" s="144">
        <v>0.011</v>
      </c>
      <c r="T139" s="145">
        <f t="shared" si="21"/>
        <v>6.072</v>
      </c>
      <c r="U139" s="146">
        <f t="shared" si="22"/>
        <v>5.149</v>
      </c>
      <c r="V139" s="143">
        <v>6.131</v>
      </c>
      <c r="W139" s="144">
        <v>0</v>
      </c>
      <c r="X139" s="144">
        <v>0.049</v>
      </c>
      <c r="Y139" s="144">
        <v>0</v>
      </c>
      <c r="Z139" s="144">
        <v>0</v>
      </c>
      <c r="AA139" s="144">
        <f t="shared" si="23"/>
        <v>6.180000000000001</v>
      </c>
      <c r="AB139" s="144">
        <v>0.062</v>
      </c>
      <c r="AC139" s="145">
        <f t="shared" si="24"/>
        <v>6.242</v>
      </c>
      <c r="AD139" s="146">
        <f t="shared" si="25"/>
        <v>0</v>
      </c>
      <c r="AE139" s="146">
        <v>0</v>
      </c>
      <c r="AF139" s="147"/>
      <c r="AG139" s="143">
        <f t="shared" si="26"/>
        <v>6.180000000000001</v>
      </c>
      <c r="AH139" s="144">
        <f t="shared" si="34"/>
        <v>0</v>
      </c>
      <c r="AI139" s="144">
        <v>0</v>
      </c>
      <c r="AJ139" s="144">
        <f t="shared" si="27"/>
        <v>6.180000000000001</v>
      </c>
      <c r="AK139" s="144">
        <f t="shared" si="28"/>
        <v>6.510055277289619</v>
      </c>
      <c r="AL139" s="144">
        <f t="shared" si="29"/>
        <v>0.062</v>
      </c>
      <c r="AM139" s="144">
        <f t="shared" si="30"/>
        <v>6.5720552772896195</v>
      </c>
      <c r="AN139" s="144">
        <f t="shared" si="31"/>
        <v>6.423</v>
      </c>
      <c r="AO139" s="145">
        <f t="shared" si="32"/>
        <v>0</v>
      </c>
      <c r="AP139" s="148"/>
      <c r="AQ139" s="143">
        <v>0</v>
      </c>
      <c r="AR139" s="145">
        <f t="shared" si="33"/>
        <v>6.423</v>
      </c>
    </row>
    <row r="140" spans="1:44" ht="12.75">
      <c r="A140" s="129" t="s">
        <v>401</v>
      </c>
      <c r="B140" s="130">
        <v>10446</v>
      </c>
      <c r="C140" s="131" t="s">
        <v>402</v>
      </c>
      <c r="D140" s="132">
        <v>396</v>
      </c>
      <c r="E140" s="149">
        <v>91.236</v>
      </c>
      <c r="F140" s="150">
        <v>0</v>
      </c>
      <c r="G140" s="150">
        <v>-0.006</v>
      </c>
      <c r="H140" s="150">
        <v>-0.964</v>
      </c>
      <c r="I140" s="150">
        <v>0.909</v>
      </c>
      <c r="J140" s="150">
        <f>SUM(E140:I140)</f>
        <v>91.17500000000001</v>
      </c>
      <c r="K140" s="150">
        <v>0.026</v>
      </c>
      <c r="L140" s="151">
        <f>ROUND(J140+K140,3)</f>
        <v>91.201</v>
      </c>
      <c r="M140" s="149">
        <v>94.722</v>
      </c>
      <c r="N140" s="150">
        <v>0</v>
      </c>
      <c r="O140" s="150">
        <v>-0.067</v>
      </c>
      <c r="P140" s="150">
        <v>-1.031</v>
      </c>
      <c r="Q140" s="150">
        <v>0.929</v>
      </c>
      <c r="R140" s="150">
        <f>SUM(M140:Q140)</f>
        <v>94.553</v>
      </c>
      <c r="S140" s="150">
        <v>0.048</v>
      </c>
      <c r="T140" s="151">
        <f>ROUND(R140+S140,3)</f>
        <v>94.601</v>
      </c>
      <c r="U140" s="152">
        <f>ROUND(+(L140+T140)/2,3)</f>
        <v>92.901</v>
      </c>
      <c r="V140" s="149">
        <v>93.809</v>
      </c>
      <c r="W140" s="150">
        <v>0</v>
      </c>
      <c r="X140" s="150">
        <v>-0.039</v>
      </c>
      <c r="Y140" s="150">
        <v>-0.804</v>
      </c>
      <c r="Z140" s="150">
        <v>0.958</v>
      </c>
      <c r="AA140" s="150">
        <f>SUM(V140:Z140)</f>
        <v>93.92399999999999</v>
      </c>
      <c r="AB140" s="150">
        <v>0.523</v>
      </c>
      <c r="AC140" s="151">
        <f>ROUND(AA140+AB140,3)</f>
        <v>94.447</v>
      </c>
      <c r="AD140" s="152">
        <f>IF(U140-AC140&gt;0,U140-AC140,0)</f>
        <v>0</v>
      </c>
      <c r="AE140" s="152">
        <v>0</v>
      </c>
      <c r="AF140" s="137"/>
      <c r="AG140" s="149">
        <f>AA140</f>
        <v>93.92399999999999</v>
      </c>
      <c r="AH140" s="150">
        <f t="shared" si="34"/>
        <v>0</v>
      </c>
      <c r="AI140" s="150">
        <v>0</v>
      </c>
      <c r="AJ140" s="150">
        <f>SUM(AG140:AI140)</f>
        <v>93.92399999999999</v>
      </c>
      <c r="AK140" s="150">
        <f>AJ140*($AK$6/$AK$3)</f>
        <v>98.94019933076862</v>
      </c>
      <c r="AL140" s="150">
        <f>AB140</f>
        <v>0.523</v>
      </c>
      <c r="AM140" s="150">
        <f>AK140+AL140</f>
        <v>99.46319933076862</v>
      </c>
      <c r="AN140" s="150">
        <f>ROUND(AM140*($AK$4/$AK$5),3)</f>
        <v>97.2</v>
      </c>
      <c r="AO140" s="151">
        <f>ROUND(IF(AH140&gt;0,AN140*(AH140/AJ140),0),3)</f>
        <v>0</v>
      </c>
      <c r="AP140" s="138"/>
      <c r="AQ140" s="149">
        <v>0</v>
      </c>
      <c r="AR140" s="151">
        <f>AN140+AQ140</f>
        <v>97.2</v>
      </c>
    </row>
    <row r="141" spans="1:44" ht="12.75">
      <c r="A141" s="139" t="s">
        <v>403</v>
      </c>
      <c r="B141" s="140">
        <v>10448</v>
      </c>
      <c r="C141" s="141" t="s">
        <v>52</v>
      </c>
      <c r="D141" s="142">
        <v>397</v>
      </c>
      <c r="E141" s="143">
        <v>8.408</v>
      </c>
      <c r="F141" s="144">
        <v>0</v>
      </c>
      <c r="G141" s="144">
        <v>-0.069</v>
      </c>
      <c r="H141" s="144">
        <v>0</v>
      </c>
      <c r="I141" s="144">
        <v>0</v>
      </c>
      <c r="J141" s="144">
        <f>SUM(E141:I141)</f>
        <v>8.338999999999999</v>
      </c>
      <c r="K141" s="144">
        <v>0.003</v>
      </c>
      <c r="L141" s="145">
        <f>ROUND(J141+K141,3)</f>
        <v>8.342</v>
      </c>
      <c r="M141" s="143">
        <v>8.89</v>
      </c>
      <c r="N141" s="144">
        <v>0</v>
      </c>
      <c r="O141" s="144">
        <v>-0.271</v>
      </c>
      <c r="P141" s="144">
        <v>0</v>
      </c>
      <c r="Q141" s="144">
        <v>0</v>
      </c>
      <c r="R141" s="144">
        <f>SUM(M141:Q141)</f>
        <v>8.619</v>
      </c>
      <c r="S141" s="144">
        <v>0.013</v>
      </c>
      <c r="T141" s="145">
        <f>ROUND(R141+S141,3)</f>
        <v>8.632</v>
      </c>
      <c r="U141" s="146">
        <f>ROUND(+(L141+T141)/2,3)</f>
        <v>8.487</v>
      </c>
      <c r="V141" s="143">
        <v>8.37</v>
      </c>
      <c r="W141" s="144">
        <v>0</v>
      </c>
      <c r="X141" s="144">
        <v>-0.048</v>
      </c>
      <c r="Y141" s="144">
        <v>0</v>
      </c>
      <c r="Z141" s="144">
        <v>0</v>
      </c>
      <c r="AA141" s="144">
        <f>SUM(V141:Z141)</f>
        <v>8.322</v>
      </c>
      <c r="AB141" s="144">
        <v>0.042</v>
      </c>
      <c r="AC141" s="145">
        <f>ROUND(AA141+AB141,3)</f>
        <v>8.364</v>
      </c>
      <c r="AD141" s="146">
        <f>IF(U141-AC141&gt;0,U141-AC141,0)</f>
        <v>0.12299999999999933</v>
      </c>
      <c r="AE141" s="146">
        <v>0</v>
      </c>
      <c r="AF141" s="147"/>
      <c r="AG141" s="143">
        <f>AA141</f>
        <v>8.322</v>
      </c>
      <c r="AH141" s="144">
        <f t="shared" si="34"/>
        <v>0.12299999999999933</v>
      </c>
      <c r="AI141" s="144">
        <v>0</v>
      </c>
      <c r="AJ141" s="144">
        <f>SUM(AG141:AI141)</f>
        <v>8.444999999999999</v>
      </c>
      <c r="AK141" s="144">
        <f>AJ141*($AK$6/$AK$3)</f>
        <v>8.896022138626346</v>
      </c>
      <c r="AL141" s="144">
        <f>AB141</f>
        <v>0.042</v>
      </c>
      <c r="AM141" s="144">
        <f>AK141+AL141</f>
        <v>8.938022138626346</v>
      </c>
      <c r="AN141" s="144">
        <f>ROUND(AM141*($AK$4/$AK$5),3)</f>
        <v>8.735</v>
      </c>
      <c r="AO141" s="145">
        <f>ROUND(IF(AH141&gt;0,AN141*(AH141/AJ141),0),3)</f>
        <v>0.127</v>
      </c>
      <c r="AP141" s="148"/>
      <c r="AQ141" s="143">
        <v>0</v>
      </c>
      <c r="AR141" s="145">
        <f>AN141+AQ141</f>
        <v>8.735</v>
      </c>
    </row>
    <row r="142" spans="1:44" ht="12.75">
      <c r="A142" s="129" t="s">
        <v>404</v>
      </c>
      <c r="B142" s="130">
        <v>10451</v>
      </c>
      <c r="C142" s="131" t="s">
        <v>405</v>
      </c>
      <c r="D142" s="132">
        <v>298</v>
      </c>
      <c r="E142" s="149">
        <v>22.812</v>
      </c>
      <c r="F142" s="150">
        <v>0</v>
      </c>
      <c r="G142" s="150">
        <v>0</v>
      </c>
      <c r="H142" s="150">
        <v>0</v>
      </c>
      <c r="I142" s="150">
        <v>0</v>
      </c>
      <c r="J142" s="150">
        <f>SUM(E142:I142)</f>
        <v>22.812</v>
      </c>
      <c r="K142" s="150">
        <v>0</v>
      </c>
      <c r="L142" s="151">
        <f>ROUND(J142+K142,3)</f>
        <v>22.812</v>
      </c>
      <c r="M142" s="149">
        <v>26.564</v>
      </c>
      <c r="N142" s="150">
        <v>0</v>
      </c>
      <c r="O142" s="150">
        <v>-0.029</v>
      </c>
      <c r="P142" s="150">
        <v>0</v>
      </c>
      <c r="Q142" s="150">
        <v>0</v>
      </c>
      <c r="R142" s="150">
        <f>SUM(M142:Q142)</f>
        <v>26.535</v>
      </c>
      <c r="S142" s="150">
        <v>0</v>
      </c>
      <c r="T142" s="151">
        <f>ROUND(R142+S142,3)</f>
        <v>26.535</v>
      </c>
      <c r="U142" s="152">
        <f>ROUND(+(L142+T142)/2,3)</f>
        <v>24.674</v>
      </c>
      <c r="V142" s="149">
        <v>26.243</v>
      </c>
      <c r="W142" s="150">
        <v>0</v>
      </c>
      <c r="X142" s="150">
        <v>0.045</v>
      </c>
      <c r="Y142" s="150">
        <v>0</v>
      </c>
      <c r="Z142" s="150">
        <v>0</v>
      </c>
      <c r="AA142" s="150">
        <f>SUM(V142:Z142)</f>
        <v>26.288</v>
      </c>
      <c r="AB142" s="150">
        <v>0.175</v>
      </c>
      <c r="AC142" s="151">
        <f>ROUND(AA142+AB142,3)</f>
        <v>26.463</v>
      </c>
      <c r="AD142" s="152">
        <f>IF(U142-AC142&gt;0,U142-AC142,0)</f>
        <v>0</v>
      </c>
      <c r="AE142" s="152">
        <v>0</v>
      </c>
      <c r="AF142" s="137"/>
      <c r="AG142" s="149">
        <f>AA142</f>
        <v>26.288</v>
      </c>
      <c r="AH142" s="150">
        <f t="shared" si="34"/>
        <v>0</v>
      </c>
      <c r="AI142" s="150">
        <v>0</v>
      </c>
      <c r="AJ142" s="150">
        <f>SUM(AG142:AI142)</f>
        <v>26.288</v>
      </c>
      <c r="AK142" s="150">
        <f>AJ142*($AK$6/$AK$3)</f>
        <v>27.691963289545228</v>
      </c>
      <c r="AL142" s="150">
        <f>AB142</f>
        <v>0.175</v>
      </c>
      <c r="AM142" s="150">
        <f>AK142+AL142</f>
        <v>27.86696328954523</v>
      </c>
      <c r="AN142" s="150">
        <f>ROUND(AM142*($AK$4/$AK$5),3)</f>
        <v>27.233</v>
      </c>
      <c r="AO142" s="151">
        <f>ROUND(IF(AH142&gt;0,AN142*(AH142/AJ142),0),3)</f>
        <v>0</v>
      </c>
      <c r="AP142" s="138"/>
      <c r="AQ142" s="149">
        <v>0</v>
      </c>
      <c r="AR142" s="151">
        <f>AN142+AQ142</f>
        <v>27.233</v>
      </c>
    </row>
    <row r="143" spans="1:44" ht="12.75">
      <c r="A143" s="139" t="s">
        <v>406</v>
      </c>
      <c r="B143" s="140">
        <v>10502</v>
      </c>
      <c r="C143" s="141" t="s">
        <v>57</v>
      </c>
      <c r="D143" s="142">
        <v>10502</v>
      </c>
      <c r="E143" s="143">
        <v>3.937</v>
      </c>
      <c r="F143" s="144">
        <v>0</v>
      </c>
      <c r="G143" s="144">
        <v>-0.013</v>
      </c>
      <c r="H143" s="144">
        <v>0</v>
      </c>
      <c r="I143" s="144">
        <v>0</v>
      </c>
      <c r="J143" s="144">
        <f>SUM(E143:I143)</f>
        <v>3.924</v>
      </c>
      <c r="K143" s="144">
        <v>0</v>
      </c>
      <c r="L143" s="145">
        <f>ROUND(J143+K143,3)</f>
        <v>3.924</v>
      </c>
      <c r="M143" s="143">
        <v>4.075</v>
      </c>
      <c r="N143" s="144">
        <v>0</v>
      </c>
      <c r="O143" s="144">
        <v>-0.011</v>
      </c>
      <c r="P143" s="144">
        <v>0</v>
      </c>
      <c r="Q143" s="144">
        <v>0</v>
      </c>
      <c r="R143" s="144">
        <f>SUM(M143:Q143)</f>
        <v>4.064</v>
      </c>
      <c r="S143" s="144">
        <v>0</v>
      </c>
      <c r="T143" s="145">
        <f>ROUND(R143+S143,3)</f>
        <v>4.064</v>
      </c>
      <c r="U143" s="146">
        <f>ROUND(+(L143+T143)/2,3)</f>
        <v>3.994</v>
      </c>
      <c r="V143" s="143">
        <v>4.07</v>
      </c>
      <c r="W143" s="144">
        <v>0</v>
      </c>
      <c r="X143" s="144">
        <v>0</v>
      </c>
      <c r="Y143" s="144">
        <v>0</v>
      </c>
      <c r="Z143" s="144">
        <v>0</v>
      </c>
      <c r="AA143" s="144">
        <f>SUM(V143:Z143)</f>
        <v>4.07</v>
      </c>
      <c r="AB143" s="144">
        <v>0.054</v>
      </c>
      <c r="AC143" s="145">
        <f>ROUND(AA143+AB143,3)</f>
        <v>4.124</v>
      </c>
      <c r="AD143" s="146">
        <f>IF(U143-AC143&gt;0,U143-AC143,0)</f>
        <v>0</v>
      </c>
      <c r="AE143" s="146">
        <v>0</v>
      </c>
      <c r="AF143" s="147"/>
      <c r="AG143" s="143">
        <f>AA143</f>
        <v>4.07</v>
      </c>
      <c r="AH143" s="144">
        <f t="shared" si="34"/>
        <v>0</v>
      </c>
      <c r="AI143" s="144">
        <v>0</v>
      </c>
      <c r="AJ143" s="144">
        <f>SUM(AG143:AI143)</f>
        <v>4.07</v>
      </c>
      <c r="AK143" s="144">
        <f>AJ143*($AK$6/$AK$3)</f>
        <v>4.287366501386529</v>
      </c>
      <c r="AL143" s="144">
        <f>AB143</f>
        <v>0.054</v>
      </c>
      <c r="AM143" s="144">
        <f>AK143+AL143</f>
        <v>4.3413665013865295</v>
      </c>
      <c r="AN143" s="144">
        <f>ROUND(AM143*($AK$4/$AK$5),3)</f>
        <v>4.243</v>
      </c>
      <c r="AO143" s="145">
        <f>ROUND(IF(AH143&gt;0,AN143*(AH143/AJ143),0),3)</f>
        <v>0</v>
      </c>
      <c r="AP143" s="148"/>
      <c r="AQ143" s="143">
        <v>0.5249999999999995</v>
      </c>
      <c r="AR143" s="145">
        <f>AN143+AQ143</f>
        <v>4.768</v>
      </c>
    </row>
    <row r="144" spans="1:44" ht="13.5" thickBot="1">
      <c r="A144" s="129" t="s">
        <v>407</v>
      </c>
      <c r="B144" s="153">
        <v>10190</v>
      </c>
      <c r="C144" s="154" t="s">
        <v>408</v>
      </c>
      <c r="D144" s="155">
        <v>238</v>
      </c>
      <c r="E144" s="156">
        <v>5.272</v>
      </c>
      <c r="F144" s="157">
        <v>0</v>
      </c>
      <c r="G144" s="157">
        <v>-0.24</v>
      </c>
      <c r="H144" s="157">
        <v>0</v>
      </c>
      <c r="I144" s="157">
        <v>0</v>
      </c>
      <c r="J144" s="157">
        <f>SUM(E144:I144)</f>
        <v>5.032</v>
      </c>
      <c r="K144" s="157">
        <v>0.008</v>
      </c>
      <c r="L144" s="158">
        <f>ROUND(J144+K144,3)</f>
        <v>5.04</v>
      </c>
      <c r="M144" s="156">
        <v>5.416</v>
      </c>
      <c r="N144" s="157">
        <v>0</v>
      </c>
      <c r="O144" s="157">
        <v>-0.436</v>
      </c>
      <c r="P144" s="157">
        <v>0</v>
      </c>
      <c r="Q144" s="157">
        <v>0</v>
      </c>
      <c r="R144" s="157">
        <f>SUM(M144:Q144)</f>
        <v>4.98</v>
      </c>
      <c r="S144" s="157">
        <v>0.014</v>
      </c>
      <c r="T144" s="158">
        <f>ROUND(R144+S144,3)</f>
        <v>4.994</v>
      </c>
      <c r="U144" s="159">
        <f>ROUND(+(L144+T144)/2,3)</f>
        <v>5.017</v>
      </c>
      <c r="V144" s="156">
        <v>5.116</v>
      </c>
      <c r="W144" s="157">
        <v>0</v>
      </c>
      <c r="X144" s="157">
        <v>-0.041</v>
      </c>
      <c r="Y144" s="157">
        <v>0</v>
      </c>
      <c r="Z144" s="157">
        <v>0</v>
      </c>
      <c r="AA144" s="157">
        <f>SUM(V144:Z144)</f>
        <v>5.074999999999999</v>
      </c>
      <c r="AB144" s="157">
        <v>0.046</v>
      </c>
      <c r="AC144" s="158">
        <f>ROUND(AA144+AB144,3)</f>
        <v>5.121</v>
      </c>
      <c r="AD144" s="159">
        <f>IF(U144-AC144&gt;0,U144-AC144,0)</f>
        <v>0</v>
      </c>
      <c r="AE144" s="159">
        <v>0</v>
      </c>
      <c r="AF144" s="152"/>
      <c r="AG144" s="156">
        <f>AA144</f>
        <v>5.074999999999999</v>
      </c>
      <c r="AH144" s="157">
        <f t="shared" si="34"/>
        <v>0</v>
      </c>
      <c r="AI144" s="157">
        <v>0</v>
      </c>
      <c r="AJ144" s="157">
        <f>SUM(AG144:AI144)</f>
        <v>5.074999999999999</v>
      </c>
      <c r="AK144" s="157">
        <f>AJ144*($AK$6/$AK$3)</f>
        <v>5.34604053919819</v>
      </c>
      <c r="AL144" s="157">
        <f>AB144</f>
        <v>0.046</v>
      </c>
      <c r="AM144" s="157">
        <f>AK144+AL144</f>
        <v>5.39204053919819</v>
      </c>
      <c r="AN144" s="157">
        <f>ROUND(AM144*($AK$4/$AK$5),3)</f>
        <v>5.269</v>
      </c>
      <c r="AO144" s="158">
        <f>ROUND(IF(AH144&gt;0,AN144*(AH144/AJ144),0),3)</f>
        <v>0</v>
      </c>
      <c r="AP144" s="160"/>
      <c r="AQ144" s="156">
        <v>0</v>
      </c>
      <c r="AR144" s="158">
        <f>AN144+AQ144</f>
        <v>5.269</v>
      </c>
    </row>
    <row r="145" spans="1:44" ht="13.5" thickTop="1">
      <c r="A145" s="139" t="s">
        <v>409</v>
      </c>
      <c r="B145" s="161"/>
      <c r="C145" s="162"/>
      <c r="D145" s="163"/>
      <c r="E145" s="164"/>
      <c r="F145" s="165"/>
      <c r="G145" s="165"/>
      <c r="H145" s="165"/>
      <c r="I145" s="165"/>
      <c r="J145" s="161"/>
      <c r="K145" s="165"/>
      <c r="L145" s="166"/>
      <c r="M145" s="164"/>
      <c r="N145" s="165"/>
      <c r="O145" s="165"/>
      <c r="P145" s="165"/>
      <c r="Q145" s="165"/>
      <c r="R145" s="161"/>
      <c r="S145" s="165"/>
      <c r="T145" s="166"/>
      <c r="U145" s="167"/>
      <c r="V145" s="164"/>
      <c r="W145" s="165"/>
      <c r="X145" s="165"/>
      <c r="Y145" s="165"/>
      <c r="Z145" s="165"/>
      <c r="AA145" s="161"/>
      <c r="AB145" s="165"/>
      <c r="AC145" s="166"/>
      <c r="AD145" s="167"/>
      <c r="AE145" s="168"/>
      <c r="AF145" s="169"/>
      <c r="AG145" s="170"/>
      <c r="AH145" s="161"/>
      <c r="AI145" s="165"/>
      <c r="AJ145" s="161"/>
      <c r="AK145" s="161"/>
      <c r="AL145" s="161"/>
      <c r="AM145" s="161"/>
      <c r="AN145" s="165"/>
      <c r="AO145" s="166"/>
      <c r="AP145" s="169"/>
      <c r="AQ145" s="164"/>
      <c r="AR145" s="171"/>
    </row>
    <row r="146" spans="1:44" ht="12.75">
      <c r="A146" s="129" t="s">
        <v>410</v>
      </c>
      <c r="B146" s="130"/>
      <c r="C146" s="130" t="s">
        <v>411</v>
      </c>
      <c r="D146" s="132"/>
      <c r="E146" s="149"/>
      <c r="F146" s="150"/>
      <c r="G146" s="150"/>
      <c r="H146" s="150"/>
      <c r="I146" s="150"/>
      <c r="J146" s="130"/>
      <c r="K146" s="150"/>
      <c r="L146" s="172"/>
      <c r="M146" s="149"/>
      <c r="N146" s="150"/>
      <c r="O146" s="150"/>
      <c r="P146" s="150"/>
      <c r="Q146" s="150"/>
      <c r="R146" s="130"/>
      <c r="S146" s="150"/>
      <c r="T146" s="172"/>
      <c r="U146" s="173"/>
      <c r="V146" s="149"/>
      <c r="W146" s="150"/>
      <c r="X146" s="150"/>
      <c r="Y146" s="150"/>
      <c r="Z146" s="150"/>
      <c r="AA146" s="130"/>
      <c r="AB146" s="150"/>
      <c r="AC146" s="172"/>
      <c r="AD146" s="173"/>
      <c r="AE146" s="152"/>
      <c r="AF146" s="138"/>
      <c r="AG146" s="174"/>
      <c r="AH146" s="130"/>
      <c r="AI146" s="150"/>
      <c r="AJ146" s="130"/>
      <c r="AK146" s="130"/>
      <c r="AL146" s="130"/>
      <c r="AM146" s="130"/>
      <c r="AN146" s="150"/>
      <c r="AO146" s="172"/>
      <c r="AP146" s="138"/>
      <c r="AQ146" s="149"/>
      <c r="AR146" s="151"/>
    </row>
    <row r="147" spans="1:44" ht="13.5" thickBot="1">
      <c r="A147" s="139" t="s">
        <v>412</v>
      </c>
      <c r="B147" s="140">
        <v>12026</v>
      </c>
      <c r="C147" s="141" t="s">
        <v>413</v>
      </c>
      <c r="D147" s="142">
        <v>12026</v>
      </c>
      <c r="E147" s="175">
        <v>0</v>
      </c>
      <c r="F147" s="176">
        <v>0</v>
      </c>
      <c r="G147" s="176">
        <v>0</v>
      </c>
      <c r="H147" s="176">
        <v>0</v>
      </c>
      <c r="I147" s="176">
        <v>0</v>
      </c>
      <c r="J147" s="176">
        <v>0</v>
      </c>
      <c r="K147" s="176">
        <v>0</v>
      </c>
      <c r="L147" s="177">
        <v>0</v>
      </c>
      <c r="M147" s="175">
        <v>0</v>
      </c>
      <c r="N147" s="176">
        <v>0</v>
      </c>
      <c r="O147" s="176">
        <v>0</v>
      </c>
      <c r="P147" s="176">
        <v>0</v>
      </c>
      <c r="Q147" s="176">
        <v>0</v>
      </c>
      <c r="R147" s="176">
        <v>0</v>
      </c>
      <c r="S147" s="176">
        <v>0</v>
      </c>
      <c r="T147" s="177">
        <v>0</v>
      </c>
      <c r="U147" s="178">
        <v>0</v>
      </c>
      <c r="V147" s="175">
        <v>0</v>
      </c>
      <c r="W147" s="176">
        <v>0</v>
      </c>
      <c r="X147" s="176">
        <v>0</v>
      </c>
      <c r="Y147" s="176">
        <v>0</v>
      </c>
      <c r="Z147" s="176">
        <v>0</v>
      </c>
      <c r="AA147" s="176">
        <v>0</v>
      </c>
      <c r="AB147" s="176">
        <v>0</v>
      </c>
      <c r="AC147" s="177">
        <v>0</v>
      </c>
      <c r="AD147" s="178">
        <v>0</v>
      </c>
      <c r="AE147" s="178">
        <v>0</v>
      </c>
      <c r="AF147" s="147"/>
      <c r="AG147" s="175">
        <v>0</v>
      </c>
      <c r="AH147" s="176">
        <v>0</v>
      </c>
      <c r="AI147" s="176">
        <v>0</v>
      </c>
      <c r="AJ147" s="176">
        <v>0</v>
      </c>
      <c r="AK147" s="176">
        <v>0</v>
      </c>
      <c r="AL147" s="176">
        <v>0</v>
      </c>
      <c r="AM147" s="176">
        <v>0</v>
      </c>
      <c r="AN147" s="176">
        <f>ROUND(AM147*($AK$4/$AK$5),3)</f>
        <v>0</v>
      </c>
      <c r="AO147" s="177">
        <v>0</v>
      </c>
      <c r="AP147" s="148"/>
      <c r="AQ147" s="175">
        <v>40.772</v>
      </c>
      <c r="AR147" s="177">
        <f>AQ147</f>
        <v>40.772</v>
      </c>
    </row>
    <row r="148" spans="1:44" ht="13.5" thickTop="1">
      <c r="A148" s="103" t="s">
        <v>414</v>
      </c>
      <c r="B148" s="179"/>
      <c r="C148" s="180"/>
      <c r="D148" s="180"/>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2"/>
      <c r="AL148" s="181"/>
      <c r="AM148" s="181"/>
      <c r="AN148" s="181"/>
      <c r="AO148" s="181"/>
      <c r="AP148" s="181"/>
      <c r="AQ148" s="182"/>
      <c r="AR148" s="182"/>
    </row>
    <row r="149" spans="1:44" ht="12.75">
      <c r="A149" s="103" t="s">
        <v>415</v>
      </c>
      <c r="B149" s="179"/>
      <c r="C149" s="180" t="s">
        <v>53</v>
      </c>
      <c r="D149" s="180"/>
      <c r="E149" s="183">
        <f aca="true" t="shared" si="35" ref="E149:AE149">SUM(E12:E147)</f>
        <v>8147.324999999997</v>
      </c>
      <c r="F149" s="183">
        <f t="shared" si="35"/>
        <v>-134.906</v>
      </c>
      <c r="G149" s="183">
        <f t="shared" si="35"/>
        <v>-44.056000000000004</v>
      </c>
      <c r="H149" s="183">
        <f t="shared" si="35"/>
        <v>-295.697</v>
      </c>
      <c r="I149" s="183">
        <f t="shared" si="35"/>
        <v>284.187</v>
      </c>
      <c r="J149" s="183">
        <f t="shared" si="35"/>
        <v>7956.852999999998</v>
      </c>
      <c r="K149" s="183">
        <f t="shared" si="35"/>
        <v>17.946999999999996</v>
      </c>
      <c r="L149" s="184">
        <f t="shared" si="35"/>
        <v>7974.799999999999</v>
      </c>
      <c r="M149" s="184">
        <f t="shared" si="35"/>
        <v>8377.670999999998</v>
      </c>
      <c r="N149" s="184">
        <f t="shared" si="35"/>
        <v>-135.676</v>
      </c>
      <c r="O149" s="184">
        <f t="shared" si="35"/>
        <v>-132.39400000000006</v>
      </c>
      <c r="P149" s="184">
        <f t="shared" si="35"/>
        <v>-297.528</v>
      </c>
      <c r="Q149" s="184">
        <f t="shared" si="35"/>
        <v>286.873</v>
      </c>
      <c r="R149" s="184">
        <f t="shared" si="35"/>
        <v>8098.946000000001</v>
      </c>
      <c r="S149" s="184">
        <f t="shared" si="35"/>
        <v>53.85399999999999</v>
      </c>
      <c r="T149" s="184">
        <f t="shared" si="35"/>
        <v>8152.800000000001</v>
      </c>
      <c r="U149" s="184">
        <f t="shared" si="35"/>
        <v>8063.833999999998</v>
      </c>
      <c r="V149" s="184">
        <f t="shared" si="35"/>
        <v>8057.983000000001</v>
      </c>
      <c r="W149" s="184">
        <f t="shared" si="35"/>
        <v>-124.767</v>
      </c>
      <c r="X149" s="184">
        <f t="shared" si="35"/>
        <v>20.261</v>
      </c>
      <c r="Y149" s="184">
        <f t="shared" si="35"/>
        <v>-273.04854031952397</v>
      </c>
      <c r="Z149" s="184">
        <f t="shared" si="35"/>
        <v>289.1450000000001</v>
      </c>
      <c r="AA149" s="184">
        <f t="shared" si="35"/>
        <v>7969.573459680477</v>
      </c>
      <c r="AB149" s="184">
        <f t="shared" si="35"/>
        <v>166.113</v>
      </c>
      <c r="AC149" s="184">
        <f t="shared" si="35"/>
        <v>8135.685999999997</v>
      </c>
      <c r="AD149" s="184">
        <f t="shared" si="35"/>
        <v>72.94500000000015</v>
      </c>
      <c r="AE149" s="184">
        <f t="shared" si="35"/>
        <v>26.172</v>
      </c>
      <c r="AF149" s="184"/>
      <c r="AG149" s="184">
        <f aca="true" t="shared" si="36" ref="AG149:AO149">SUM(AG12:AG147)</f>
        <v>7969.573459680477</v>
      </c>
      <c r="AH149" s="184">
        <f t="shared" si="36"/>
        <v>76.72700000000016</v>
      </c>
      <c r="AI149" s="184">
        <f t="shared" si="36"/>
        <v>-1273.0400000000002</v>
      </c>
      <c r="AJ149" s="184">
        <f t="shared" si="36"/>
        <v>6773.260459680477</v>
      </c>
      <c r="AK149" s="184">
        <f t="shared" si="36"/>
        <v>7134.999999999995</v>
      </c>
      <c r="AL149" s="184">
        <f t="shared" si="36"/>
        <v>166.113</v>
      </c>
      <c r="AM149" s="184">
        <f t="shared" si="36"/>
        <v>7301.112999999997</v>
      </c>
      <c r="AN149" s="184">
        <f t="shared" si="36"/>
        <v>7134.999000000002</v>
      </c>
      <c r="AO149" s="184">
        <f t="shared" si="36"/>
        <v>80.61699999999999</v>
      </c>
      <c r="AP149" s="184"/>
      <c r="AQ149" s="184">
        <f>SUM(AQ12:AQ147)</f>
        <v>45.994</v>
      </c>
      <c r="AR149" s="184">
        <f>SUM(AR12:AR147)</f>
        <v>7180.993</v>
      </c>
    </row>
    <row r="150" spans="1:44" ht="12.75">
      <c r="A150" s="103" t="s">
        <v>416</v>
      </c>
      <c r="B150" s="179"/>
      <c r="C150" s="180" t="s">
        <v>417</v>
      </c>
      <c r="D150" s="180"/>
      <c r="E150" s="179">
        <f>COUNTIF(E12:E147,"&gt;0")</f>
        <v>133</v>
      </c>
      <c r="F150" s="179"/>
      <c r="G150" s="179"/>
      <c r="H150" s="179"/>
      <c r="I150" s="179"/>
      <c r="J150" s="179"/>
      <c r="K150" s="179"/>
      <c r="L150" s="182"/>
      <c r="M150" s="182">
        <f>COUNTIF(M12:M147,"&gt;0")</f>
        <v>133</v>
      </c>
      <c r="N150" s="182"/>
      <c r="O150" s="182"/>
      <c r="P150" s="182"/>
      <c r="Q150" s="182"/>
      <c r="R150" s="182"/>
      <c r="S150" s="182"/>
      <c r="T150" s="182"/>
      <c r="U150" s="182">
        <f>COUNTIF(U12:U147,"&gt;0")</f>
        <v>133</v>
      </c>
      <c r="V150" s="182"/>
      <c r="W150" s="182"/>
      <c r="X150" s="182"/>
      <c r="Y150" s="182"/>
      <c r="Z150" s="182"/>
      <c r="AA150" s="184"/>
      <c r="AB150" s="182"/>
      <c r="AC150" s="182">
        <f>COUNTIF(AC12:AC147,"&gt;0")</f>
        <v>133</v>
      </c>
      <c r="AD150" s="182">
        <f>COUNTIF(AD12:AD147,"&gt;0")</f>
        <v>40</v>
      </c>
      <c r="AE150" s="182">
        <f>COUNTIF(AE12:AE147,"&gt;0")</f>
        <v>3</v>
      </c>
      <c r="AF150" s="182"/>
      <c r="AG150" s="182"/>
      <c r="AH150" s="182"/>
      <c r="AI150" s="182"/>
      <c r="AJ150" s="182">
        <f>COUNTIF(AJ12:AJ147,"&gt;0")</f>
        <v>133</v>
      </c>
      <c r="AK150" s="182">
        <f>COUNTIF(AK12:AK147,"&gt;0")</f>
        <v>133</v>
      </c>
      <c r="AL150" s="182"/>
      <c r="AM150" s="182">
        <f>COUNTIF(AM12:AM147,"&gt;0")</f>
        <v>133</v>
      </c>
      <c r="AN150" s="182">
        <f>COUNTIF(AN12:AN147,"&gt;0")</f>
        <v>133</v>
      </c>
      <c r="AO150" s="182">
        <f>COUNTIF(AO12:AO147,"&gt;0")</f>
        <v>41</v>
      </c>
      <c r="AP150" s="182"/>
      <c r="AQ150" s="182">
        <f>COUNTIF(AQ12:AQ147,"&gt;0")</f>
        <v>4</v>
      </c>
      <c r="AR150" s="182">
        <f>COUNTIF(AR12:AR147,"&gt;0")</f>
        <v>134</v>
      </c>
    </row>
    <row r="151" spans="1:41" ht="12.75">
      <c r="A151" s="103" t="s">
        <v>418</v>
      </c>
      <c r="E151" s="185"/>
      <c r="F151" s="185"/>
      <c r="G151" s="185"/>
      <c r="H151" s="185"/>
      <c r="I151" s="185"/>
      <c r="J151" s="185"/>
      <c r="K151" s="185"/>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row>
    <row r="152" spans="1:27" ht="12.75">
      <c r="A152" s="103" t="s">
        <v>419</v>
      </c>
      <c r="B152" s="76" t="s">
        <v>105</v>
      </c>
      <c r="AA152" s="99"/>
    </row>
    <row r="153" spans="1:37" ht="12.75">
      <c r="A153" s="103" t="s">
        <v>420</v>
      </c>
      <c r="B153" s="333" t="s">
        <v>421</v>
      </c>
      <c r="C153" s="333"/>
      <c r="D153" s="333"/>
      <c r="E153" s="333"/>
      <c r="F153" s="333"/>
      <c r="G153" s="333"/>
      <c r="H153" s="333"/>
      <c r="I153" s="333"/>
      <c r="J153" s="333"/>
      <c r="K153" s="333"/>
      <c r="L153" s="333"/>
      <c r="M153" s="333"/>
      <c r="N153" s="333"/>
      <c r="O153" s="333"/>
      <c r="P153" s="333"/>
      <c r="Q153" s="333"/>
      <c r="AK153" s="89"/>
    </row>
    <row r="154" spans="1:37" ht="12.75">
      <c r="A154" s="103" t="s">
        <v>422</v>
      </c>
      <c r="B154" s="333" t="s">
        <v>423</v>
      </c>
      <c r="C154" s="333"/>
      <c r="D154" s="333"/>
      <c r="E154" s="333"/>
      <c r="F154" s="333"/>
      <c r="G154" s="333"/>
      <c r="H154" s="333"/>
      <c r="I154" s="333"/>
      <c r="J154" s="333"/>
      <c r="K154" s="333"/>
      <c r="L154" s="333"/>
      <c r="M154" s="333"/>
      <c r="N154" s="333"/>
      <c r="O154" s="333"/>
      <c r="P154" s="333"/>
      <c r="Q154" s="333"/>
      <c r="AK154" s="89"/>
    </row>
    <row r="155" spans="1:37" ht="12.75">
      <c r="A155" s="103" t="s">
        <v>424</v>
      </c>
      <c r="B155" s="334" t="s">
        <v>425</v>
      </c>
      <c r="C155" s="333"/>
      <c r="D155" s="333"/>
      <c r="E155" s="333"/>
      <c r="F155" s="333"/>
      <c r="G155" s="333"/>
      <c r="H155" s="333"/>
      <c r="I155" s="333"/>
      <c r="J155" s="333"/>
      <c r="K155" s="333"/>
      <c r="L155" s="333"/>
      <c r="M155" s="333"/>
      <c r="N155" s="333"/>
      <c r="O155" s="333"/>
      <c r="P155" s="333"/>
      <c r="Q155" s="333"/>
      <c r="AK155" s="89"/>
    </row>
    <row r="156" spans="1:37" ht="27" customHeight="1">
      <c r="A156" s="103" t="s">
        <v>426</v>
      </c>
      <c r="B156" s="334" t="s">
        <v>427</v>
      </c>
      <c r="C156" s="334"/>
      <c r="D156" s="334"/>
      <c r="E156" s="334"/>
      <c r="F156" s="334"/>
      <c r="G156" s="334"/>
      <c r="H156" s="334"/>
      <c r="I156" s="334"/>
      <c r="J156" s="334"/>
      <c r="K156" s="334"/>
      <c r="L156" s="334"/>
      <c r="M156" s="334"/>
      <c r="N156" s="334"/>
      <c r="O156" s="334"/>
      <c r="P156" s="334"/>
      <c r="Q156" s="334"/>
      <c r="AK156" s="89"/>
    </row>
    <row r="157" ht="12.75">
      <c r="AK157" s="89"/>
    </row>
    <row r="158" spans="2:37" ht="12.75">
      <c r="B158" s="186"/>
      <c r="C158" s="187"/>
      <c r="D158" s="187"/>
      <c r="E158" s="187"/>
      <c r="F158" s="187"/>
      <c r="G158" s="187"/>
      <c r="AK158" s="89"/>
    </row>
    <row r="161" spans="1:44" s="189" customFormat="1" ht="12.75">
      <c r="A161" s="188"/>
      <c r="E161" s="189">
        <v>4</v>
      </c>
      <c r="F161" s="189">
        <f aca="true" t="shared" si="37" ref="F161:AR161">E161+1</f>
        <v>5</v>
      </c>
      <c r="G161" s="189">
        <f t="shared" si="37"/>
        <v>6</v>
      </c>
      <c r="H161" s="189">
        <f t="shared" si="37"/>
        <v>7</v>
      </c>
      <c r="I161" s="189">
        <f t="shared" si="37"/>
        <v>8</v>
      </c>
      <c r="J161" s="189">
        <f t="shared" si="37"/>
        <v>9</v>
      </c>
      <c r="K161" s="189">
        <f t="shared" si="37"/>
        <v>10</v>
      </c>
      <c r="L161" s="188">
        <f t="shared" si="37"/>
        <v>11</v>
      </c>
      <c r="M161" s="188">
        <f t="shared" si="37"/>
        <v>12</v>
      </c>
      <c r="N161" s="188">
        <f t="shared" si="37"/>
        <v>13</v>
      </c>
      <c r="O161" s="188">
        <f t="shared" si="37"/>
        <v>14</v>
      </c>
      <c r="P161" s="188">
        <f t="shared" si="37"/>
        <v>15</v>
      </c>
      <c r="Q161" s="188">
        <f t="shared" si="37"/>
        <v>16</v>
      </c>
      <c r="R161" s="188">
        <f t="shared" si="37"/>
        <v>17</v>
      </c>
      <c r="S161" s="188">
        <f t="shared" si="37"/>
        <v>18</v>
      </c>
      <c r="T161" s="188">
        <f t="shared" si="37"/>
        <v>19</v>
      </c>
      <c r="U161" s="188">
        <f t="shared" si="37"/>
        <v>20</v>
      </c>
      <c r="V161" s="188">
        <f t="shared" si="37"/>
        <v>21</v>
      </c>
      <c r="W161" s="188">
        <f t="shared" si="37"/>
        <v>22</v>
      </c>
      <c r="X161" s="188">
        <f t="shared" si="37"/>
        <v>23</v>
      </c>
      <c r="Y161" s="188">
        <f t="shared" si="37"/>
        <v>24</v>
      </c>
      <c r="Z161" s="188">
        <f t="shared" si="37"/>
        <v>25</v>
      </c>
      <c r="AA161" s="188">
        <f t="shared" si="37"/>
        <v>26</v>
      </c>
      <c r="AB161" s="188">
        <f t="shared" si="37"/>
        <v>27</v>
      </c>
      <c r="AC161" s="188">
        <f t="shared" si="37"/>
        <v>28</v>
      </c>
      <c r="AD161" s="188">
        <f t="shared" si="37"/>
        <v>29</v>
      </c>
      <c r="AE161" s="188">
        <f t="shared" si="37"/>
        <v>30</v>
      </c>
      <c r="AF161" s="188">
        <f t="shared" si="37"/>
        <v>31</v>
      </c>
      <c r="AG161" s="188">
        <f t="shared" si="37"/>
        <v>32</v>
      </c>
      <c r="AH161" s="188">
        <f t="shared" si="37"/>
        <v>33</v>
      </c>
      <c r="AI161" s="188">
        <f t="shared" si="37"/>
        <v>34</v>
      </c>
      <c r="AJ161" s="188">
        <f t="shared" si="37"/>
        <v>35</v>
      </c>
      <c r="AK161" s="188">
        <f t="shared" si="37"/>
        <v>36</v>
      </c>
      <c r="AL161" s="188">
        <f t="shared" si="37"/>
        <v>37</v>
      </c>
      <c r="AM161" s="188">
        <f t="shared" si="37"/>
        <v>38</v>
      </c>
      <c r="AN161" s="188">
        <f t="shared" si="37"/>
        <v>39</v>
      </c>
      <c r="AO161" s="188">
        <f t="shared" si="37"/>
        <v>40</v>
      </c>
      <c r="AP161" s="188">
        <f t="shared" si="37"/>
        <v>41</v>
      </c>
      <c r="AQ161" s="188">
        <f t="shared" si="37"/>
        <v>42</v>
      </c>
      <c r="AR161" s="188">
        <f t="shared" si="37"/>
        <v>43</v>
      </c>
    </row>
  </sheetData>
  <mergeCells count="11">
    <mergeCell ref="AG1:AR1"/>
    <mergeCell ref="E9:L9"/>
    <mergeCell ref="M9:T9"/>
    <mergeCell ref="V9:AC9"/>
    <mergeCell ref="AG9:AO9"/>
    <mergeCell ref="AQ9:AR9"/>
    <mergeCell ref="B153:Q153"/>
    <mergeCell ref="B154:Q154"/>
    <mergeCell ref="B155:Q155"/>
    <mergeCell ref="B156:Q156"/>
    <mergeCell ref="M1:R1"/>
  </mergeCells>
  <printOptions gridLines="1"/>
  <pageMargins left="0.25" right="0.25" top="0.5" bottom="0.5" header="0.5" footer="0.25"/>
  <pageSetup fitToHeight="2" fitToWidth="2" horizontalDpi="600" verticalDpi="600" orientation="landscape" paperSize="5" scale="43" r:id="rId1"/>
  <headerFooter alignWithMargins="0">
    <oddFooter>&amp;CProposed Final Contract High Water Marks (CHWMs)&amp;RPublished April 14, 2011</oddFooter>
  </headerFooter>
  <colBreaks count="1" manualBreakCount="1">
    <brk id="21"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topLeftCell="A1"/>
  </sheetViews>
  <sheetFormatPr defaultColWidth="9.140625" defaultRowHeight="12.75"/>
  <cols>
    <col min="1" max="16384" width="9.140625" style="307" customWidth="1"/>
  </cols>
  <sheetData>
    <row r="1" ht="12.75">
      <c r="A1" s="306" t="s">
        <v>494</v>
      </c>
    </row>
    <row r="3" ht="12.75">
      <c r="A3" s="307" t="s">
        <v>495</v>
      </c>
    </row>
    <row r="6" spans="1:4" ht="12.75">
      <c r="A6" s="307" t="s">
        <v>492</v>
      </c>
      <c r="D6" s="308" t="s">
        <v>493</v>
      </c>
    </row>
  </sheetData>
  <hyperlinks>
    <hyperlink ref="D6" r:id="rId1" display="https://legacy.bpa.gov/applications/publiccomments/CommentList.aspx?ID=230"/>
  </hyperlinks>
  <printOptions/>
  <pageMargins left="0.7" right="0.7" top="0.75" bottom="0.75" header="0.3" footer="0.3"/>
  <pageSetup horizontalDpi="600" verticalDpi="600" orientation="portrait"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2CA20EBE7027A40B28A23406B9AAE23" ma:contentTypeVersion="0" ma:contentTypeDescription="Create a new document." ma:contentTypeScope="" ma:versionID="8be74f450a57c6d81af7be0a712ad75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DDB1C-ADAC-4123-BEDE-75E465D89B70}">
  <ds:schemaRefs>
    <ds:schemaRef ds:uri="http://schemas.microsoft.com/office/2006/metadata/longProperties"/>
  </ds:schemaRefs>
</ds:datastoreItem>
</file>

<file path=customXml/itemProps2.xml><?xml version="1.0" encoding="utf-8"?>
<ds:datastoreItem xmlns:ds="http://schemas.openxmlformats.org/officeDocument/2006/customXml" ds:itemID="{B9070B68-AD37-4D9A-B0E5-E14702882599}">
  <ds:schemaRefs>
    <ds:schemaRef ds:uri="http://schemas.microsoft.com/sharepoint/v3/contenttype/forms"/>
  </ds:schemaRefs>
</ds:datastoreItem>
</file>

<file path=customXml/itemProps3.xml><?xml version="1.0" encoding="utf-8"?>
<ds:datastoreItem xmlns:ds="http://schemas.openxmlformats.org/officeDocument/2006/customXml" ds:itemID="{AD2CF6DF-33C2-4B22-B169-0464DC56B65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02068ADB-06DA-4117-BFB6-48A6394118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Retained Provisional Load Calculator</dc:title>
  <dc:subject/>
  <dc:creator>Emily Traetow</dc:creator>
  <cp:keywords/>
  <dc:description/>
  <cp:lastModifiedBy>Rhoads,Abigail M (BPA) - DKE-7</cp:lastModifiedBy>
  <cp:lastPrinted>2013-09-10T01:13:31Z</cp:lastPrinted>
  <dcterms:created xsi:type="dcterms:W3CDTF">2011-02-23T18:15:04Z</dcterms:created>
  <dcterms:modified xsi:type="dcterms:W3CDTF">2022-03-01T16:48:19Z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of Doc0">
    <vt:lpwstr/>
  </property>
  <property fmtid="{D5CDD505-2E9C-101B-9397-08002B2CF9AE}" pid="3" name="ContentType">
    <vt:lpwstr>Document</vt:lpwstr>
  </property>
  <property fmtid="{D5CDD505-2E9C-101B-9397-08002B2CF9AE}" pid="4" name="Date of Temp Release">
    <vt:lpwstr/>
  </property>
  <property fmtid="{D5CDD505-2E9C-101B-9397-08002B2CF9AE}" pid="5" name="Subject/Issue">
    <vt:lpwstr/>
  </property>
  <property fmtid="{D5CDD505-2E9C-101B-9397-08002B2CF9AE}" pid="6" name="Topic">
    <vt:lpwstr>Second Purchase Period Elections - September 30, 2011</vt:lpwstr>
  </property>
  <property fmtid="{D5CDD505-2E9C-101B-9397-08002B2CF9AE}" pid="7" name="Type of Doc">
    <vt:lpwstr/>
  </property>
  <property fmtid="{D5CDD505-2E9C-101B-9397-08002B2CF9AE}" pid="8" name="Version Date">
    <vt:lpwstr>2012-07-31</vt:lpwstr>
  </property>
  <property fmtid="{D5CDD505-2E9C-101B-9397-08002B2CF9AE}" pid="9" name="Revision">
    <vt:lpwstr/>
  </property>
  <property fmtid="{D5CDD505-2E9C-101B-9397-08002B2CF9AE}" pid="10" name="Meeting Date">
    <vt:lpwstr/>
  </property>
  <property fmtid="{D5CDD505-2E9C-101B-9397-08002B2CF9AE}" pid="11" name="ContentTypeId">
    <vt:lpwstr>0x01010012CA20EBE7027A40B28A23406B9AAE23</vt:lpwstr>
  </property>
  <property fmtid="{D5CDD505-2E9C-101B-9397-08002B2CF9AE}" pid="12" name="Order">
    <vt:r8>8600</vt:r8>
  </property>
  <property fmtid="{D5CDD505-2E9C-101B-9397-08002B2CF9AE}" pid="13" name="xd_Signature">
    <vt:bool>false</vt:bool>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ies>
</file>