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bookViews>
    <workbookView xWindow="65521" yWindow="65521" windowWidth="27060" windowHeight="6480" tabRatio="906" activeTab="0"/>
  </bookViews>
  <sheets>
    <sheet name="Income Statement Cash Flows" sheetId="12" r:id="rId1"/>
    <sheet name="Current Revenue Test" sheetId="22" r:id="rId2"/>
    <sheet name="Current Evans Table" sheetId="25" r:id="rId3"/>
    <sheet name="Revised Revenue Test" sheetId="23" r:id="rId4"/>
    <sheet name="Revised Evans Table" sheetId="26" r:id="rId5"/>
    <sheet name="cost table" sheetId="1" r:id="rId6"/>
    <sheet name="Debt to Asset Ratio" sheetId="46" r:id="rId7"/>
    <sheet name="Depreciation" sheetId="45" r:id="rId8"/>
    <sheet name="Fed Projections" sheetId="35" r:id="rId9"/>
    <sheet name="IPR Data" sheetId="36" r:id="rId10"/>
    <sheet name="Non-Federal DS" sheetId="9" r:id="rId11"/>
    <sheet name="Federal DS" sheetId="28" r:id="rId12"/>
    <sheet name="Modeling results" sheetId="24" r:id="rId13"/>
    <sheet name="Inputs for Evans Tables" sheetId="27" r:id="rId14"/>
    <sheet name="COSA" sheetId="14" r:id="rId15"/>
    <sheet name="Statement D Table D-2" sheetId="41" r:id="rId16"/>
    <sheet name="Statement E" sheetId="40" r:id="rId17"/>
    <sheet name="interest credit calculations" sheetId="7" r:id="rId18"/>
    <sheet name="R&amp;D split" sheetId="4" r:id="rId19"/>
    <sheet name="REP staff costs" sheetId="3" r:id="rId20"/>
    <sheet name="EE staffing split" sheetId="5" r:id="rId21"/>
    <sheet name="equivalent annual costs" sheetId="13" r:id="rId22"/>
    <sheet name="Corps Rec Functionalization" sheetId="16" r:id="rId23"/>
    <sheet name="Corps Rec Project O&amp;M" sheetId="15" r:id="rId24"/>
    <sheet name="Corps Rec Transmission" sheetId="20" r:id="rId25"/>
    <sheet name="synchronous condensor" sheetId="19" r:id="rId26"/>
  </sheets>
  <definedNames>
    <definedName name="_Key1" hidden="1">#REF!</definedName>
    <definedName name="_Sort" hidden="1">#REF!</definedName>
    <definedName name="wrn.7b2." hidden="1">{"pfexch7b2",#N/A,FALSE,"7(b)(2)";"PFPREF7b2",#N/A,FALSE,"7(b)(2)"}</definedName>
    <definedName name="wrn.COSTS." hidden="1">{"costs97",#N/A,FALSE,"COSA";"costs98",#N/A,FALSE,"COSA";"costs99",#N/A,FALSE,"COSA";"costs00",#N/A,FALSE,"COSA";"costs01",#N/A,FALSE,"COSA";"costsTP",#N/A,FALSE,"COSA"}</definedName>
    <definedName name="wrn.rates." hidden="1">{"dsino7b2",#N/A,FALSE,"RATES";"nrno7b2",#N/A,FALSE,"RATES";"pfno7b2",#N/A,FALSE,"RATES"}</definedName>
    <definedName name="wrn.WPRDSAll." hidden="1">{"COSA06FY97",#N/A,FALSE,"COSA";"COSA06FY98",#N/A,FALSE,"COSA";"COSA06FY99",#N/A,FALSE,"COSA";"COSA06FY00",#N/A,FALSE,"COSA";"COSA06FY01",#N/A,FALSE,"COSA";"COSA08",#N/A,FALSE,"COSA";"COSA09",#N/A,FALSE,"COSA";"COSA11",#N/A,FALSE,"COSA";"RDS01",#N/A,FALSE,"COSA";"RDS02",#N/A,FALSE,"ADJUST1";"RDS04",#N/A,FALSE,"ADJUST1";"RDS05_RDS06",#N/A,FALSE,"ADJUST1";"RDS07",#N/A,FALSE,"ADJUST1";"RDS11",#N/A,FALSE,"ADJUST2";"RDS12",#N/A,FALSE,"ADJUST2";"RDS15",#N/A,FALSE,"ADJUST2";"RDS16",#N/A,FALSE,"ADJUST2";"RDS16B",#N/A,FALSE,"ADJUST2";"RDS17",#N/A,FALSE,"ADJUST2";"RDS18",#N/A,FALSE,"ADJUST2";"RDS20",#N/A,FALSE,"DSI";"RDS21",#N/A,FALSE,"DSI";"RDS22",#N/A,FALSE,"DSI";"RDS23",#N/A,FALSE,"DSI";"RDS24",#N/A,FALSE,"DSI";"rds30_rds31",#N/A,FALSE,"7(b)(2)";"rds32",#N/A,FALSE,"7(b)(2)";"rds33",#N/A,FALSE,"7(b)(2)";"rds34",#N/A,FALSE,"7(b)(2)";"rds34a",#N/A,FALSE,"7(b)(2)";"rds40p1",#N/A,FALSE,"CONTRA";"rds40p2",#N/A,FALSE,"CONTRA";"rds41",#N/A,FALSE,"CONTRA";"rds50",#N/A,FALSE,"7(b)(2)";"rds36",#N/A,FALSE,"7(b)(2)";"rds51",#N/A,FALSE,"RATES";"rds52",#N/A,FALSE,"RATES";"rds60a",#N/A,FALSE,"UNITCOST";"rds60b",#N/A,FALSE,"UNITCOST";"rds61",#N/A,FALSE,"UNITCOST";"rds62",#N/A,FALSE,"UNITCOST";"rds63",#N/A,FALSE,"UNITCOST";"recon01",#N/A,FALSE,"RECON";"recon02",#N/A,FALSE,"RECON";"recon03",#N/A,FALSE,"RECON";"recon04",#N/A,FALSE,"RECON";"resex01_p1",#N/A,FALSE,"RESEX";"resex01_p2",#N/A,FALSE,"RESEX"}</definedName>
    <definedName name="wrn.WPRDSLandscape." hidden="1">{"COSA06FY97",#N/A,FALSE,"COSA";"COSA06FY98",#N/A,FALSE,"COSA";"COSA06FY99",#N/A,FALSE,"COSA";"COSA06FY00",#N/A,FALSE,"COSA";"COSA06FY01",#N/A,FALSE,"COSA";"COSA08",#N/A,FALSE,"COSA";"COSA09",#N/A,FALSE,"COSA";"COSA11",#N/A,FALSE,"COSA";"RDS01",#N/A,FALSE,"COSA";"RDS02",#N/A,FALSE,"ADJUST1";"RDS04",#N/A,FALSE,"ADJUST1";"RDS20",#N/A,FALSE,"DSI";"RDS21",#N/A,FALSE,"DSI";"RDS22",#N/A,FALSE,"DSI";"RDS23",#N/A,FALSE,"DSI";"RDS24",#N/A,FALSE,"DSI";"rds32",#N/A,FALSE,"7(b)(2)";"rds33",#N/A,FALSE,"7(b)(2)";"rds34",#N/A,FALSE,"7(b)(2)";"rds40p1",#N/A,FALSE,"CONTRA";"rds40p2",#N/A,FALSE,"CONTRA";"rds41",#N/A,FALSE,"CONTRA";"rds50",#N/A,FALSE,"7(b)(2)";"rds36",#N/A,FALSE,"7(b)(2)";"rds51",#N/A,FALSE,"RATES";"rds52",#N/A,FALSE,"RATES";"rds63",#N/A,FALSE,"UNITCOST";"recon04",#N/A,FALSE,"RECON";"resex01_p1",#N/A,FALSE,"RESEX";"resex01_p2",#N/A,FALSE,"RESEX"}</definedName>
    <definedName name="wrn.WPRDSPortrait." hidden="1">{"RDS05_RDS06",#N/A,FALSE,"ADJUST1";"RDS07",#N/A,FALSE,"ADJUST1";"RDS11",#N/A,FALSE,"ADJUST2";"RDS12",#N/A,FALSE,"ADJUST2";"RDS15",#N/A,FALSE,"ADJUST2";"RDS16",#N/A,FALSE,"ADJUST2";"RDS16B",#N/A,FALSE,"ADJUST2";"RDS17",#N/A,FALSE,"ADJUST2";"RDS18",#N/A,FALSE,"ADJUST2";"rds30_rds31",#N/A,FALSE,"7(b)(2)";"rds34a",#N/A,FALSE,"7(b)(2)";"rds60a",#N/A,FALSE,"UNITCOST";"rds60b",#N/A,FALSE,"UNITCOST";"rds61",#N/A,FALSE,"UNITCOST";"rds62",#N/A,FALSE,"UNITCOST";"recon01",#N/A,FALSE,"RECON";"recon02",#N/A,FALSE,"RECON";"recon03",#N/A,FALSE,"RECON"}</definedName>
  </definedNames>
  <calcPr calcId="162913"/>
</workbook>
</file>

<file path=xl/comments1.xml><?xml version="1.0" encoding="utf-8"?>
<comments xmlns="http://schemas.openxmlformats.org/spreadsheetml/2006/main">
  <authors>
    <author>Lennox,Alexander (BPA) - FTR-2</author>
  </authors>
  <commentList>
    <comment ref="C72" authorId="0">
      <text>
        <r>
          <rPr>
            <b/>
            <sz val="9"/>
            <rFont val="Tahoma"/>
            <family val="2"/>
          </rPr>
          <t>Lennox,Alexander (BPA) - FTR-2:</t>
        </r>
        <r>
          <rPr>
            <sz val="9"/>
            <rFont val="Tahoma"/>
            <family val="2"/>
          </rPr>
          <t xml:space="preserve">
incorrectly converted to fixed values in RC so updates didn't occur
See Non-Fed DS sheet, row 95
Too high by $620K in rate period</t>
        </r>
      </text>
    </comment>
  </commentList>
</comments>
</file>

<file path=xl/comments11.xml><?xml version="1.0" encoding="utf-8"?>
<comments xmlns="http://schemas.openxmlformats.org/spreadsheetml/2006/main">
  <authors>
    <author>Lennox,Alexander (BPA) - FTR-2</author>
    <author>Alex Lennox</author>
  </authors>
  <commentList>
    <comment ref="A18" authorId="0">
      <text>
        <r>
          <rPr>
            <b/>
            <sz val="9"/>
            <rFont val="Tahoma"/>
            <family val="2"/>
          </rPr>
          <t>Lennox,Alexander (BPA) - FTR-2:</t>
        </r>
        <r>
          <rPr>
            <sz val="9"/>
            <rFont val="Tahoma"/>
            <family val="2"/>
          </rPr>
          <t xml:space="preserve">
deletes adjustment for refinanced premiums.  Repayment reports gross only</t>
        </r>
      </text>
    </comment>
    <comment ref="A86" authorId="1">
      <text>
        <r>
          <rPr>
            <b/>
            <sz val="9"/>
            <rFont val="Tahoma"/>
            <family val="2"/>
          </rPr>
          <t>Alex Lennox:</t>
        </r>
        <r>
          <rPr>
            <sz val="9"/>
            <rFont val="Tahoma"/>
            <family val="2"/>
          </rPr>
          <t xml:space="preserve">
TVA revenues for Uranium Tails fuel purchase</t>
        </r>
      </text>
    </comment>
    <comment ref="A87" authorId="1">
      <text>
        <r>
          <rPr>
            <b/>
            <sz val="9"/>
            <rFont val="Tahoma"/>
            <family val="2"/>
          </rPr>
          <t>Alex Lennox:</t>
        </r>
        <r>
          <rPr>
            <sz val="9"/>
            <rFont val="Tahoma"/>
            <family val="2"/>
          </rPr>
          <t xml:space="preserve">
Bond premiums embedded in interest payments which will be refinanced as part of RCD 2.  </t>
        </r>
      </text>
    </comment>
    <comment ref="A88" authorId="1">
      <text>
        <r>
          <rPr>
            <b/>
            <sz val="9"/>
            <rFont val="Tahoma"/>
            <family val="2"/>
          </rPr>
          <t>Alex Lennox:</t>
        </r>
        <r>
          <rPr>
            <sz val="9"/>
            <rFont val="Tahoma"/>
            <family val="2"/>
          </rPr>
          <t xml:space="preserve">
DSR-related bonds and premiums associated with those bonds that will be refinanced as part of RCD 2.  Frees up cash coming from T for these payment which can be used to pay Power bonds. </t>
        </r>
      </text>
    </comment>
    <comment ref="A92" authorId="1">
      <text>
        <r>
          <rPr>
            <b/>
            <sz val="9"/>
            <rFont val="Tahoma"/>
            <family val="2"/>
          </rPr>
          <t>Alex Lennox:</t>
        </r>
        <r>
          <rPr>
            <sz val="9"/>
            <rFont val="Tahoma"/>
            <family val="2"/>
          </rPr>
          <t xml:space="preserve">
use ungapped amounts for D/A ratio calculation</t>
        </r>
      </text>
    </comment>
  </commentList>
</comments>
</file>

<file path=xl/comments12.xml><?xml version="1.0" encoding="utf-8"?>
<comments xmlns="http://schemas.openxmlformats.org/spreadsheetml/2006/main">
  <authors>
    <author>Lennox,Alexander (BPA) - FTR-2</author>
  </authors>
  <commentList>
    <comment ref="B8" authorId="0">
      <text>
        <r>
          <rPr>
            <b/>
            <sz val="9"/>
            <rFont val="Tahoma"/>
            <family val="2"/>
          </rPr>
          <t>Lennox,Alexander (BPA) - FTR-2:</t>
        </r>
        <r>
          <rPr>
            <sz val="9"/>
            <rFont val="Tahoma"/>
            <family val="2"/>
          </rPr>
          <t xml:space="preserve">
Premiums/discounts can appear in the interest and principal summary worksheets of repayment</t>
        </r>
      </text>
    </comment>
  </commentList>
</comments>
</file>

<file path=xl/comments7.xml><?xml version="1.0" encoding="utf-8"?>
<comments xmlns="http://schemas.openxmlformats.org/spreadsheetml/2006/main">
  <authors>
    <author>Lennox,Alexander (BPA) - FTR-2</author>
  </authors>
  <commentList>
    <comment ref="E6" authorId="0">
      <text>
        <r>
          <rPr>
            <b/>
            <sz val="9"/>
            <rFont val="Tahoma"/>
            <family val="2"/>
          </rPr>
          <t>Lennox,Alexander (BPA) - FTR-2:</t>
        </r>
        <r>
          <rPr>
            <sz val="9"/>
            <rFont val="Tahoma"/>
            <family val="2"/>
          </rPr>
          <t xml:space="preserve">
remove $109m for GC</t>
        </r>
      </text>
    </comment>
    <comment ref="E25" authorId="0">
      <text>
        <r>
          <rPr>
            <b/>
            <sz val="9"/>
            <rFont val="Tahoma"/>
            <family val="2"/>
          </rPr>
          <t>Lennox,Alexander (BPA) - FTR-2:</t>
        </r>
        <r>
          <rPr>
            <sz val="9"/>
            <rFont val="Tahoma"/>
            <family val="2"/>
          </rPr>
          <t xml:space="preserve">
reduce by $204m for GC
</t>
        </r>
      </text>
    </comment>
    <comment ref="E30" authorId="0">
      <text>
        <r>
          <rPr>
            <b/>
            <sz val="9"/>
            <rFont val="Tahoma"/>
            <family val="2"/>
          </rPr>
          <t>Lennox,Alexander (BPA) - FTR-2:</t>
        </r>
        <r>
          <rPr>
            <sz val="9"/>
            <rFont val="Tahoma"/>
            <family val="2"/>
          </rPr>
          <t xml:space="preserve">
remove $80m for GC
</t>
        </r>
      </text>
    </comment>
  </commentList>
</comments>
</file>

<file path=xl/sharedStrings.xml><?xml version="1.0" encoding="utf-8"?>
<sst xmlns="http://schemas.openxmlformats.org/spreadsheetml/2006/main" count="1863" uniqueCount="879">
  <si>
    <t>Power System Generation Resources</t>
  </si>
  <si>
    <t>Operating Generation</t>
  </si>
  <si>
    <t>Columbia Generating Station (WNP-2)</t>
  </si>
  <si>
    <t>Bureau of Reclamation</t>
  </si>
  <si>
    <t>Corps of Engineers</t>
  </si>
  <si>
    <t>Billing Credits Generation</t>
  </si>
  <si>
    <t>Cowlitz Falls O&amp;M</t>
  </si>
  <si>
    <t>Clearwater Hatchery Generation</t>
  </si>
  <si>
    <t>Operating Generation Settlement Payment</t>
  </si>
  <si>
    <t>Non-Operating Generation</t>
  </si>
  <si>
    <t>Trojan Decomissioning</t>
  </si>
  <si>
    <t>WNP-1&amp;3 Decomissioning</t>
  </si>
  <si>
    <t>Contracted and Augmentation Power Purchases</t>
  </si>
  <si>
    <t>Hedging/Mitigation</t>
  </si>
  <si>
    <t>Bookout Adj to Contracted Power Purchases</t>
  </si>
  <si>
    <t>Exchanges and Settlements</t>
  </si>
  <si>
    <t>Residential Exchange Program Support</t>
  </si>
  <si>
    <t>Renewable and Conservation Generation</t>
  </si>
  <si>
    <t>Generation Conservation R&amp;D</t>
  </si>
  <si>
    <t>Conservation Acquisition</t>
  </si>
  <si>
    <t>Legacy Conservation</t>
  </si>
  <si>
    <t>Market Transformation</t>
  </si>
  <si>
    <t>Transmission Acquisition and Ancillary Services</t>
  </si>
  <si>
    <t>Third Party GTA Wheeling</t>
  </si>
  <si>
    <t>Power Non-Generation Operations</t>
  </si>
  <si>
    <t>PS System Operation</t>
  </si>
  <si>
    <t>Efficiencies Program</t>
  </si>
  <si>
    <t>Information Technology</t>
  </si>
  <si>
    <t>Slice Implementation</t>
  </si>
  <si>
    <t>PS Scheduling</t>
  </si>
  <si>
    <t>Operations Scheduling</t>
  </si>
  <si>
    <t>Operations Planning</t>
  </si>
  <si>
    <t>PS Marketing and Business Support</t>
  </si>
  <si>
    <t>Strategy, Finance &amp; Risk Mgmt</t>
  </si>
  <si>
    <t>Conservation Support</t>
  </si>
  <si>
    <t>Fish and Wildlife/USF&amp;W/Planning Council/Env Req.</t>
  </si>
  <si>
    <t>USF&amp;W Lower Snake Hatcheries</t>
  </si>
  <si>
    <t>Planning Council</t>
  </si>
  <si>
    <t>BPA Internal Support</t>
  </si>
  <si>
    <t>Additional Post-Retirement Contribution</t>
  </si>
  <si>
    <t>Bad Debt Expense/Other</t>
  </si>
  <si>
    <t>Bad Debt Expense (composite)</t>
  </si>
  <si>
    <t>Bad Debt Expense (non-slice)</t>
  </si>
  <si>
    <t>Depreciation and Amortization</t>
  </si>
  <si>
    <t>Depreciation</t>
  </si>
  <si>
    <t xml:space="preserve">Depreciation - BPA </t>
  </si>
  <si>
    <t>Depreciation - Corps</t>
  </si>
  <si>
    <t>Depreciation - Bureau</t>
  </si>
  <si>
    <t>Amortization</t>
  </si>
  <si>
    <t>Amortization - Legacy Conservation</t>
  </si>
  <si>
    <t>Amortization - Conservation Acquisitions</t>
  </si>
  <si>
    <t>Interest Expense</t>
  </si>
  <si>
    <t>Net Interest</t>
  </si>
  <si>
    <t>Interest On Appropriated Funds</t>
  </si>
  <si>
    <t>Capitalization Adjustment</t>
  </si>
  <si>
    <t>Interest On Treasury Bonds</t>
  </si>
  <si>
    <t>Interest Earned on BPA Fund for Power (composite)</t>
  </si>
  <si>
    <t>Interest Earned on BPA Fund for Power (non-slice)</t>
  </si>
  <si>
    <t>Net Interest into Cost Pools</t>
  </si>
  <si>
    <t>Net Interest into Cost Pools 7b2</t>
  </si>
  <si>
    <t>Net Revenue</t>
  </si>
  <si>
    <t>Minimum Required Net Revenue</t>
  </si>
  <si>
    <t>Payment of Irrigation Assistance</t>
  </si>
  <si>
    <t>Minimum Net Revenue into Cost Pools</t>
  </si>
  <si>
    <t>Minimum Net Revenue into Cost Pools 7b2</t>
  </si>
  <si>
    <t>Planned Net Revenues for Risk into Cost Pools</t>
  </si>
  <si>
    <t>Planned Net Revenues for Risk into Cost Pools 7b2</t>
  </si>
  <si>
    <t>Revenue Requirement Input Sheet</t>
  </si>
  <si>
    <t>RAM Input</t>
  </si>
  <si>
    <t>Category</t>
  </si>
  <si>
    <t>SubCategory</t>
  </si>
  <si>
    <t>SubSubCategory</t>
  </si>
  <si>
    <t>Year</t>
  </si>
  <si>
    <t>New Resources Integration Wheeling</t>
  </si>
  <si>
    <t>PNCA Headwater Benefits</t>
  </si>
  <si>
    <t>Tier 1 Augmentation Resources (Klondike III)</t>
  </si>
  <si>
    <t>Other Committed Purchase (excl. Hedging)</t>
  </si>
  <si>
    <t>Residential Exchange (IOU)</t>
  </si>
  <si>
    <t>Residential Exchange (COU)</t>
  </si>
  <si>
    <t>Residential Exchange (Refund)</t>
  </si>
  <si>
    <t>Renewables R&amp;D</t>
  </si>
  <si>
    <t>Renewable Generation</t>
  </si>
  <si>
    <t>Low Income Energy Efficiency</t>
  </si>
  <si>
    <t>Reimbursable Energy Efficiency Development</t>
  </si>
  <si>
    <t>Trans &amp; Ancillary Svcs</t>
  </si>
  <si>
    <t>Trans &amp; Ancillary Svcs (sys oblig)</t>
  </si>
  <si>
    <t xml:space="preserve">Power 3rd Party Trans &amp; Ancillary Svcs </t>
  </si>
  <si>
    <t>Trans Acq Generation Integration</t>
  </si>
  <si>
    <t xml:space="preserve">Power Telemetering/Equipment Replacement </t>
  </si>
  <si>
    <t xml:space="preserve">Generation Project Coordination  </t>
  </si>
  <si>
    <t xml:space="preserve">Slice costs Charged to Slice Customers </t>
  </si>
  <si>
    <t xml:space="preserve">Sales and Support </t>
  </si>
  <si>
    <t>Executive and Administrative Svcs</t>
  </si>
  <si>
    <t xml:space="preserve">Fish and Wildlife </t>
  </si>
  <si>
    <t>Agency Svs for Power for Rev Req schedule</t>
  </si>
  <si>
    <t>Agency Svs for Energy Efficiency for Rev Req schedule</t>
  </si>
  <si>
    <t>Amortization - CRFM</t>
  </si>
  <si>
    <t>Power Net Interest - Hydro Allocation</t>
  </si>
  <si>
    <t>Power Net Interest - Fish &amp; Wildlife Allocation</t>
  </si>
  <si>
    <t>Power Net Interest - Conservation Allocation</t>
  </si>
  <si>
    <t>Power Net Interest - BPA Programs Allocation</t>
  </si>
  <si>
    <t>Power Net Interest Hydro 7b2 Allocation</t>
  </si>
  <si>
    <t>Power Net Interest Fish &amp; Wildlife 7b2 Allocation</t>
  </si>
  <si>
    <t>Power Net Interest BPA Programs 7b2 Allocation</t>
  </si>
  <si>
    <t>Repayment of Treasury Borrowings</t>
  </si>
  <si>
    <t>Depreciation (MRNR - Reverse sign)</t>
  </si>
  <si>
    <t>Capitalization Adjustment (MRNR - Reverse Sign)</t>
  </si>
  <si>
    <t>Capitalized Bond Premium (Reverse Sign)</t>
  </si>
  <si>
    <t>Repayment of Federal Appropriations</t>
  </si>
  <si>
    <t>Accrual Revenues (MRNR Adjustment - Reverse Sign)</t>
  </si>
  <si>
    <t>Revenue Financing Requirement</t>
  </si>
  <si>
    <t>Depreciation Exceeds Cash Expense</t>
  </si>
  <si>
    <t>Power MNetRev - Hydro 7b2 Allocation</t>
  </si>
  <si>
    <t>Power MNetRev - Fish &amp; Wildlife 7b2 Allocation</t>
  </si>
  <si>
    <t>Power MNetRev - PBA Programs 7b2 Allocation</t>
  </si>
  <si>
    <t>AFUDC</t>
  </si>
  <si>
    <t>Power MNetRev - Hydro Allocation</t>
  </si>
  <si>
    <t>Power MNetRev - Fish &amp; Wildlife Allocation</t>
  </si>
  <si>
    <t>Power MNetRev - Conservation Allocation</t>
  </si>
  <si>
    <t>Power MNetRev - BPA Programs Allocation</t>
  </si>
  <si>
    <t>Power PNetRev - Hydro Allocation</t>
  </si>
  <si>
    <t>Power PNetRev - Fish &amp; Wildlife Allocation</t>
  </si>
  <si>
    <t>Power PNetRev - Conservation Allocation</t>
  </si>
  <si>
    <t>Power PNetRev - BPA Programs Allocation</t>
  </si>
  <si>
    <t>Power PNetRev - Hydro 7b2 Allocation</t>
  </si>
  <si>
    <t>Power PNetRev - Fish &amp; Wildlife 7b2 Allocation</t>
  </si>
  <si>
    <t>Power PNetRev - BPA Programs 7b2 Allocation</t>
  </si>
  <si>
    <t>Residential Exchange Interest Accrual</t>
  </si>
  <si>
    <t>PNCA HEADWATER BENEFITS</t>
  </si>
  <si>
    <t>AUGMENTATION POWER PURCHASES</t>
  </si>
  <si>
    <t>RENEWABLES</t>
  </si>
  <si>
    <t>CONSERVATION ACQUISITION</t>
  </si>
  <si>
    <t>LEGACY</t>
  </si>
  <si>
    <t>MARKET TRANSFORMATION</t>
  </si>
  <si>
    <t>INFORMATION TECHNOLOGY</t>
  </si>
  <si>
    <t>SLICE IMPLEMENTATION</t>
  </si>
  <si>
    <t>OPERATIONS PLANNING</t>
  </si>
  <si>
    <t>POWER R&amp;D</t>
  </si>
  <si>
    <t>SALES &amp; SUPPORT</t>
  </si>
  <si>
    <t>CONSERVATION SUPPORT</t>
  </si>
  <si>
    <t>3RD PARTY GTA WHEELING</t>
  </si>
  <si>
    <t>Interest Income</t>
  </si>
  <si>
    <t xml:space="preserve">R&amp;D </t>
  </si>
  <si>
    <t>Net Amt</t>
  </si>
  <si>
    <t>EXECUTIVE &amp; ADMINISTRATIVE SVC</t>
  </si>
  <si>
    <t>STRATEGY, FINANCE &amp; RISK MGMT</t>
  </si>
  <si>
    <t>RES EXCH &amp; IOU SETTLEMENTS</t>
  </si>
  <si>
    <t>Total</t>
  </si>
  <si>
    <t>IDAHO FALLS BULB TURBINE</t>
  </si>
  <si>
    <t>COWLITZ FALLS O&amp;M</t>
  </si>
  <si>
    <t>BILLING CREDITS GENERATION</t>
  </si>
  <si>
    <t>WAUNA</t>
  </si>
  <si>
    <t>NEW RESOURCS INTEGRTN WHEELING</t>
  </si>
  <si>
    <t>CLEARWATER HATCHERY GENERATION</t>
  </si>
  <si>
    <t>Allocation of Interest Earned on the Bonneville Fund</t>
  </si>
  <si>
    <t>($ in thousands)</t>
  </si>
  <si>
    <t>A</t>
  </si>
  <si>
    <t>B</t>
  </si>
  <si>
    <t>C</t>
  </si>
  <si>
    <t>D</t>
  </si>
  <si>
    <t>E</t>
  </si>
  <si>
    <t>F</t>
  </si>
  <si>
    <t>Interest rate</t>
  </si>
  <si>
    <t>Total interest credit from Rev Req</t>
  </si>
  <si>
    <t>OPERATING EXPENSES</t>
  </si>
  <si>
    <t>POWER SYSTEM GENERATION RESOURCES</t>
  </si>
  <si>
    <t>OPERATING GENERATION RESOURCES</t>
  </si>
  <si>
    <t>OPERATING GENERATION SETTLEMENT PAYMENTS</t>
  </si>
  <si>
    <t>NON-OPERATING GENERATION</t>
  </si>
  <si>
    <t>CONTRACTED POWER PURCHASES</t>
  </si>
  <si>
    <t>EXCHANGES &amp; SETTLEMENTS</t>
  </si>
  <si>
    <t>RENEWABLE GENERATION</t>
  </si>
  <si>
    <t>GENERATION CONSERVATION</t>
  </si>
  <si>
    <t>POWER NON-GENERATION OPERATIONS</t>
  </si>
  <si>
    <t>PS TRANSMISSION ACQUISITION AND ANCILLARY SERVICES</t>
  </si>
  <si>
    <t>GENERAL AND ADMINISTRATIVE/SHARED SERVICES</t>
  </si>
  <si>
    <t>OTHER INCOME, EXPENSES AND ADJUSTMENTS</t>
  </si>
  <si>
    <t>Irrigation Assistance</t>
  </si>
  <si>
    <t>INTEREST</t>
  </si>
  <si>
    <t>APPROPRIATED FUNDS</t>
  </si>
  <si>
    <t>CAPITALIZATION ADJUSTMENT</t>
  </si>
  <si>
    <t>BONDS ISSUED TO U.S. TREASURY</t>
  </si>
  <si>
    <t>ALLOWANCE FOR FUNDS USED DURING CONSTRUCTION</t>
  </si>
  <si>
    <t xml:space="preserve">INTEREST CREDIT ON CASH RESERVES </t>
  </si>
  <si>
    <t>TOTAL EXPENSES</t>
  </si>
  <si>
    <t>MINIMUM REQUIRED NET REVENUE 1/</t>
  </si>
  <si>
    <t>PLANNED NET REVENUE FOR RISK</t>
  </si>
  <si>
    <t>DEPRECIATION</t>
  </si>
  <si>
    <t>AMORTIZATION</t>
  </si>
  <si>
    <t>TOTAL OPERATING EXPENSES</t>
  </si>
  <si>
    <t>Cash flow generated</t>
  </si>
  <si>
    <t>repayment study interest credit</t>
  </si>
  <si>
    <t>Fiscal Year</t>
  </si>
  <si>
    <t>WNP-1</t>
  </si>
  <si>
    <t>CGS</t>
  </si>
  <si>
    <t>Wasco</t>
  </si>
  <si>
    <t>Cowlitz</t>
  </si>
  <si>
    <t>WNP-3</t>
  </si>
  <si>
    <t>Non Federal Interest (prepay)</t>
  </si>
  <si>
    <t>Prepay  Credits (MRNR Adjustment - Reverse Sign)</t>
  </si>
  <si>
    <t>Non Federal Interest (prepay))MRNR-reverse sign)</t>
  </si>
  <si>
    <t>SOY Cash Balance</t>
  </si>
  <si>
    <t>EOY Cash Balance 1/</t>
  </si>
  <si>
    <t>Average Cash Balance</t>
  </si>
  <si>
    <t>LONG-TERM CONTRACT GEN PROJ Total</t>
  </si>
  <si>
    <t>TROJAN O&amp;M</t>
  </si>
  <si>
    <t>WNP-1,3&amp;4 O&amp;M</t>
  </si>
  <si>
    <t>NON-OPERATING GENERATION Total</t>
  </si>
  <si>
    <t>OTHER POWER PURCH(SHORT TERM)</t>
  </si>
  <si>
    <t>TIER 2 PWR PURCHASES-FY12RATES</t>
  </si>
  <si>
    <t>CONTRACT &amp; AUGMENT POWER PURCH Total</t>
  </si>
  <si>
    <t>ENERGY EFFICIENCY DEVELOPMENT</t>
  </si>
  <si>
    <t>LOW INCOME WEATHRZTN &amp; TRIBAL</t>
  </si>
  <si>
    <t>GENERATION CONSERVATION Total</t>
  </si>
  <si>
    <t>GENERATION INTEGRATION</t>
  </si>
  <si>
    <t>PBL- TRANS &amp; ANCILLARY SVCS</t>
  </si>
  <si>
    <t>3RD PARTY TRANS &amp; ANCILLRY SVC</t>
  </si>
  <si>
    <t>PBL TRANSMISSION ACQUISITION Total</t>
  </si>
  <si>
    <t>GENERATION PROJ COORDINATION</t>
  </si>
  <si>
    <t>OPERATIONS (SCHEDULING)</t>
  </si>
  <si>
    <t>NON-GENERATION OPERATIONS Total</t>
  </si>
  <si>
    <t>LOWER SNAKE HATCHERIES</t>
  </si>
  <si>
    <t>PLANNING COUNCIL</t>
  </si>
  <si>
    <t>FISH &amp; WILDLIFE</t>
  </si>
  <si>
    <t>FISH&amp;WILDLIFE&amp;PLANNING COUNCIL Total</t>
  </si>
  <si>
    <t>Interest</t>
  </si>
  <si>
    <t>GENERATION REVENUE REQUIREMENT</t>
  </si>
  <si>
    <t>INCOME STATEMENT</t>
  </si>
  <si>
    <t>TOTAL REVENUE REQUIREMENT</t>
  </si>
  <si>
    <t>1/</t>
  </si>
  <si>
    <t>STATEMENT OF CASH FLOWS</t>
  </si>
  <si>
    <t>CASH FROM OPERATING ACTIVITIES</t>
  </si>
  <si>
    <t>NON-CASH ITEMS:</t>
  </si>
  <si>
    <t>DEPRECIATION AND AMORTIZATION</t>
  </si>
  <si>
    <t>CASH PROVIDED BY OPERATING ACTIVITIES</t>
  </si>
  <si>
    <t>INVESTMENT IN:</t>
  </si>
  <si>
    <t>UTILITY PLANT (INCLUDING AFUDC)</t>
  </si>
  <si>
    <t>CASH FROM BORROWING AND APPROPRIATIONS:</t>
  </si>
  <si>
    <t>INCREASE IN BONDS ISSUED TO U.S. TREASURY</t>
  </si>
  <si>
    <t>REPAYMENT OF BONDS ISSUED TO U.S. TREASURY</t>
  </si>
  <si>
    <t>INCREASE IN FEDERAL CONSTRUCTION APPROPRIATIONS</t>
  </si>
  <si>
    <t>REPAYMENT OF FEDERAL CONSTRUCTION APPROPRIATIONS</t>
  </si>
  <si>
    <t>PAYMENT OF IRRIGATION ASSISTANCE</t>
  </si>
  <si>
    <t>CASH PROVIDED BY BORROWING AND APPROPRIATIONS</t>
  </si>
  <si>
    <t>ANNUAL INCREASE (DECREASE) IN CASH</t>
  </si>
  <si>
    <t>TOTAL ANNUAL INCREASE (DECREASE) IN CASH</t>
  </si>
  <si>
    <t>($000s)</t>
  </si>
  <si>
    <t>NON-FEDERAL INTEREST</t>
  </si>
  <si>
    <t>EQUIVALENT ANNUAL COSTS</t>
  </si>
  <si>
    <t>G</t>
  </si>
  <si>
    <t>H</t>
  </si>
  <si>
    <t>I</t>
  </si>
  <si>
    <t>J</t>
  </si>
  <si>
    <t>K</t>
  </si>
  <si>
    <t>L</t>
  </si>
  <si>
    <t>COMP</t>
  </si>
  <si>
    <t>WT AV</t>
  </si>
  <si>
    <t>AVG</t>
  </si>
  <si>
    <t>PLANT</t>
  </si>
  <si>
    <t>INT</t>
  </si>
  <si>
    <t>EQ ANN</t>
  </si>
  <si>
    <t>LIFE</t>
  </si>
  <si>
    <t>RATE</t>
  </si>
  <si>
    <t>COSTS</t>
  </si>
  <si>
    <t>Corps of Engineers/Bureau of Reclamation</t>
  </si>
  <si>
    <t>BPA F&amp;W</t>
  </si>
  <si>
    <t>PBL General Plant</t>
  </si>
  <si>
    <t>Energy Efficiency</t>
  </si>
  <si>
    <t>PBL</t>
  </si>
  <si>
    <t xml:space="preserve">  OFFICE FURNITURE &amp; FIXTURES</t>
  </si>
  <si>
    <t xml:space="preserve">  DATA PROCESSING EQUIPMENT</t>
  </si>
  <si>
    <t xml:space="preserve">  DATA PROCESSING SOFTWARE</t>
  </si>
  <si>
    <t>TOTAL GENERAL PLANT - PBL</t>
  </si>
  <si>
    <t>CONSERVATION</t>
  </si>
  <si>
    <t xml:space="preserve">   LEGACY</t>
  </si>
  <si>
    <t xml:space="preserve">   CONAUG</t>
  </si>
  <si>
    <t xml:space="preserve">   CONSERVATION ACQUISITION</t>
  </si>
  <si>
    <t>TOTAL CONSERVATION</t>
  </si>
  <si>
    <t>Generation Revenue Requirements by Resource Pool</t>
  </si>
  <si>
    <t>PROGRAM CASE</t>
  </si>
  <si>
    <t>FY:</t>
  </si>
  <si>
    <t>INVEST</t>
  </si>
  <si>
    <t>NET</t>
  </si>
  <si>
    <t>OPER</t>
  </si>
  <si>
    <t>TOTAL</t>
  </si>
  <si>
    <t>BASE</t>
  </si>
  <si>
    <t>REVS</t>
  </si>
  <si>
    <t>EXP</t>
  </si>
  <si>
    <t>(B+C+D)</t>
  </si>
  <si>
    <t xml:space="preserve"> 1. GENERATION COSTS</t>
  </si>
  <si>
    <t xml:space="preserve"> 2.  FEDERAL BASE SYSTEM</t>
  </si>
  <si>
    <t>Hydro</t>
  </si>
  <si>
    <t>All Other</t>
  </si>
  <si>
    <t>Generation</t>
  </si>
  <si>
    <t xml:space="preserve"> 3.    HYDRO</t>
  </si>
  <si>
    <t>Equivalent Annual Costs</t>
  </si>
  <si>
    <t xml:space="preserve"> 4.    FISH AND WILDLIFE</t>
  </si>
  <si>
    <t>Percent</t>
  </si>
  <si>
    <t xml:space="preserve"> 5.    TROJAN</t>
  </si>
  <si>
    <t xml:space="preserve"> 6.    WNP #1</t>
  </si>
  <si>
    <t>Net Interest Expense</t>
  </si>
  <si>
    <t xml:space="preserve"> 7.    CGS</t>
  </si>
  <si>
    <t xml:space="preserve"> 8.    WNP #3</t>
  </si>
  <si>
    <t>Planned Net Revenues</t>
  </si>
  <si>
    <t xml:space="preserve"> 9.    SYSTEM AUGMENTATION</t>
  </si>
  <si>
    <t>10.   BALANCING POWER PURCHASES</t>
  </si>
  <si>
    <t>11. TOTAL FEDERAL BASE SYSTEM</t>
  </si>
  <si>
    <t>12.  NEW RESOURCES</t>
  </si>
  <si>
    <t>13.    IDAHO FALLS</t>
  </si>
  <si>
    <t>14.    COWLITZ FALLS</t>
  </si>
  <si>
    <t>15.    OTHER LONG-TERM POWER PURCHASES</t>
  </si>
  <si>
    <t>16.  TOTAL NEW RESOURCES</t>
  </si>
  <si>
    <t xml:space="preserve">17.  RESIDENTIAL EXCHANGE </t>
  </si>
  <si>
    <t>18.  CONSERVATION</t>
  </si>
  <si>
    <t>19.  OTHER GENERATION COSTS</t>
  </si>
  <si>
    <t>20.    BPA PROGRAMS</t>
  </si>
  <si>
    <t>21.    WNP #3 PLANT</t>
  </si>
  <si>
    <t>22.  TOTAL OTHER GENERATION COSTS</t>
  </si>
  <si>
    <t>23. TOTAL GENERATION COSTS</t>
  </si>
  <si>
    <t>24. TRANSMISSION COSTS</t>
  </si>
  <si>
    <t>25.    TBL TRANSMISSION/ANCILLARY SERVICES</t>
  </si>
  <si>
    <t>26.    3RD PARTY TRANS/ANCILLARY SERVICES</t>
  </si>
  <si>
    <t>27.    GENERAL TRANSFER AGREEMENTS</t>
  </si>
  <si>
    <t>28. TOTAL TRANSMISSION COSTS</t>
  </si>
  <si>
    <t>29. TOTAL PBL REVENUE REQUIREMENT</t>
  </si>
  <si>
    <t>FUNCTIONALIZATION OF COE and USBR O&amp;M</t>
  </si>
  <si>
    <t>Average</t>
  </si>
  <si>
    <t>Investment</t>
  </si>
  <si>
    <t>O&amp;M</t>
  </si>
  <si>
    <t>BOISE</t>
  </si>
  <si>
    <t>GENERATION</t>
  </si>
  <si>
    <t>COLUMBIA BASIN</t>
  </si>
  <si>
    <t>TRANSMISSION</t>
  </si>
  <si>
    <t>GREEN SPRINGS</t>
  </si>
  <si>
    <t>HUNGRY HORSE</t>
  </si>
  <si>
    <t>MINIDOKA-PALISADES</t>
  </si>
  <si>
    <t>YAKIMA</t>
  </si>
  <si>
    <t>GENERATION 1/</t>
  </si>
  <si>
    <t>TOTAL USBR</t>
  </si>
  <si>
    <t>INCLUDES COLVILLE PAYMENT OF</t>
  </si>
  <si>
    <t>BONNEVILLE</t>
  </si>
  <si>
    <t>OTHER PROJECTS</t>
  </si>
  <si>
    <t>CORPS - GENERATION ONLY</t>
  </si>
  <si>
    <t>USF&amp;W (LSRCP)</t>
  </si>
  <si>
    <t>TOTAL CORPS</t>
  </si>
  <si>
    <t>INPUT:</t>
  </si>
  <si>
    <t>TOTAL CORPS O&amp;M (w/out LSRCP)</t>
  </si>
  <si>
    <t>Columbia River Fish Bypass O&amp;M</t>
  </si>
  <si>
    <t>US F&amp;W</t>
  </si>
  <si>
    <t>2/</t>
  </si>
  <si>
    <t>3/</t>
  </si>
  <si>
    <t>($thousands)</t>
  </si>
  <si>
    <t>John Day</t>
  </si>
  <si>
    <t>The Dalles</t>
  </si>
  <si>
    <t>Determination of Synchronous Condensor Annual Costs</t>
  </si>
  <si>
    <t>Synchronous Condensers</t>
  </si>
  <si>
    <t>Net Plant Calculation</t>
  </si>
  <si>
    <t>Synchronous Condensers Avg Net Plant</t>
  </si>
  <si>
    <t>plant-</t>
  </si>
  <si>
    <t>Total Corps/Bureau Average Net Plant</t>
  </si>
  <si>
    <t>in-service</t>
  </si>
  <si>
    <t>Annual</t>
  </si>
  <si>
    <t>Accumulated Depreciation</t>
  </si>
  <si>
    <t>percent</t>
  </si>
  <si>
    <t>Life</t>
  </si>
  <si>
    <t>Project</t>
  </si>
  <si>
    <t>Deprec</t>
  </si>
  <si>
    <t>Corps/Bureau Net Interest</t>
  </si>
  <si>
    <t>Sync Cond Net Interest</t>
  </si>
  <si>
    <t>Corps/Bureau MRNR</t>
  </si>
  <si>
    <t>Sync Cond MRNR</t>
  </si>
  <si>
    <t>Sync Cond Depreciation</t>
  </si>
  <si>
    <t>net plant investment</t>
  </si>
  <si>
    <t>Total Sync Cond Costs</t>
  </si>
  <si>
    <t>Table 9.7</t>
  </si>
  <si>
    <t>COE/BOR Transmission Costs</t>
  </si>
  <si>
    <t>Utility</t>
  </si>
  <si>
    <t>Network</t>
  </si>
  <si>
    <t>Delivery</t>
  </si>
  <si>
    <t>MRNR</t>
  </si>
  <si>
    <t>Total COE/BOR Trans Costs</t>
  </si>
  <si>
    <t>Average Net Transmission Plant</t>
  </si>
  <si>
    <t>Total Hydro Projects Average Net Plant</t>
  </si>
  <si>
    <t>percent Transmission</t>
  </si>
  <si>
    <t>Revenue Requirement MRNR</t>
  </si>
  <si>
    <t>Revenue Requirement Total PNR</t>
  </si>
  <si>
    <t>percent MRNR</t>
  </si>
  <si>
    <t>Revenue Requirement PNRR</t>
  </si>
  <si>
    <t>percent PNRR</t>
  </si>
  <si>
    <t>GROSS</t>
  </si>
  <si>
    <t>DEPREC</t>
  </si>
  <si>
    <t>AVG NET</t>
  </si>
  <si>
    <t>TOTAL TRANSMISSION</t>
  </si>
  <si>
    <t>Fish &amp; Wildlife</t>
  </si>
  <si>
    <t>GENERATION REVISED REVENUE TEST</t>
  </si>
  <si>
    <t>REVENUES FROM PROPOSED RATES</t>
  </si>
  <si>
    <t>OPERATING GENERATION</t>
  </si>
  <si>
    <t>OPERATING GENERATION SETTLEMENTS</t>
  </si>
  <si>
    <t>F&amp;W/USF&amp;W/PLANNING COUNCIL</t>
  </si>
  <si>
    <t>BPA INTERNAL SUPPORT</t>
  </si>
  <si>
    <t>NET REVENUES</t>
  </si>
  <si>
    <t>NET REVENUES for Interest Income Calculation</t>
  </si>
  <si>
    <t>NON-CASH REVENUES</t>
  </si>
  <si>
    <t>CASH FLOW ADJUSTMENT (RESERVE)/APPLICATION</t>
  </si>
  <si>
    <t>CASH USED FOR INVESTMENT ACTIVITIES</t>
  </si>
  <si>
    <t>FEDERAL UTILITY PLANT (INCLUDING AFUDC)</t>
  </si>
  <si>
    <t>CASH FROM (AND USED FOR) FINANCING ACTIVITIES</t>
  </si>
  <si>
    <t>INCREASE IN TREASURY DEBT</t>
  </si>
  <si>
    <t>CUSTOMER PROCEEDS</t>
  </si>
  <si>
    <t>REPAYMENT OF TREASURY DEBT</t>
  </si>
  <si>
    <t>CASH USED FOR FINANCING ACTIVITIES</t>
  </si>
  <si>
    <t>Change in Cash for Interest Income Calculation</t>
  </si>
  <si>
    <t>GENERATION CURRENT REVENUE TEST</t>
  </si>
  <si>
    <t>REVENUES FROM CURRENT RATES</t>
  </si>
  <si>
    <t>Renewables Portion</t>
  </si>
  <si>
    <t>Conservation Portion</t>
  </si>
  <si>
    <t>Interest Income from Projected Cash Balances</t>
  </si>
  <si>
    <t>Generation Revised Revenue Test</t>
  </si>
  <si>
    <t>Repayment</t>
  </si>
  <si>
    <t>Period</t>
  </si>
  <si>
    <t>Annual Cash Surplus/(Deficit)</t>
  </si>
  <si>
    <t>SOY Cash Balance 1/</t>
  </si>
  <si>
    <t>EOY Cash Balance</t>
  </si>
  <si>
    <t>Interest Income Rate</t>
  </si>
  <si>
    <t>Interest on BPA Fund/Investments</t>
  </si>
  <si>
    <t>Repayment Study Interest Income</t>
  </si>
  <si>
    <t>Annual Interest Income</t>
  </si>
  <si>
    <t>credit for end of prior year</t>
  </si>
  <si>
    <t>in-year cash flow (rep study)</t>
  </si>
  <si>
    <t>total credit for first interation</t>
  </si>
  <si>
    <t>Prepayment Program Proceeds</t>
  </si>
  <si>
    <t>Generation Current Revenue Test</t>
  </si>
  <si>
    <t>Transmission Acquisition</t>
  </si>
  <si>
    <t>Secondary Market Power Purchases</t>
  </si>
  <si>
    <t>Augmentation Purchases</t>
  </si>
  <si>
    <t>Revenues at Proposed Rates</t>
  </si>
  <si>
    <t>Revenues at Current Rates</t>
  </si>
  <si>
    <t>Bonds</t>
  </si>
  <si>
    <t>Appropriations</t>
  </si>
  <si>
    <t>EE 3rd Party</t>
  </si>
  <si>
    <t>Principal</t>
  </si>
  <si>
    <t>Interest Credit</t>
  </si>
  <si>
    <t>Capitalized Bond Discounts</t>
  </si>
  <si>
    <t>Allocation of Total O&amp;M to Projects for COE and USBR based on actual data</t>
  </si>
  <si>
    <t>AVERAGE</t>
  </si>
  <si>
    <t xml:space="preserve">MINIDOKA </t>
  </si>
  <si>
    <t>Total USBR</t>
  </si>
  <si>
    <t>check</t>
  </si>
  <si>
    <t>ALBENI FALLS</t>
  </si>
  <si>
    <t>CHIEF JOSEPH</t>
  </si>
  <si>
    <t>COUGAR</t>
  </si>
  <si>
    <t>DETROIT</t>
  </si>
  <si>
    <t>DWORSHAK</t>
  </si>
  <si>
    <t>GREEN-PETER</t>
  </si>
  <si>
    <t>HILLS CREEK</t>
  </si>
  <si>
    <t>ICE HARBOR</t>
  </si>
  <si>
    <t>JOHN DAY</t>
  </si>
  <si>
    <t>LIBBY</t>
  </si>
  <si>
    <t>LITTLE GOOSE</t>
  </si>
  <si>
    <t>LOOKOUT POINT</t>
  </si>
  <si>
    <t>LOST CREEK</t>
  </si>
  <si>
    <t>LOWER GRANITE</t>
  </si>
  <si>
    <t>LOWER MONUMENTAL</t>
  </si>
  <si>
    <t>MCNARY</t>
  </si>
  <si>
    <t>THE DALLES</t>
  </si>
  <si>
    <t>Prepay Credit</t>
  </si>
  <si>
    <t>Program/Project</t>
  </si>
  <si>
    <t>COLUMBIA GEN STATION L2</t>
  </si>
  <si>
    <t>BUREAU OF RECLAMATION L2</t>
  </si>
  <si>
    <t>CORPS OF ENGINEERS L2</t>
  </si>
  <si>
    <t>OPERATING GEN SETTLEMENT</t>
  </si>
  <si>
    <t>DR &amp; SMART GRID</t>
  </si>
  <si>
    <t>POST-RETIREMENT BENEFITS</t>
  </si>
  <si>
    <t>AGENCY SERVICES G&amp;A</t>
  </si>
  <si>
    <t>Energy Efficiency Percentage of Total Power Staffing</t>
  </si>
  <si>
    <t>IPR1521</t>
  </si>
  <si>
    <t>Percentage of Total Power Staffing</t>
  </si>
  <si>
    <t>Summary of PSI Department Expense</t>
  </si>
  <si>
    <t>BPA Programs</t>
  </si>
  <si>
    <t>*</t>
  </si>
  <si>
    <t>Total Interest Credit (ln 8 + 10 + 17)</t>
  </si>
  <si>
    <t>TVA Rev Offset</t>
  </si>
  <si>
    <t>CGS Total</t>
  </si>
  <si>
    <t>CGS Expenses</t>
  </si>
  <si>
    <t>CGS Adjustments</t>
  </si>
  <si>
    <t>DR &amp; Smart Grid</t>
  </si>
  <si>
    <t>NOTES</t>
  </si>
  <si>
    <t>CASH FROM INVESTMENT ACTIVITIES</t>
  </si>
  <si>
    <t>Calculate wtd average for appropriatoins &amp; direct funded Corps/Bureau investments</t>
  </si>
  <si>
    <t>Source from Repayment study Interest Calculation pg, use rates for historical investement for relevant years.</t>
  </si>
  <si>
    <t>Debt Service Revenue Requirement</t>
  </si>
  <si>
    <t>Non-Federal Principal Payments</t>
  </si>
  <si>
    <t>Non-Federal Premium / Discounts (Net)</t>
  </si>
  <si>
    <t>Non-Federal  Principal Offsets</t>
  </si>
  <si>
    <t>Non-Federal Interest Payments</t>
  </si>
  <si>
    <t>Federal Principal Payments</t>
  </si>
  <si>
    <t>Federal Premium / Discounts (Net)</t>
  </si>
  <si>
    <t>Federal Interest Payments</t>
  </si>
  <si>
    <t>Irrigation Payments</t>
  </si>
  <si>
    <t>Revenue Surplus / (Shortfall)</t>
  </si>
  <si>
    <t>Total:</t>
  </si>
  <si>
    <t>Repayment Study</t>
  </si>
  <si>
    <t>Total NonFederal DS</t>
  </si>
  <si>
    <t>Fed Interest</t>
  </si>
  <si>
    <t>TABLE 3-10</t>
  </si>
  <si>
    <t>FEDERAL COLUMBIA RIVER POWER SYSTEM</t>
  </si>
  <si>
    <t>GENERATION REVENUES FROM PROPOSED RATES</t>
  </si>
  <si>
    <t>REVENUE REQUIREMENT AND REPAYMENT STUDY RESULTS THROUGH THE REPAYMENT PERIOD</t>
  </si>
  <si>
    <t>($000)</t>
  </si>
  <si>
    <t>PURCHASE</t>
  </si>
  <si>
    <t>AND</t>
  </si>
  <si>
    <t>FUNDS</t>
  </si>
  <si>
    <t>YEAR</t>
  </si>
  <si>
    <t>OPERATION &amp;</t>
  </si>
  <si>
    <t>EXCHANGE</t>
  </si>
  <si>
    <t>NONCASH</t>
  </si>
  <si>
    <t>FROM</t>
  </si>
  <si>
    <t>IRRIGATION</t>
  </si>
  <si>
    <t>COMBINED</t>
  </si>
  <si>
    <t>REVENUES</t>
  </si>
  <si>
    <t>MAINTENANCE</t>
  </si>
  <si>
    <t>POWER</t>
  </si>
  <si>
    <t>EXPENSES 1/</t>
  </si>
  <si>
    <t>(REV REQ STUDY</t>
  </si>
  <si>
    <t>POSITION</t>
  </si>
  <si>
    <t>CUMULATIVE</t>
  </si>
  <si>
    <t>(STATEMENT A)</t>
  </si>
  <si>
    <t>(STATEMENT E)</t>
  </si>
  <si>
    <t>(STATEMENT D)</t>
  </si>
  <si>
    <t>(F=A-B-C-D-E)</t>
  </si>
  <si>
    <t>(COLUMN D)</t>
  </si>
  <si>
    <t>(H=F+G)</t>
  </si>
  <si>
    <t>DOCUMENTATION)</t>
  </si>
  <si>
    <t>(STATEMENT C)</t>
  </si>
  <si>
    <t>(K=H-I-J)</t>
  </si>
  <si>
    <t>1977</t>
  </si>
  <si>
    <t>1978</t>
  </si>
  <si>
    <t>1979</t>
  </si>
  <si>
    <t>1980</t>
  </si>
  <si>
    <t>1981</t>
  </si>
  <si>
    <t>1982</t>
  </si>
  <si>
    <t>1983</t>
  </si>
  <si>
    <t>1984</t>
  </si>
  <si>
    <t>1985</t>
  </si>
  <si>
    <t>1986</t>
  </si>
  <si>
    <t>1987</t>
  </si>
  <si>
    <t>1988</t>
  </si>
  <si>
    <t>1989</t>
  </si>
  <si>
    <t>1990</t>
  </si>
  <si>
    <t>1991</t>
  </si>
  <si>
    <t>1992</t>
  </si>
  <si>
    <t>1993</t>
  </si>
  <si>
    <t>COST EVALUATION</t>
  </si>
  <si>
    <t>PERIOD</t>
  </si>
  <si>
    <t>RATE APPROVAL</t>
  </si>
  <si>
    <t>REPAYMENT</t>
  </si>
  <si>
    <t>TOTALS</t>
  </si>
  <si>
    <t>Rep Pd INT CREDIT w/out rep study amount:</t>
  </si>
  <si>
    <t>Includes normalization for CGS refueling, which affects Augmentation</t>
  </si>
  <si>
    <t xml:space="preserve">(takes total P&amp;E $, subtracts non-Fed debt service from last year of the </t>
  </si>
  <si>
    <t>Captialization Adj and</t>
  </si>
  <si>
    <t>rate period and adjusts for the difference between last year CGS</t>
  </si>
  <si>
    <t>Non-Federal Interest</t>
  </si>
  <si>
    <t>O&amp;M/Augmentation and the normalized version of CGS/Aug.)</t>
  </si>
  <si>
    <t>Non Fed (Prepay)</t>
  </si>
  <si>
    <t>Ave</t>
  </si>
  <si>
    <t>Normalization</t>
  </si>
  <si>
    <t>TABLE E-1</t>
  </si>
  <si>
    <t>ACTUAL O&amp;M AND PURCHASE AND EXCHANGE POWER</t>
  </si>
  <si>
    <t>Residential Exchange Program/IOU Settlement Benefits</t>
  </si>
  <si>
    <t>Purchase Power</t>
  </si>
  <si>
    <t>Trojan</t>
  </si>
  <si>
    <t>Columbia Generating Station</t>
  </si>
  <si>
    <t>Short-Term Power Purchases</t>
  </si>
  <si>
    <t>Purchases for Service at Tier 2 Rates</t>
  </si>
  <si>
    <t>Augmentation Power Purchases</t>
  </si>
  <si>
    <t>Long-Term Power Purchases</t>
  </si>
  <si>
    <t>DSI Monetized Power Sales</t>
  </si>
  <si>
    <t>Bookout Adjustment to Power Purchases</t>
  </si>
  <si>
    <t>Total Purchase Power</t>
  </si>
  <si>
    <t>Total Purchase &amp; Exchange Power</t>
  </si>
  <si>
    <t>Operation &amp; Maintenance Expenses</t>
  </si>
  <si>
    <t>Additional Post-retirement Contribution</t>
  </si>
  <si>
    <t>Power Marketing &amp; Business Support</t>
  </si>
  <si>
    <t>PS Systems Operations</t>
  </si>
  <si>
    <t>Power Scheduling</t>
  </si>
  <si>
    <t xml:space="preserve">Generation Conservation </t>
  </si>
  <si>
    <t>Fish &amp; Wildlife Program</t>
  </si>
  <si>
    <t>Transmission Acquisition &amp; Ancillary Services</t>
  </si>
  <si>
    <t>General &amp; Administrative/Shared Services</t>
  </si>
  <si>
    <t>Colville Settlement Payment</t>
  </si>
  <si>
    <t>Bad Debt Expense</t>
  </si>
  <si>
    <t>Other Income, Expenses, Adjustments</t>
  </si>
  <si>
    <t>Total O&amp;M</t>
  </si>
  <si>
    <t>Total O&amp;M and Purchase &amp; Exchange</t>
  </si>
  <si>
    <t>Rate Test Period</t>
  </si>
  <si>
    <t>Items not forecasted for rate development</t>
  </si>
  <si>
    <t>Adjustment</t>
  </si>
  <si>
    <t>Historical Period</t>
  </si>
  <si>
    <t>Forecast</t>
  </si>
  <si>
    <t>of Capitalized</t>
  </si>
  <si>
    <t>Credit</t>
  </si>
  <si>
    <t>Bond Premiums</t>
  </si>
  <si>
    <t>Net</t>
  </si>
  <si>
    <t>Fiscal</t>
  </si>
  <si>
    <t>Gross</t>
  </si>
  <si>
    <t>Bond</t>
  </si>
  <si>
    <t>(Repayment</t>
  </si>
  <si>
    <t>Subtotal</t>
  </si>
  <si>
    <t>&amp; Capitalization</t>
  </si>
  <si>
    <t>Study)</t>
  </si>
  <si>
    <t>(B+C+D+E)</t>
  </si>
  <si>
    <t>Expense</t>
  </si>
  <si>
    <t>Historical</t>
  </si>
  <si>
    <t>Cost Evaluation Period</t>
  </si>
  <si>
    <t>Repayment Period</t>
  </si>
  <si>
    <t>Discounts</t>
  </si>
  <si>
    <t>Premiums/</t>
  </si>
  <si>
    <t>Hedging &amp; Mitigation</t>
  </si>
  <si>
    <t>Transmission Acquisition (sys oblig)</t>
  </si>
  <si>
    <t>Klondike III (Tier 1 augmentation)</t>
  </si>
  <si>
    <t>Tier 2</t>
  </si>
  <si>
    <t>Reserves for Risk</t>
  </si>
  <si>
    <t>Adjustments</t>
  </si>
  <si>
    <t>Minimum required net revenues are added to ensure suffcient cash flow is available</t>
  </si>
  <si>
    <t>to repay the federal investment.</t>
  </si>
  <si>
    <t>Generation Detail of Net Interest Expense</t>
  </si>
  <si>
    <t>Interest on</t>
  </si>
  <si>
    <t>NON-CASH EXPENSES</t>
  </si>
  <si>
    <t>REPAYMENT OF NON-FEDERAL OBLIGATIONS</t>
  </si>
  <si>
    <t>Non-Cash Expenses</t>
  </si>
  <si>
    <t>CONSERVATION INFRASTRUCTURE</t>
  </si>
  <si>
    <t>ENERGY EFFICIENCY INITIATIVE</t>
  </si>
  <si>
    <t>BPA Managed EE</t>
  </si>
  <si>
    <t>CORPORATE G&amp;A</t>
  </si>
  <si>
    <t>F&amp;W CORPORATE SUPPORT - G&amp;A</t>
  </si>
  <si>
    <t>Other Income &amp; Adjustment</t>
  </si>
  <si>
    <t>Amortization - Fish &amp; Wildlife</t>
  </si>
  <si>
    <t>Power R&amp;D</t>
  </si>
  <si>
    <t>all other Power R&amp;D</t>
  </si>
  <si>
    <t>Reserves not for Risk</t>
  </si>
  <si>
    <t>Generation Integration</t>
  </si>
  <si>
    <t>Residential Exchange net of PSE costs</t>
  </si>
  <si>
    <t>Res Ex</t>
  </si>
  <si>
    <t>Staffing costs</t>
  </si>
  <si>
    <t/>
  </si>
  <si>
    <t xml:space="preserve">FROM </t>
  </si>
  <si>
    <t>See note on Statement of Cash Flows</t>
  </si>
  <si>
    <t xml:space="preserve">   PURCH&amp;EXCH ANNUAL COSTS:</t>
  </si>
  <si>
    <t>PNRR</t>
  </si>
  <si>
    <t>Allocation factor for MRNR &amp; PNRR</t>
  </si>
  <si>
    <t>PURCH&amp;EXCH ANNUAL COSTS:</t>
  </si>
  <si>
    <t>Table D-2</t>
  </si>
  <si>
    <t>Repayment Study =</t>
  </si>
  <si>
    <t>CGS (incl fuel)</t>
  </si>
  <si>
    <t>Federal Projects Depreciation Summary</t>
  </si>
  <si>
    <t>BPA (PBL + CORP GP)</t>
  </si>
  <si>
    <t>Corps  1/ 2/</t>
  </si>
  <si>
    <t>Bureau</t>
  </si>
  <si>
    <t xml:space="preserve">   Total Depreciation </t>
  </si>
  <si>
    <t>Amortization of Legacy Conservation</t>
  </si>
  <si>
    <t>Amortization of Conservation Acquisitions (5yr)</t>
  </si>
  <si>
    <t>Amortization of Conservation Acquisitions (12yr)</t>
  </si>
  <si>
    <t>Amortization of CRFM Intangible Investment</t>
  </si>
  <si>
    <t>Amortization of Fish &amp; Wildlife</t>
  </si>
  <si>
    <t xml:space="preserve">   Total Amortization</t>
  </si>
  <si>
    <t>Total Federal Projects Depreciation</t>
  </si>
  <si>
    <t>Excludes depreciation from investments</t>
  </si>
  <si>
    <t>paid for by BPA-TS</t>
  </si>
  <si>
    <t xml:space="preserve">Includes US Fish &amp; Wildlife </t>
  </si>
  <si>
    <t>SHIFT STUDY IF NEEDED</t>
  </si>
  <si>
    <t>BASE STUDY -- Rate Period</t>
  </si>
  <si>
    <t>Calculated</t>
  </si>
  <si>
    <t>Deprec-</t>
  </si>
  <si>
    <t>Amort</t>
  </si>
  <si>
    <t>Total Reserves for Composite Cost Pool</t>
  </si>
  <si>
    <t>Composite Pool interest credit
(Line 1 X Line 2)</t>
  </si>
  <si>
    <t>Non-Slice Pool interest credit
(Line 4 - Line 3)</t>
  </si>
  <si>
    <t>CWIP</t>
  </si>
  <si>
    <t>Direct Funding (Prepay)</t>
  </si>
  <si>
    <t>Total Direct Funding</t>
  </si>
  <si>
    <t>Long Term Study</t>
  </si>
  <si>
    <t>`</t>
  </si>
  <si>
    <t xml:space="preserve">Other Income &amp; Expense (composite) </t>
  </si>
  <si>
    <t>Amortization -- CGS</t>
  </si>
  <si>
    <t>Amortization -- N. Wasco</t>
  </si>
  <si>
    <t>Amortization -- Cowlitz Falls</t>
  </si>
  <si>
    <t>Non Federal Interest (CGS)</t>
  </si>
  <si>
    <t>Non Federal Interest (N Wasco)</t>
  </si>
  <si>
    <t>Non Federal Interest (Lewis County)</t>
  </si>
  <si>
    <t>Repayment of NF Obligations (CGS)</t>
  </si>
  <si>
    <t>Repayment of NF Obligations (N Wasco)</t>
  </si>
  <si>
    <t>Repayment of NF Obligations (Cowlitz Falls)</t>
  </si>
  <si>
    <t>Federal plant additions</t>
  </si>
  <si>
    <t>Nonfederal plant additions</t>
  </si>
  <si>
    <t>Annual federal depreciation</t>
  </si>
  <si>
    <t>Federal debt additions</t>
  </si>
  <si>
    <t>Actuals</t>
  </si>
  <si>
    <t>ASSETS</t>
  </si>
  <si>
    <t>DEBT</t>
  </si>
  <si>
    <t>Starting federal debt</t>
  </si>
  <si>
    <t>total borrowing</t>
  </si>
  <si>
    <t>Total  (net)</t>
  </si>
  <si>
    <t>EN bond repayment</t>
  </si>
  <si>
    <t>EN LOC repayment</t>
  </si>
  <si>
    <t>Total Assets</t>
  </si>
  <si>
    <t>N. Wasco repayment</t>
  </si>
  <si>
    <t>Cowlitz Falls  repayment</t>
  </si>
  <si>
    <t>Starting nonfederal debt</t>
  </si>
  <si>
    <t>Treasury bond repayment</t>
  </si>
  <si>
    <t>Appropriations repayment</t>
  </si>
  <si>
    <t>Annual nonfed amortization</t>
  </si>
  <si>
    <t>Prior to FY 2020, nonfederal amortization matched the repayment of debt.  Starting in FY 2020, nonfederal amortization is calculated on a straight-line basis.</t>
  </si>
  <si>
    <t>Ending federal debt</t>
  </si>
  <si>
    <t>Ending nonfederal debt</t>
  </si>
  <si>
    <t>Ending accumulated fed. depreciation</t>
  </si>
  <si>
    <t>Starting accumulated fed. depreciation</t>
  </si>
  <si>
    <t>Ending accumulated nonfederal amort.</t>
  </si>
  <si>
    <t>Prepay principal repayment</t>
  </si>
  <si>
    <t>**</t>
  </si>
  <si>
    <t>Actual ending nonfederal asset value is net of amortization.</t>
  </si>
  <si>
    <t>Cummulative sale</t>
  </si>
  <si>
    <t>total spending on plant</t>
  </si>
  <si>
    <t>CRFM plant</t>
  </si>
  <si>
    <t>Sale of nonfederal assets (fuel)</t>
  </si>
  <si>
    <t>CASH FREE UP</t>
  </si>
  <si>
    <t>Cummulative depreciation</t>
  </si>
  <si>
    <t>Non Federal Interest (WNP 3)</t>
  </si>
  <si>
    <t>Non Federal Interest (WNP 1)</t>
  </si>
  <si>
    <t>Repayment of NF Obligations (WNP 1)</t>
  </si>
  <si>
    <t>Repayment of NF Obligations (WNP 3)</t>
  </si>
  <si>
    <t>Amortization -- WNP1</t>
  </si>
  <si>
    <t>Amortization -- WNP3</t>
  </si>
  <si>
    <t>Starting gross federal assets</t>
  </si>
  <si>
    <t>Ending gross federal assets</t>
  </si>
  <si>
    <t>Starting gross nonfederal assets</t>
  </si>
  <si>
    <t>Debt to Asset Ratio  (Debt/Asset)</t>
  </si>
  <si>
    <t>Total Debt</t>
  </si>
  <si>
    <t>Premiums/Discounts</t>
  </si>
  <si>
    <t>BOND PREMIUMS/DISCOUNTS</t>
  </si>
  <si>
    <t>Amortization -- WNP 1</t>
  </si>
  <si>
    <t>Amortization -- WNP 3</t>
  </si>
  <si>
    <t>Cash Free-up (DSR)</t>
  </si>
  <si>
    <t>Repayment of NF Obligations (LOC)</t>
  </si>
  <si>
    <t>PREMIUMS/DISCOUNTS</t>
  </si>
  <si>
    <t>UN-GAPPED FOR RATIO CALCULATIONS</t>
  </si>
  <si>
    <t>CGS Line of Credit</t>
  </si>
  <si>
    <t>STUDY 3043, 2021 STUDY</t>
  </si>
  <si>
    <t>from SUMMARY OF REPAYMENT worksheet of repayment results</t>
  </si>
  <si>
    <t>Non-Federal</t>
  </si>
  <si>
    <t>FEDERAL</t>
  </si>
  <si>
    <t>NON-FEDERAL</t>
  </si>
  <si>
    <t>Reductions to EN Principal</t>
  </si>
  <si>
    <t>Reductions to EN Interest</t>
  </si>
  <si>
    <t>Sources of Cash (DSR) 
for MRNR calc</t>
  </si>
  <si>
    <t>CGS Premiums refinanced</t>
  </si>
  <si>
    <t>Calculate wtd average for general plant and tech</t>
  </si>
  <si>
    <t>OTHER EXPENSE AND (INCOME)</t>
  </si>
  <si>
    <t>INTEREST INCOME ON DECOMMISSIONING TRUST</t>
  </si>
  <si>
    <t>CASH CONTRIBUTION TO DECOMMISSIONING TRUST</t>
  </si>
  <si>
    <t>NON-CASH EXPENSES (INTEREST INCOME &amp; GAINS/LOSSES)</t>
  </si>
  <si>
    <t>Accretion -- ARO liability</t>
  </si>
  <si>
    <t>Accretion -- CGS Decomm Trust liability</t>
  </si>
  <si>
    <t>Cash Contribution to CGS Decomm Trust</t>
  </si>
  <si>
    <t>Interest Income on Decommissioning Trust</t>
  </si>
  <si>
    <t>Other Expense and (Income) (Gains/Losses on Decomm Trust)</t>
  </si>
  <si>
    <t>Check against study</t>
  </si>
  <si>
    <t>Adjustments to NFDS</t>
  </si>
  <si>
    <t>TOTAL OTHER EXPENSE AND (INCOME)</t>
  </si>
  <si>
    <t>=+'Revised Revenue Test'!E95</t>
  </si>
  <si>
    <t>=+'Revised Revenue Test'!F95</t>
  </si>
  <si>
    <t>Debt 1/</t>
  </si>
  <si>
    <t>na</t>
  </si>
  <si>
    <t>Colville Settlement</t>
  </si>
  <si>
    <t>Spokane Settlement</t>
  </si>
  <si>
    <t>ACCRETION</t>
  </si>
  <si>
    <t>Total NonFed Amortization</t>
  </si>
  <si>
    <t>check w/ repayment study</t>
  </si>
  <si>
    <t>Total gross (w/o TVA revenues)</t>
  </si>
  <si>
    <t>Check against repayment study</t>
  </si>
  <si>
    <t>check against repayment</t>
  </si>
  <si>
    <t>Cash contribution to CGS Decom Fund</t>
  </si>
  <si>
    <t>Amortization -- CGS incl ARC amort</t>
  </si>
  <si>
    <t>0006448 - POWER GRID MOD EXISTING</t>
  </si>
  <si>
    <t>0006449 - POWER GRID MOD INCREMENTAL</t>
  </si>
  <si>
    <t>0006549 - POWER INTERNAL SUPPORT (A)</t>
  </si>
  <si>
    <t>0006550 - POWER INTERNAL SUPPORT (C)</t>
  </si>
  <si>
    <t>0006551 - POWER INTERNAL SUPPPORT (O)</t>
  </si>
  <si>
    <t>0006564 - SALES &amp; SUPPORT (C)</t>
  </si>
  <si>
    <t>0006565 - SALES &amp; SUPPORT (O)</t>
  </si>
  <si>
    <t>0006581 - CONSERVATION SUPPORT COMM</t>
  </si>
  <si>
    <t>0006522 - COMMRCIAL ACT ENTRPRSE SVCS</t>
  </si>
  <si>
    <t>0006526 - ASSET MGMT ENTERPRISE SVCS</t>
  </si>
  <si>
    <t>0006531 - OPERATIONS ENTERPRISE SVCS</t>
  </si>
  <si>
    <t>0006033 - UNDISTRIBUTED REDUCTION</t>
  </si>
  <si>
    <t>Grid Mod</t>
  </si>
  <si>
    <t>Power Internal Support</t>
  </si>
  <si>
    <t>CGS new money</t>
  </si>
  <si>
    <t>OTHER INCOME (NET)</t>
  </si>
  <si>
    <t>Other Income (Net)           i.e.Gains/Losses on Decomm Trust</t>
  </si>
  <si>
    <t>Amortization of Refinancing Premiums/Discounts</t>
  </si>
  <si>
    <t>Amortization of Refinancing Premiums/Discounts (MRNR - Reverse Sign)</t>
  </si>
  <si>
    <t>Retirements</t>
  </si>
  <si>
    <t>Amortization of Cost of Issuance</t>
  </si>
  <si>
    <t>Amortization of Cost of Issuance (MRNR-reverse sign)</t>
  </si>
  <si>
    <t>AMORTIZATION OF COST OF ISSUANCE</t>
  </si>
  <si>
    <t>AMORTIZATION OF NON-FEDERAL  PREMIUMS/DISCOUNTS</t>
  </si>
  <si>
    <t>Deferred Borrowing</t>
  </si>
  <si>
    <t>FY 2023 Study</t>
  </si>
  <si>
    <t>CRFM studies</t>
  </si>
  <si>
    <t>PS Group -- Pwr Internal Support</t>
  </si>
  <si>
    <t>X 52% (PSRF share of total)</t>
  </si>
  <si>
    <t>X 30% (ResEx billing)</t>
  </si>
  <si>
    <t>+12% corp overhead</t>
  </si>
  <si>
    <t>Amortization of:</t>
  </si>
  <si>
    <t>Cost of Issuance</t>
  </si>
  <si>
    <t>Gains/losses on Extinguishment</t>
  </si>
  <si>
    <t>EIM Internal Support</t>
  </si>
  <si>
    <t>EIM EESC Charges (nonSLICE)</t>
  </si>
  <si>
    <t>EIM EESC Charges (COMPOSITE)</t>
  </si>
  <si>
    <t xml:space="preserve"> COLVILLE GENERATION SETTLEMENT</t>
  </si>
  <si>
    <t>SPOKANE GENERATION SETTLEMENT</t>
  </si>
  <si>
    <t>Other</t>
  </si>
  <si>
    <t>Income</t>
  </si>
  <si>
    <t>(Net)</t>
  </si>
  <si>
    <t>Spokand Settlement Payment</t>
  </si>
  <si>
    <t>In the repayment period, the effect of the CGS refueling cycle (occurs every 2 years) is normalized by averaging a refueling year and a non-refueling year  (2022 and 2023, repectively).  The normalization  reflects the higher costs for CGS of refueling and maintenance while plant is down plus power purchases made to compensate for the plant outage.  The total normalization is the sum  of the normalized amounts less the test year amounts for those items.</t>
  </si>
  <si>
    <t>&lt;&lt;includes CRFM studies</t>
  </si>
  <si>
    <t>Total w/ gross premiums</t>
  </si>
  <si>
    <t>Total w/o premiums</t>
  </si>
  <si>
    <t>New Debt</t>
  </si>
  <si>
    <t xml:space="preserve">OPERATION </t>
  </si>
  <si>
    <t>AMORTIZATION 2/</t>
  </si>
  <si>
    <t>PLANNED NET REVENUE, TOTAL (38+39)</t>
  </si>
  <si>
    <t>Capitalization Adj and</t>
  </si>
  <si>
    <t xml:space="preserve">Consists of depreciation plus other non-cash expenses and other adjustments and any accounting write-offs included in expenses.  Also removed revenue financing.  FY 2019 includes a one-time increase of $182 million to  rebalance financial reserves between the transmission and generation functions to correct for a misallocation error in the calculation of financial reserves attributed to the business units.  </t>
  </si>
  <si>
    <t xml:space="preserve">Prior to 2020, non-Federal debt was considered part of purchase and exchange power.  Starting in 2020, BPA is implementing new guidance on lease accounting. Non-Federal principal and interest will be treated like Federal debt.  </t>
  </si>
  <si>
    <t>Update link to most relevant depreciation/amortization/accretion forecasts</t>
  </si>
  <si>
    <t>Total COE*</t>
  </si>
  <si>
    <t>Total COE includes CRFM and NWD Coordination O&amp;M not otherwise assigned to specific projects.</t>
  </si>
  <si>
    <t>&lt;&lt;from Q2FY22 forecast, assumes RDC, adjusted for cash flow shift in BP22</t>
  </si>
  <si>
    <t>Approps 1 yr rate</t>
  </si>
  <si>
    <t>1/4 of rate for interest earnings rate</t>
  </si>
  <si>
    <t>&lt;&lt;from Q2FY22forecast</t>
  </si>
  <si>
    <t>CASH CONTRIBUTION TO DECOMMISSIONING TRUST FUNDS</t>
  </si>
  <si>
    <t>total from IPR expense file</t>
  </si>
  <si>
    <t>difference</t>
  </si>
  <si>
    <t>0006523 - ASSET MANAGEMENT</t>
  </si>
  <si>
    <t>0006528 - OPERATIONS</t>
  </si>
  <si>
    <t>0006530 - OPERATIONS IPR</t>
  </si>
  <si>
    <t>0001063 - CONSERVATION SUPPORT</t>
  </si>
  <si>
    <t>0001124 - OPERATIONS (SCHEDULING)</t>
  </si>
  <si>
    <r>
      <t>·</t>
    </r>
    <r>
      <rPr>
        <sz val="7"/>
        <color rgb="FF1F497D"/>
        <rFont val="Times New Roman"/>
        <family val="1"/>
      </rPr>
      <t xml:space="preserve">         </t>
    </r>
    <r>
      <rPr>
        <sz val="11"/>
        <color rgb="FF1F497D"/>
        <rFont val="Calibri"/>
        <family val="2"/>
      </rPr>
      <t>Hydro: $500,000</t>
    </r>
  </si>
  <si>
    <r>
      <t>·</t>
    </r>
    <r>
      <rPr>
        <sz val="7"/>
        <color rgb="FF1F497D"/>
        <rFont val="Times New Roman"/>
        <family val="1"/>
      </rPr>
      <t xml:space="preserve">         </t>
    </r>
    <r>
      <rPr>
        <sz val="11"/>
        <color rgb="FF1F497D"/>
        <rFont val="Calibri"/>
        <family val="2"/>
      </rPr>
      <t>Environment/ resilience: $350,000</t>
    </r>
  </si>
  <si>
    <r>
      <t>·</t>
    </r>
    <r>
      <rPr>
        <sz val="7"/>
        <color rgb="FF1F497D"/>
        <rFont val="Times New Roman"/>
        <family val="1"/>
      </rPr>
      <t xml:space="preserve">         </t>
    </r>
    <r>
      <rPr>
        <sz val="11"/>
        <color rgb="FF1F497D"/>
        <rFont val="Calibri"/>
        <family val="2"/>
      </rPr>
      <t>Renewables: $1,000,000</t>
    </r>
  </si>
  <si>
    <r>
      <t>·</t>
    </r>
    <r>
      <rPr>
        <sz val="7"/>
        <color rgb="FF1F497D"/>
        <rFont val="Times New Roman"/>
        <family val="1"/>
      </rPr>
      <t xml:space="preserve">         </t>
    </r>
    <r>
      <rPr>
        <sz val="11"/>
        <color rgb="FF1F497D"/>
        <rFont val="Calibri"/>
        <family val="2"/>
      </rPr>
      <t>Energy Efficiency: $650,000</t>
    </r>
  </si>
  <si>
    <t>SOURCES OF CASH -- CASH FROM OPERATIONS</t>
  </si>
  <si>
    <t>USES OF CASH -- CAPITAL FINANCING &amp; DEBT REPAYMENT</t>
  </si>
  <si>
    <t>REVENUE FINANCING   1/</t>
  </si>
  <si>
    <t>CALCULATION OF MINIMUM REQUIRED NET REVENUES</t>
  </si>
  <si>
    <t>Direct Funding 
(Treasury bonds)</t>
  </si>
  <si>
    <t>Amortization &amp; Accretion (MRNR - Reverse sign)</t>
  </si>
  <si>
    <t>MINIMUM REQUIRED NET REVENUE  (line 19 minus line 11)</t>
  </si>
  <si>
    <t>1/ Equals difference between Table 1B line 20 and the sum of Table 1B lines 23 and 25.</t>
  </si>
  <si>
    <t>TOTAL USES OF CASH</t>
  </si>
  <si>
    <t>TOTAL SOURCES OF CASH</t>
  </si>
  <si>
    <t>Ending gross nonfederal assets *</t>
  </si>
  <si>
    <t>Accumulated nonfed amortization **</t>
  </si>
  <si>
    <t>EN debt additions</t>
  </si>
  <si>
    <t>U.S. Fish &amp; Wildlife (Lwr Snake Comp Plan)</t>
  </si>
  <si>
    <t>Prior to 2020, these categories included debt service on non-Federal debt  The accounting treatment changed in FY 2020.   The interest on  non-Federal debt is captured in net interest expense, Statement D, Table 1.  Principal payments are treated as a use of cash comparable to Federal debt on the statement of cash flows.</t>
  </si>
  <si>
    <t>Summary of Repayment ($000s) (FY 2025)</t>
  </si>
  <si>
    <t xml:space="preserve">Interest </t>
  </si>
  <si>
    <t>Beginning in FY 2020, the accounting treatment of non-Federal debt changed.  The interest portion of what has previously been classified as non-Federal debt will appear in the calculation of net interest expense.  This column also includes the amortization of non-Federal bond premiums and cost of issuance.</t>
  </si>
  <si>
    <t xml:space="preserve">Consists of depreciation (column D) plus other non-cash expenses and other adjustments and any accounting write-offs included in expenses. FY 2019 includes a one-time increase of $182 million to  rebalance financial reserves between the transmission and generation functions to correct for a misallocation error in the calculation of financial reserves attributed to the business units.  </t>
  </si>
  <si>
    <t>FYs 2018 - 2075</t>
  </si>
  <si>
    <t>prepay interest, FY28 is last year</t>
  </si>
  <si>
    <t>Based on FY22 contracts</t>
  </si>
  <si>
    <t xml:space="preserve">Total Power IPR Operating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</si>
</sst>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
    <numFmt numFmtId="168" formatCode="0.0_)\%;\(0.0\)\%;0.0_)\%;@_)_%"/>
    <numFmt numFmtId="169" formatCode="#,##0.0_)_%;\(#,##0.0\)_%;0.0_)_%;@_)_%"/>
    <numFmt numFmtId="170" formatCode="0.000000"/>
    <numFmt numFmtId="171" formatCode="#,##0.0_);\(#,##0.0\);#,##0.0_);@_)"/>
    <numFmt numFmtId="172" formatCode="_(* #,##0.00000_);_(* \(#,##0.00000\);_(* &quot;-&quot;??_);_(@_)"/>
    <numFmt numFmtId="173" formatCode="&quot;$&quot;_(#,##0.00_);&quot;$&quot;\(#,##0.00\);&quot;$&quot;_(0.00_);@_)"/>
    <numFmt numFmtId="174" formatCode="#,##0.00_);\(#,##0.00\);0.00_);@_)"/>
    <numFmt numFmtId="175" formatCode="\€_(#,##0.00_);\€\(#,##0.00\);\€_(0.00_);@_)"/>
    <numFmt numFmtId="176" formatCode="#,##0.0_)\x;\(#,##0.0\)\x;0.0_)\x;@_)_x"/>
    <numFmt numFmtId="177" formatCode="#,##0.0_)_x;\(#,##0.0\)_x;0.0_)_x;@_)_x"/>
    <numFmt numFmtId="178" formatCode="d\.mmm\.yy"/>
    <numFmt numFmtId="179" formatCode="_(* #,##0.00_);\(* #,##0.00\);_(* &quot;-&quot;??_);_(@_)"/>
    <numFmt numFmtId="180" formatCode="0.00_)"/>
    <numFmt numFmtId="181" formatCode="0.000%;;"/>
    <numFmt numFmtId="182" formatCode="_(* #,##0.0_);_(* \(#,##0.0\);_(* &quot;-&quot;_);_(@_)"/>
    <numFmt numFmtId="183" formatCode="_([$$-409]* #,##0_);_([$$-409]* \(#,##0\);_([$$-409]* &quot;-&quot;??_);_(@_)"/>
    <numFmt numFmtId="184" formatCode="[$-10409]#,###;\(#,###\);\-;"/>
    <numFmt numFmtId="185" formatCode="[$-10409]#,###;\(#,###\);0"/>
    <numFmt numFmtId="186" formatCode="_(* #,##0.0_);_(* \(#,##0.0\);_(* &quot;-&quot;??_);_(@_)"/>
    <numFmt numFmtId="187" formatCode="0_);\(0\)"/>
    <numFmt numFmtId="188" formatCode="#,##0.000000000"/>
    <numFmt numFmtId="189" formatCode="#,##0.0000000000_);\(#,##0.0000000000\)"/>
    <numFmt numFmtId="190" formatCode="#,##0.0_);\(#,##0.0\)"/>
    <numFmt numFmtId="191" formatCode="[$-409]mmm\-yy;@"/>
    <numFmt numFmtId="192" formatCode="#,##0_);[Red]\(#,##0\);"/>
    <numFmt numFmtId="193" formatCode="_([$€-2]* #,##0.00_);_([$€-2]* \(#,##0.00\);_([$€-2]* &quot;-&quot;??_)"/>
  </numFmts>
  <fonts count="192">
    <font>
      <sz val="10"/>
      <name val="Arial"/>
      <family val="2"/>
    </font>
    <font>
      <sz val="11"/>
      <color theme="1"/>
      <name val="Calibri"/>
      <family val="2"/>
      <scheme val="minor"/>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MS Sans Serif"/>
      <family val="2"/>
    </font>
    <font>
      <b/>
      <sz val="10"/>
      <name val="MS Sans Serif"/>
      <family val="2"/>
    </font>
    <font>
      <b/>
      <sz val="18"/>
      <color indexed="56"/>
      <name val="Cambria"/>
      <family val="2"/>
    </font>
    <font>
      <b/>
      <sz val="11"/>
      <color indexed="8"/>
      <name val="Arial"/>
      <family val="2"/>
    </font>
    <font>
      <sz val="11"/>
      <color indexed="10"/>
      <name val="Arial"/>
      <family val="2"/>
    </font>
    <font>
      <sz val="8"/>
      <name val="Arial"/>
      <family val="2"/>
    </font>
    <font>
      <sz val="10"/>
      <name val="Times"/>
      <family val="1"/>
    </font>
    <font>
      <b/>
      <sz val="10"/>
      <name val="Times"/>
      <family val="1"/>
    </font>
    <font>
      <sz val="10"/>
      <name val="Calibri"/>
      <family val="2"/>
    </font>
    <font>
      <b/>
      <sz val="10"/>
      <name val="Calibri"/>
      <family val="2"/>
    </font>
    <font>
      <sz val="8"/>
      <name val="Calibri"/>
      <family val="2"/>
    </font>
    <font>
      <b/>
      <sz val="12"/>
      <name val="Arial"/>
      <family val="2"/>
    </font>
    <font>
      <b/>
      <sz val="10"/>
      <name val="Arial"/>
      <family val="2"/>
    </font>
    <font>
      <b/>
      <sz val="10"/>
      <color indexed="9"/>
      <name val="Arial"/>
      <family val="2"/>
    </font>
    <font>
      <sz val="10"/>
      <color indexed="8"/>
      <name val="MS Sans Serif"/>
      <family val="2"/>
    </font>
    <font>
      <b/>
      <sz val="10"/>
      <color indexed="8"/>
      <name val="Arial"/>
      <family val="2"/>
    </font>
    <font>
      <sz val="10"/>
      <color indexed="10"/>
      <name val="Arial"/>
      <family val="2"/>
    </font>
    <font>
      <sz val="10"/>
      <color indexed="8"/>
      <name val="Arial"/>
      <family val="2"/>
    </font>
    <font>
      <sz val="9"/>
      <color indexed="8"/>
      <name val="Arial"/>
      <family val="2"/>
    </font>
    <font>
      <sz val="12"/>
      <name val="Times New Roman"/>
      <family val="1"/>
    </font>
    <font>
      <u val="single"/>
      <sz val="10"/>
      <name val="Arial"/>
      <family val="2"/>
    </font>
    <font>
      <sz val="10"/>
      <color indexed="17"/>
      <name val="Arial"/>
      <family val="2"/>
    </font>
    <font>
      <sz val="10"/>
      <color indexed="9"/>
      <name val="Arial"/>
      <family val="2"/>
    </font>
    <font>
      <b/>
      <sz val="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9"/>
      <name val="Calibri"/>
      <family val="2"/>
    </font>
    <font>
      <sz val="11"/>
      <color indexed="8"/>
      <name val="Calibri"/>
      <family val="2"/>
    </font>
    <font>
      <sz val="11"/>
      <color indexed="11"/>
      <name val="Calibri"/>
      <family val="2"/>
    </font>
    <font>
      <sz val="10"/>
      <color indexed="12"/>
      <name val="Arial"/>
      <family val="2"/>
    </font>
    <font>
      <sz val="11"/>
      <color indexed="36"/>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11"/>
      <name val="Calibri"/>
      <family val="2"/>
    </font>
    <font>
      <b/>
      <sz val="11"/>
      <color indexed="9"/>
      <name val="Calibri"/>
      <family val="2"/>
    </font>
    <font>
      <sz val="8"/>
      <name val="Palatino"/>
      <family val="1"/>
    </font>
    <font>
      <sz val="10"/>
      <name val="Tahoma"/>
      <family val="2"/>
    </font>
    <font>
      <b/>
      <sz val="10"/>
      <name val="Arial Unicode MS"/>
      <family val="2"/>
    </font>
    <font>
      <sz val="10"/>
      <name val="Helv"/>
      <family val="2"/>
    </font>
    <font>
      <sz val="10"/>
      <name val="MS Serif"/>
      <family val="1"/>
    </font>
    <font>
      <sz val="10"/>
      <name val="Courier"/>
      <family val="3"/>
    </font>
    <font>
      <i/>
      <sz val="11"/>
      <color indexed="55"/>
      <name val="Calibri"/>
      <family val="2"/>
    </font>
    <font>
      <i/>
      <sz val="11"/>
      <color indexed="23"/>
      <name val="Calibri"/>
      <family val="2"/>
    </font>
    <font>
      <i/>
      <sz val="10"/>
      <color indexed="23"/>
      <name val="Arial"/>
      <family val="2"/>
    </font>
    <font>
      <sz val="12"/>
      <color indexed="24"/>
      <name val="Arial"/>
      <family val="2"/>
    </font>
    <font>
      <sz val="8"/>
      <name val="Times New Roman"/>
      <family val="1"/>
    </font>
    <font>
      <sz val="11"/>
      <color indexed="58"/>
      <name val="Calibri"/>
      <family val="2"/>
    </font>
    <font>
      <sz val="11"/>
      <color indexed="17"/>
      <name val="Calibri"/>
      <family val="2"/>
    </font>
    <font>
      <sz val="6"/>
      <color indexed="16"/>
      <name val="Palatino"/>
      <family val="1"/>
    </font>
    <font>
      <b/>
      <sz val="15"/>
      <color indexed="21"/>
      <name val="Calibri"/>
      <family val="2"/>
    </font>
    <font>
      <b/>
      <sz val="15"/>
      <color indexed="62"/>
      <name val="Calibri"/>
      <family val="2"/>
    </font>
    <font>
      <b/>
      <sz val="13"/>
      <color indexed="21"/>
      <name val="Calibri"/>
      <family val="2"/>
    </font>
    <font>
      <b/>
      <sz val="11"/>
      <color indexed="21"/>
      <name val="Calibri"/>
      <family val="2"/>
    </font>
    <font>
      <b/>
      <sz val="11"/>
      <color indexed="62"/>
      <name val="Calibri"/>
      <family val="2"/>
    </font>
    <font>
      <u val="single"/>
      <sz val="11"/>
      <color indexed="12"/>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amily val="2"/>
    </font>
    <font>
      <sz val="10"/>
      <name val="Arial Unicode MS"/>
      <family val="2"/>
    </font>
    <font>
      <b/>
      <sz val="11"/>
      <color indexed="63"/>
      <name val="Calibri"/>
      <family val="2"/>
    </font>
    <font>
      <b/>
      <sz val="10"/>
      <color indexed="63"/>
      <name val="Arial"/>
      <family val="2"/>
    </font>
    <font>
      <sz val="10"/>
      <color indexed="16"/>
      <name val="Helvetica-Black"/>
      <family val="2"/>
    </font>
    <font>
      <sz val="8"/>
      <color indexed="8"/>
      <name val="Times New Roman"/>
      <family val="1"/>
    </font>
    <font>
      <sz val="8"/>
      <name val="Helv"/>
      <family val="2"/>
    </font>
    <font>
      <b/>
      <i/>
      <sz val="10"/>
      <name val="Times New Roman"/>
      <family val="1"/>
    </font>
    <font>
      <b/>
      <sz val="8"/>
      <color indexed="8"/>
      <name val="Helv"/>
      <family val="2"/>
    </font>
    <font>
      <b/>
      <sz val="9"/>
      <name val="Palatino"/>
      <family val="1"/>
    </font>
    <font>
      <sz val="9"/>
      <color indexed="21"/>
      <name val="Helvetica-Black"/>
      <family val="2"/>
    </font>
    <font>
      <b/>
      <sz val="9"/>
      <name val="Arial"/>
      <family val="2"/>
    </font>
    <font>
      <b/>
      <sz val="18"/>
      <color indexed="21"/>
      <name val="Cambria"/>
      <family val="2"/>
    </font>
    <font>
      <b/>
      <sz val="18"/>
      <color indexed="62"/>
      <name val="Cambria"/>
      <family val="2"/>
    </font>
    <font>
      <b/>
      <sz val="14"/>
      <color indexed="56"/>
      <name val="Arial"/>
      <family val="2"/>
    </font>
    <font>
      <b/>
      <sz val="11"/>
      <color indexed="8"/>
      <name val="Calibri"/>
      <family val="2"/>
    </font>
    <font>
      <sz val="11"/>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11"/>
      <color theme="10"/>
      <name val="Calibri"/>
      <family val="2"/>
      <scheme val="minor"/>
    </font>
    <font>
      <u val="single"/>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Courier"/>
      <family val="3"/>
    </font>
    <font>
      <b/>
      <i/>
      <sz val="10"/>
      <name val="Arial"/>
      <family val="2"/>
    </font>
    <font>
      <sz val="10"/>
      <color theme="1"/>
      <name val="Arial"/>
      <family val="2"/>
    </font>
    <font>
      <b/>
      <sz val="8"/>
      <color theme="1"/>
      <name val="Arial"/>
      <family val="2"/>
    </font>
    <font>
      <b/>
      <sz val="14"/>
      <color theme="1"/>
      <name val="Calibri"/>
      <family val="2"/>
      <scheme val="minor"/>
    </font>
    <font>
      <sz val="14"/>
      <color theme="1"/>
      <name val="Calibri"/>
      <family val="2"/>
      <scheme val="minor"/>
    </font>
    <font>
      <b/>
      <sz val="14"/>
      <name val="Arial"/>
      <family val="2"/>
    </font>
    <font>
      <b/>
      <sz val="11"/>
      <name val="Arial"/>
      <family val="2"/>
    </font>
    <font>
      <sz val="10"/>
      <name val="Times New Roman"/>
      <family val="1"/>
    </font>
    <font>
      <sz val="8"/>
      <color theme="1"/>
      <name val="Arial"/>
      <family val="2"/>
    </font>
    <font>
      <b/>
      <sz val="10"/>
      <color rgb="FFFF0000"/>
      <name val="Arial"/>
      <family val="2"/>
    </font>
    <font>
      <b/>
      <sz val="8"/>
      <name val="Calibri"/>
      <family val="2"/>
    </font>
    <font>
      <sz val="10"/>
      <color theme="0"/>
      <name val="Arial"/>
      <family val="2"/>
    </font>
    <font>
      <sz val="10"/>
      <color rgb="FFFF0000"/>
      <name val="Arial"/>
      <family val="2"/>
    </font>
    <font>
      <i/>
      <sz val="10"/>
      <name val="Calibri"/>
      <family val="2"/>
    </font>
    <font>
      <b/>
      <sz val="18"/>
      <name val="Arial"/>
      <family val="2"/>
    </font>
    <font>
      <sz val="12"/>
      <color rgb="FF1F497D"/>
      <name val="Times New Roman"/>
      <family val="1"/>
    </font>
    <font>
      <b/>
      <sz val="16"/>
      <color rgb="FFFF0000"/>
      <name val="Arial"/>
      <family val="2"/>
    </font>
    <font>
      <sz val="11"/>
      <name val="Calibri"/>
      <family val="2"/>
    </font>
    <font>
      <sz val="11"/>
      <color rgb="FF000000"/>
      <name val="Calibri"/>
      <family val="2"/>
      <scheme val="minor"/>
    </font>
    <font>
      <sz val="9"/>
      <name val="Tahoma"/>
      <family val="2"/>
    </font>
    <font>
      <b/>
      <sz val="9"/>
      <name val="Tahoma"/>
      <family val="2"/>
    </font>
    <font>
      <sz val="12"/>
      <name val="Arial"/>
      <family val="2"/>
    </font>
    <font>
      <sz val="12"/>
      <color theme="1"/>
      <name val="Arial"/>
      <family val="2"/>
    </font>
    <font>
      <b/>
      <i/>
      <sz val="11"/>
      <color rgb="FFFF0000"/>
      <name val="Arial"/>
      <family val="2"/>
    </font>
    <font>
      <i/>
      <sz val="10"/>
      <color rgb="FF00B0F0"/>
      <name val="Arial"/>
      <family val="2"/>
    </font>
    <font>
      <b/>
      <i/>
      <sz val="11"/>
      <color rgb="FF00B0F0"/>
      <name val="Arial"/>
      <family val="2"/>
    </font>
    <font>
      <i/>
      <sz val="11"/>
      <color rgb="FF00B0F0"/>
      <name val="Arial"/>
      <family val="2"/>
    </font>
    <font>
      <sz val="10"/>
      <color rgb="FF00B0F0"/>
      <name val="Arial"/>
      <family val="2"/>
    </font>
    <font>
      <u val="singleAccounting"/>
      <sz val="12"/>
      <name val="Arial"/>
      <family val="2"/>
    </font>
    <font>
      <u val="singleAccounting"/>
      <sz val="10"/>
      <name val="Arial"/>
      <family val="2"/>
    </font>
    <font>
      <b/>
      <sz val="10"/>
      <name val="Cambria"/>
      <family val="1"/>
    </font>
    <font>
      <sz val="10"/>
      <name val="Cambria"/>
      <family val="1"/>
    </font>
    <font>
      <sz val="10"/>
      <color rgb="FFFF0000"/>
      <name val="Cambria"/>
      <family val="1"/>
    </font>
    <font>
      <u val="single"/>
      <sz val="10"/>
      <name val="Cambria"/>
      <family val="1"/>
    </font>
    <font>
      <u val="single"/>
      <sz val="10"/>
      <color theme="1"/>
      <name val="Cambria"/>
      <family val="1"/>
    </font>
    <font>
      <b/>
      <sz val="11"/>
      <color rgb="FFFF0000"/>
      <name val="Cambria"/>
      <family val="1"/>
    </font>
    <font>
      <sz val="10"/>
      <color theme="1"/>
      <name val="Cambria"/>
      <family val="1"/>
    </font>
    <font>
      <b/>
      <sz val="11"/>
      <name val="Cambria"/>
      <family val="1"/>
    </font>
    <font>
      <b/>
      <sz val="12"/>
      <name val="Cambria"/>
      <family val="1"/>
    </font>
    <font>
      <b/>
      <sz val="9"/>
      <name val="Cambria"/>
      <family val="1"/>
    </font>
    <font>
      <b/>
      <u val="single"/>
      <sz val="10"/>
      <name val="Cambria"/>
      <family val="1"/>
    </font>
    <font>
      <sz val="11"/>
      <color rgb="FF1F497D"/>
      <name val="Symbol"/>
      <family val="1"/>
    </font>
    <font>
      <sz val="7"/>
      <color rgb="FF1F497D"/>
      <name val="Times New Roman"/>
      <family val="1"/>
    </font>
    <font>
      <sz val="11"/>
      <color rgb="FF1F497D"/>
      <name val="Calibri"/>
      <family val="2"/>
    </font>
    <font>
      <b/>
      <sz val="14"/>
      <name val="Times"/>
      <family val="1"/>
    </font>
    <font>
      <sz val="11"/>
      <name val="Cambria"/>
      <family val="1"/>
      <scheme val="major"/>
    </font>
    <font>
      <sz val="10"/>
      <color rgb="FFFFC000"/>
      <name val="Arial"/>
      <family val="2"/>
    </font>
    <font>
      <sz val="10"/>
      <color theme="2" tint="-0.4999699890613556"/>
      <name val="Arial"/>
      <family val="2"/>
    </font>
    <font>
      <sz val="10"/>
      <color rgb="FF00B050"/>
      <name val="Arial"/>
      <family val="2"/>
    </font>
    <font>
      <sz val="10"/>
      <color rgb="FF7030A0"/>
      <name val="Arial"/>
      <family val="2"/>
    </font>
    <font>
      <b/>
      <sz val="10"/>
      <color theme="5" tint="0.39998000860214233"/>
      <name val="Arial"/>
      <family val="2"/>
    </font>
    <font>
      <sz val="8"/>
      <color rgb="FF000000"/>
      <name val="Arial"/>
      <family val="2"/>
    </font>
    <font>
      <sz val="11"/>
      <name val="Times New Roman"/>
      <family val="1"/>
    </font>
    <font>
      <sz val="10"/>
      <color theme="1"/>
      <name val="Arial Unicode MS"/>
      <family val="2"/>
    </font>
    <font>
      <sz val="11"/>
      <color theme="1"/>
      <name val="Arial"/>
      <family val="2"/>
    </font>
    <font>
      <i/>
      <sz val="12"/>
      <name val="Arial"/>
      <family val="2"/>
    </font>
    <font>
      <sz val="18"/>
      <name val="Arial"/>
      <family val="2"/>
    </font>
    <font>
      <u val="single"/>
      <sz val="8.5"/>
      <color indexed="12"/>
      <name val="Arial"/>
      <family val="2"/>
    </font>
    <font>
      <sz val="8"/>
      <color indexed="62"/>
      <name val="Times New Roman"/>
      <family val="1"/>
    </font>
    <font>
      <b/>
      <sz val="15"/>
      <color indexed="56"/>
      <name val="Calibri"/>
      <family val="2"/>
    </font>
    <font>
      <b/>
      <sz val="13"/>
      <color indexed="56"/>
      <name val="Calibri"/>
      <family val="2"/>
    </font>
    <font>
      <b/>
      <sz val="11"/>
      <color indexed="56"/>
      <name val="Calibri"/>
      <family val="2"/>
    </font>
    <font>
      <i/>
      <sz val="12"/>
      <name val="Times New Roman"/>
      <family val="1"/>
    </font>
    <font>
      <sz val="9"/>
      <color indexed="20"/>
      <name val="Times New Roman"/>
      <family val="1"/>
    </font>
    <font>
      <sz val="18"/>
      <name val="Times New Roman"/>
      <family val="1"/>
    </font>
    <font>
      <u val="single"/>
      <sz val="7.5"/>
      <color indexed="12"/>
      <name val="Arial"/>
      <family val="2"/>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theme="1"/>
      <name val="Calibri"/>
      <family val="2"/>
    </font>
    <font>
      <sz val="10"/>
      <color rgb="FF9C6500"/>
      <name val="Calibri"/>
      <family val="2"/>
    </font>
    <font>
      <sz val="10"/>
      <color theme="1"/>
      <name val="Arial"/>
      <family val="2"/>
      <scheme val="minor"/>
    </font>
  </fonts>
  <fills count="73">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17"/>
        <bgColor indexed="64"/>
      </patternFill>
    </fill>
    <fill>
      <patternFill patternType="solid">
        <fgColor indexed="55"/>
        <bgColor indexed="64"/>
      </patternFill>
    </fill>
    <fill>
      <patternFill patternType="solid">
        <fgColor theme="4" tint="0.7999799847602844"/>
        <bgColor indexed="64"/>
      </patternFill>
    </fill>
    <fill>
      <patternFill patternType="solid">
        <fgColor indexed="45"/>
        <bgColor indexed="64"/>
      </patternFill>
    </fill>
    <fill>
      <patternFill patternType="solid">
        <fgColor indexed="47"/>
        <bgColor indexed="64"/>
      </patternFill>
    </fill>
    <fill>
      <patternFill patternType="solid">
        <fgColor theme="5" tint="0.7999799847602844"/>
        <bgColor indexed="64"/>
      </patternFill>
    </fill>
    <fill>
      <patternFill patternType="solid">
        <fgColor indexed="42"/>
        <bgColor indexed="64"/>
      </patternFill>
    </fill>
    <fill>
      <patternFill patternType="solid">
        <fgColor indexed="26"/>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indexed="13"/>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6"/>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0"/>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gray0625">
        <fgColor indexed="8"/>
      </patternFill>
    </fill>
    <fill>
      <patternFill patternType="gray125">
        <fgColor indexed="8"/>
      </patternFill>
    </fill>
    <fill>
      <patternFill patternType="solid">
        <fgColor indexed="8"/>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C0"/>
        <bgColor indexed="64"/>
      </patternFill>
    </fill>
  </fills>
  <borders count="57">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tted"/>
    </border>
    <border>
      <left/>
      <right/>
      <top style="medium"/>
      <bottom style="medium"/>
    </border>
    <border>
      <left/>
      <right/>
      <top style="thin"/>
      <bottom style="thin"/>
    </border>
    <border>
      <left/>
      <right/>
      <top/>
      <bottom style="thick">
        <color indexed="62"/>
      </bottom>
    </border>
    <border>
      <left/>
      <right/>
      <top/>
      <bottom style="thick">
        <color indexed="49"/>
      </bottom>
    </border>
    <border>
      <left/>
      <right/>
      <top/>
      <bottom style="thick">
        <color theme="4"/>
      </bottom>
    </border>
    <border>
      <left/>
      <right/>
      <top/>
      <bottom style="thick">
        <color indexed="22"/>
      </bottom>
    </border>
    <border>
      <left/>
      <right/>
      <top/>
      <bottom style="thick">
        <color indexed="16"/>
      </bottom>
    </border>
    <border>
      <left/>
      <right/>
      <top/>
      <bottom style="thick">
        <color theme="4" tint="0.49998000264167786"/>
      </bottom>
    </border>
    <border>
      <left/>
      <right/>
      <top/>
      <bottom style="medium">
        <color indexed="30"/>
      </bottom>
    </border>
    <border>
      <left/>
      <right/>
      <top/>
      <bottom style="medium">
        <color indexed="49"/>
      </bottom>
    </border>
    <border>
      <left/>
      <right/>
      <top/>
      <bottom style="medium">
        <color theme="4" tint="0.39998000860214233"/>
      </bottom>
    </border>
    <border>
      <left style="thin"/>
      <right style="thin"/>
      <top style="thin"/>
      <bottom style="thin"/>
    </border>
    <border>
      <left style="hair"/>
      <right style="hair"/>
      <top style="hair"/>
      <bottom style="hair"/>
    </border>
    <border>
      <left/>
      <right/>
      <top/>
      <bottom style="double">
        <color indexed="52"/>
      </bottom>
    </border>
    <border>
      <left/>
      <right/>
      <top/>
      <bottom style="double">
        <color rgb="FFFF8001"/>
      </bottom>
    </border>
    <border>
      <left/>
      <right style="hair"/>
      <top/>
      <bottom style="thin"/>
    </border>
    <border>
      <left/>
      <right style="hair"/>
      <top/>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medium"/>
    </border>
    <border>
      <left style="thin"/>
      <right/>
      <top/>
      <bottom/>
    </border>
    <border>
      <left/>
      <right/>
      <top style="hair"/>
      <bottom/>
    </border>
    <border>
      <left/>
      <right/>
      <top style="thin"/>
      <bottom/>
    </border>
    <border>
      <left/>
      <right/>
      <top/>
      <bottom style="thin"/>
    </border>
    <border>
      <left/>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medium"/>
      <right/>
      <top/>
      <bottom/>
    </border>
    <border>
      <left/>
      <right/>
      <top style="medium"/>
      <bottom/>
    </border>
    <border>
      <left style="medium"/>
      <right/>
      <top/>
      <bottom style="medium"/>
    </border>
    <border>
      <left style="medium"/>
      <right style="medium"/>
      <top/>
      <bottom style="medium"/>
    </border>
    <border>
      <left/>
      <right/>
      <top style="thin">
        <color indexed="9"/>
      </top>
      <bottom style="double">
        <color indexed="9"/>
      </bottom>
    </border>
    <border>
      <left/>
      <right/>
      <top/>
      <bottom style="thin">
        <color indexed="9"/>
      </bottom>
    </border>
    <border>
      <left/>
      <right/>
      <top style="thin"/>
      <bottom style="medium"/>
    </border>
    <border>
      <left/>
      <right/>
      <top style="thin">
        <color theme="4" tint="0.7999799847602844"/>
      </top>
      <bottom style="thin">
        <color theme="4" tint="0.7999799847602844"/>
      </bottom>
    </border>
    <border>
      <left/>
      <right/>
      <top style="thin">
        <color theme="4" tint="0.7999799847602844"/>
      </top>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medium"/>
      <right style="medium"/>
      <top style="medium"/>
      <bottom/>
    </border>
    <border>
      <left style="medium"/>
      <right/>
      <top style="medium"/>
      <bottom/>
    </border>
    <border>
      <left style="medium"/>
      <right style="medium"/>
      <top/>
      <bottom/>
    </border>
    <border>
      <left style="medium"/>
      <right/>
      <top style="medium"/>
      <bottom style="medium"/>
    </border>
    <border>
      <left/>
      <right style="medium"/>
      <top style="medium"/>
      <bottom/>
    </border>
    <border>
      <left/>
      <right style="medium"/>
      <top/>
      <bottom/>
    </border>
    <border>
      <left/>
      <right style="medium"/>
      <top/>
      <bottom style="medium"/>
    </border>
  </borders>
  <cellStyleXfs count="374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0" fillId="0" borderId="0">
      <alignment horizontal="left" wrapText="1"/>
      <protection/>
    </xf>
    <xf numFmtId="171" fontId="22" fillId="0" borderId="0" applyFont="0" applyFill="0" applyBorder="0" applyAlignment="0" applyProtection="0"/>
    <xf numFmtId="172" fontId="0" fillId="0" borderId="0">
      <alignment horizontal="left" wrapText="1"/>
      <protection/>
    </xf>
    <xf numFmtId="170" fontId="0" fillId="0" borderId="0">
      <alignment horizontal="left" wrapText="1"/>
      <protection/>
    </xf>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0" fontId="0" fillId="0" borderId="0">
      <alignment horizontal="left" wrapText="1"/>
      <protection/>
    </xf>
    <xf numFmtId="0" fontId="41" fillId="0" borderId="0" applyNumberFormat="0" applyFill="0" applyBorder="0" applyAlignment="0" applyProtection="0"/>
    <xf numFmtId="0" fontId="22" fillId="2" borderId="0" applyNumberFormat="0" applyFont="0" applyAlignment="0" applyProtection="0"/>
    <xf numFmtId="176" fontId="22" fillId="0" borderId="0" applyFont="0" applyFill="0" applyBorder="0" applyAlignment="0" applyProtection="0"/>
    <xf numFmtId="177" fontId="22" fillId="0" borderId="0" applyFont="0" applyFill="0" applyBorder="0" applyProtection="0">
      <alignment horizontal="right"/>
    </xf>
    <xf numFmtId="172" fontId="0" fillId="0" borderId="0">
      <alignment horizontal="left" wrapText="1"/>
      <protection/>
    </xf>
    <xf numFmtId="170" fontId="0" fillId="0" borderId="0">
      <alignment horizontal="left" wrapText="1"/>
      <protection/>
    </xf>
    <xf numFmtId="0" fontId="42" fillId="0" borderId="0" applyNumberFormat="0" applyFill="0" applyBorder="0" applyProtection="0">
      <alignment vertical="top"/>
    </xf>
    <xf numFmtId="0" fontId="35" fillId="0" borderId="1" applyNumberFormat="0" applyFill="0" applyAlignment="0" applyProtection="0"/>
    <xf numFmtId="0" fontId="35" fillId="0" borderId="1" applyNumberFormat="0" applyFill="0" applyAlignment="0" applyProtection="0"/>
    <xf numFmtId="0" fontId="43" fillId="0" borderId="2" applyNumberFormat="0" applyFill="0" applyProtection="0">
      <alignment horizontal="center"/>
    </xf>
    <xf numFmtId="0" fontId="43" fillId="0" borderId="2" applyNumberFormat="0" applyFill="0" applyProtection="0">
      <alignment horizontal="center"/>
    </xf>
    <xf numFmtId="0" fontId="43" fillId="0" borderId="0" applyNumberFormat="0" applyFill="0" applyBorder="0" applyProtection="0">
      <alignment horizontal="left"/>
    </xf>
    <xf numFmtId="0" fontId="44" fillId="0" borderId="0" applyNumberFormat="0" applyFill="0" applyBorder="0" applyProtection="0">
      <alignment horizontal="centerContinuous"/>
    </xf>
    <xf numFmtId="172" fontId="0" fillId="0" borderId="0">
      <alignment horizontal="left" wrapText="1"/>
      <protection/>
    </xf>
    <xf numFmtId="0" fontId="2" fillId="3"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34" fillId="3"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34" fillId="7"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45" fillId="11" borderId="0" applyNumberFormat="0" applyBorder="0" applyAlignment="0" applyProtection="0"/>
    <xf numFmtId="0" fontId="46" fillId="11" borderId="0" applyNumberFormat="0" applyBorder="0" applyAlignment="0" applyProtection="0"/>
    <xf numFmtId="0" fontId="34" fillId="10" borderId="0" applyNumberFormat="0" applyBorder="0" applyAlignment="0" applyProtection="0"/>
    <xf numFmtId="0" fontId="46"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6" fillId="5" borderId="0" applyNumberFormat="0" applyBorder="0" applyAlignment="0" applyProtection="0"/>
    <xf numFmtId="0" fontId="34" fillId="13" borderId="0" applyNumberFormat="0" applyBorder="0" applyAlignment="0" applyProtection="0"/>
    <xf numFmtId="0" fontId="46" fillId="5"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45" fillId="16"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5" borderId="0" applyNumberFormat="0" applyBorder="0" applyAlignment="0" applyProtection="0"/>
    <xf numFmtId="0" fontId="34"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 fillId="17" borderId="0" applyNumberFormat="0" applyBorder="0" applyAlignment="0" applyProtection="0"/>
    <xf numFmtId="0" fontId="2"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34"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34" fillId="19" borderId="0" applyNumberFormat="0" applyBorder="0" applyAlignment="0" applyProtection="0"/>
    <xf numFmtId="0" fontId="46" fillId="21"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34" fillId="23" borderId="0" applyNumberFormat="0" applyBorder="0" applyAlignment="0" applyProtection="0"/>
    <xf numFmtId="0" fontId="46"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45" fillId="2" borderId="0" applyNumberFormat="0" applyBorder="0" applyAlignment="0" applyProtection="0"/>
    <xf numFmtId="0" fontId="46" fillId="2" borderId="0" applyNumberFormat="0" applyBorder="0" applyAlignment="0" applyProtection="0"/>
    <xf numFmtId="0" fontId="45" fillId="2" borderId="0" applyNumberFormat="0" applyBorder="0" applyAlignment="0" applyProtection="0"/>
    <xf numFmtId="0" fontId="46" fillId="2" borderId="0" applyNumberFormat="0" applyBorder="0" applyAlignment="0" applyProtection="0"/>
    <xf numFmtId="0" fontId="34" fillId="25" borderId="0" applyNumberFormat="0" applyBorder="0" applyAlignment="0" applyProtection="0"/>
    <xf numFmtId="0" fontId="46"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2" fillId="13"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34" fillId="13" borderId="0" applyNumberFormat="0" applyBorder="0" applyAlignment="0" applyProtection="0"/>
    <xf numFmtId="0" fontId="46"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 fillId="27" borderId="0" applyNumberFormat="0" applyBorder="0" applyAlignment="0" applyProtection="0"/>
    <xf numFmtId="0" fontId="2" fillId="19" borderId="0" applyNumberFormat="0" applyBorder="0" applyAlignment="0" applyProtection="0"/>
    <xf numFmtId="0" fontId="45" fillId="16" borderId="0" applyNumberFormat="0" applyBorder="0" applyAlignment="0" applyProtection="0"/>
    <xf numFmtId="0" fontId="46" fillId="19" borderId="0" applyNumberFormat="0" applyBorder="0" applyAlignment="0" applyProtection="0"/>
    <xf numFmtId="0" fontId="45" fillId="16" borderId="0" applyNumberFormat="0" applyBorder="0" applyAlignment="0" applyProtection="0"/>
    <xf numFmtId="0" fontId="46" fillId="19" borderId="0" applyNumberFormat="0" applyBorder="0" applyAlignment="0" applyProtection="0"/>
    <xf numFmtId="0" fontId="34" fillId="19" borderId="0" applyNumberFormat="0" applyBorder="0" applyAlignment="0" applyProtection="0"/>
    <xf numFmtId="0" fontId="46" fillId="19"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6" fillId="8" borderId="0" applyNumberFormat="0" applyBorder="0" applyAlignment="0" applyProtection="0"/>
    <xf numFmtId="0" fontId="34" fillId="29" borderId="0" applyNumberFormat="0" applyBorder="0" applyAlignment="0" applyProtection="0"/>
    <xf numFmtId="0" fontId="46"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31"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0" fillId="33" borderId="0" applyNumberFormat="0" applyBorder="0" applyAlignment="0" applyProtection="0"/>
    <xf numFmtId="0" fontId="3" fillId="23" borderId="0" applyNumberFormat="0" applyBorder="0" applyAlignment="0" applyProtection="0"/>
    <xf numFmtId="0" fontId="47" fillId="23" borderId="0" applyNumberFormat="0" applyBorder="0" applyAlignment="0" applyProtection="0"/>
    <xf numFmtId="0" fontId="45" fillId="23" borderId="0" applyNumberFormat="0" applyBorder="0" applyAlignment="0" applyProtection="0"/>
    <xf numFmtId="0" fontId="47" fillId="23" borderId="0" applyNumberFormat="0" applyBorder="0" applyAlignment="0" applyProtection="0"/>
    <xf numFmtId="0" fontId="45" fillId="23" borderId="0" applyNumberFormat="0" applyBorder="0" applyAlignment="0" applyProtection="0"/>
    <xf numFmtId="0" fontId="39"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0" fillId="34" borderId="0" applyNumberFormat="0" applyBorder="0" applyAlignment="0" applyProtection="0"/>
    <xf numFmtId="0" fontId="3" fillId="25" borderId="0" applyNumberFormat="0" applyBorder="0" applyAlignment="0" applyProtection="0"/>
    <xf numFmtId="0" fontId="47" fillId="2" borderId="0" applyNumberFormat="0" applyBorder="0" applyAlignment="0" applyProtection="0"/>
    <xf numFmtId="0" fontId="45" fillId="2" borderId="0" applyNumberFormat="0" applyBorder="0" applyAlignment="0" applyProtection="0"/>
    <xf numFmtId="0" fontId="47" fillId="2" borderId="0" applyNumberFormat="0" applyBorder="0" applyAlignment="0" applyProtection="0"/>
    <xf numFmtId="0" fontId="45" fillId="2" borderId="0" applyNumberFormat="0" applyBorder="0" applyAlignment="0" applyProtection="0"/>
    <xf numFmtId="0" fontId="39" fillId="25"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100" fillId="35" borderId="0" applyNumberFormat="0" applyBorder="0" applyAlignment="0" applyProtection="0"/>
    <xf numFmtId="0" fontId="3" fillId="36" borderId="0" applyNumberFormat="0" applyBorder="0" applyAlignment="0" applyProtection="0"/>
    <xf numFmtId="0" fontId="47" fillId="21" borderId="0" applyNumberFormat="0" applyBorder="0" applyAlignment="0" applyProtection="0"/>
    <xf numFmtId="0" fontId="45" fillId="21" borderId="0" applyNumberFormat="0" applyBorder="0" applyAlignment="0" applyProtection="0"/>
    <xf numFmtId="0" fontId="47" fillId="21" borderId="0" applyNumberFormat="0" applyBorder="0" applyAlignment="0" applyProtection="0"/>
    <xf numFmtId="0" fontId="45" fillId="21" borderId="0" applyNumberFormat="0" applyBorder="0" applyAlignment="0" applyProtection="0"/>
    <xf numFmtId="0" fontId="39" fillId="36"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00" fillId="37" borderId="0" applyNumberFormat="0" applyBorder="0" applyAlignment="0" applyProtection="0"/>
    <xf numFmtId="0" fontId="3"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100" fillId="38" borderId="0" applyNumberFormat="0" applyBorder="0" applyAlignment="0" applyProtection="0"/>
    <xf numFmtId="0" fontId="3" fillId="39" borderId="0" applyNumberFormat="0" applyBorder="0" applyAlignment="0" applyProtection="0"/>
    <xf numFmtId="0" fontId="47" fillId="40" borderId="0" applyNumberFormat="0" applyBorder="0" applyAlignment="0" applyProtection="0"/>
    <xf numFmtId="0" fontId="45" fillId="8" borderId="0" applyNumberFormat="0" applyBorder="0" applyAlignment="0" applyProtection="0"/>
    <xf numFmtId="0" fontId="47" fillId="40" borderId="0" applyNumberFormat="0" applyBorder="0" applyAlignment="0" applyProtection="0"/>
    <xf numFmtId="0" fontId="45" fillId="8" borderId="0" applyNumberFormat="0" applyBorder="0" applyAlignment="0" applyProtection="0"/>
    <xf numFmtId="0" fontId="39"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00" fillId="41" borderId="0" applyNumberFormat="0" applyBorder="0" applyAlignment="0" applyProtection="0"/>
    <xf numFmtId="0" fontId="3" fillId="4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4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00" fillId="43" borderId="0" applyNumberFormat="0" applyBorder="0" applyAlignment="0" applyProtection="0"/>
    <xf numFmtId="0" fontId="3"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39"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00" fillId="45" borderId="0" applyNumberFormat="0" applyBorder="0" applyAlignment="0" applyProtection="0"/>
    <xf numFmtId="0" fontId="3"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39"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00" fillId="47" borderId="0" applyNumberFormat="0" applyBorder="0" applyAlignment="0" applyProtection="0"/>
    <xf numFmtId="0" fontId="3" fillId="36"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39" fillId="3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00" fillId="49" borderId="0" applyNumberFormat="0" applyBorder="0" applyAlignment="0" applyProtection="0"/>
    <xf numFmtId="0" fontId="3"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47" fillId="32" borderId="0" applyNumberFormat="0" applyBorder="0" applyAlignment="0" applyProtection="0"/>
    <xf numFmtId="0" fontId="45" fillId="32" borderId="0" applyNumberFormat="0" applyBorder="0" applyAlignment="0" applyProtection="0"/>
    <xf numFmtId="0" fontId="39"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100" fillId="50" borderId="0" applyNumberFormat="0" applyBorder="0" applyAlignment="0" applyProtection="0"/>
    <xf numFmtId="0" fontId="3" fillId="51" borderId="0" applyNumberFormat="0" applyBorder="0" applyAlignment="0" applyProtection="0"/>
    <xf numFmtId="0" fontId="47" fillId="51" borderId="0" applyNumberFormat="0" applyBorder="0" applyAlignment="0" applyProtection="0"/>
    <xf numFmtId="0" fontId="45" fillId="51" borderId="0" applyNumberFormat="0" applyBorder="0" applyAlignment="0" applyProtection="0"/>
    <xf numFmtId="0" fontId="47" fillId="51" borderId="0" applyNumberFormat="0" applyBorder="0" applyAlignment="0" applyProtection="0"/>
    <xf numFmtId="0" fontId="45" fillId="51" borderId="0" applyNumberFormat="0" applyBorder="0" applyAlignment="0" applyProtection="0"/>
    <xf numFmtId="0" fontId="39"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00" fillId="52" borderId="0" applyNumberFormat="0" applyBorder="0" applyAlignment="0" applyProtection="0"/>
    <xf numFmtId="0" fontId="48" fillId="0" borderId="0" applyNumberFormat="0" applyFill="0" applyBorder="0" applyAlignment="0">
      <protection locked="0"/>
    </xf>
    <xf numFmtId="0" fontId="4" fillId="7" borderId="0" applyNumberFormat="0" applyBorder="0" applyAlignment="0" applyProtection="0"/>
    <xf numFmtId="0" fontId="49" fillId="7" borderId="0" applyNumberFormat="0" applyBorder="0" applyAlignment="0" applyProtection="0"/>
    <xf numFmtId="0" fontId="50" fillId="7" borderId="0" applyNumberFormat="0" applyBorder="0" applyAlignment="0" applyProtection="0"/>
    <xf numFmtId="0" fontId="49" fillId="7" borderId="0" applyNumberFormat="0" applyBorder="0" applyAlignment="0" applyProtection="0"/>
    <xf numFmtId="0" fontId="50" fillId="7" borderId="0" applyNumberFormat="0" applyBorder="0" applyAlignment="0" applyProtection="0"/>
    <xf numFmtId="0" fontId="51"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01" fillId="53" borderId="0" applyNumberFormat="0" applyBorder="0" applyAlignment="0" applyProtection="0"/>
    <xf numFmtId="178" fontId="31" fillId="0" borderId="0" applyFill="0" applyBorder="0" applyAlignment="0">
      <protection/>
    </xf>
    <xf numFmtId="0" fontId="5"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102" fillId="54" borderId="5" applyNumberFormat="0" applyAlignment="0" applyProtection="0"/>
    <xf numFmtId="0" fontId="6" fillId="5" borderId="6" applyNumberFormat="0" applyAlignment="0" applyProtection="0"/>
    <xf numFmtId="0" fontId="54" fillId="5" borderId="6" applyNumberFormat="0" applyAlignment="0" applyProtection="0"/>
    <xf numFmtId="0" fontId="55" fillId="21" borderId="6" applyNumberFormat="0" applyAlignment="0" applyProtection="0"/>
    <xf numFmtId="0" fontId="54" fillId="5" borderId="6" applyNumberFormat="0" applyAlignment="0" applyProtection="0"/>
    <xf numFmtId="0" fontId="55" fillId="21" borderId="6" applyNumberFormat="0" applyAlignment="0" applyProtection="0"/>
    <xf numFmtId="0" fontId="30" fillId="5" borderId="6" applyNumberFormat="0" applyAlignment="0" applyProtection="0"/>
    <xf numFmtId="0" fontId="54" fillId="5" borderId="6" applyNumberFormat="0" applyAlignment="0" applyProtection="0"/>
    <xf numFmtId="0" fontId="54" fillId="5" borderId="6" applyNumberFormat="0" applyAlignment="0" applyProtection="0"/>
    <xf numFmtId="0" fontId="54" fillId="5" borderId="6" applyNumberFormat="0" applyAlignment="0" applyProtection="0"/>
    <xf numFmtId="0" fontId="30" fillId="5" borderId="6" applyNumberFormat="0" applyAlignment="0" applyProtection="0"/>
    <xf numFmtId="0" fontId="103" fillId="55" borderId="7" applyNumberFormat="0" applyAlignment="0" applyProtection="0"/>
    <xf numFmtId="0" fontId="56" fillId="0" borderId="0" applyFont="0" applyFill="0" applyBorder="0" applyProtection="0">
      <alignment/>
    </xf>
    <xf numFmtId="43" fontId="36"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43" fontId="22" fillId="0" borderId="0" applyFont="0" applyFill="0" applyBorder="0" applyAlignment="0" applyProtection="0"/>
    <xf numFmtId="43" fontId="22" fillId="0" borderId="0" applyFont="0" applyFill="0" applyBorder="0" applyAlignment="0" applyProtection="0"/>
    <xf numFmtId="0" fontId="56" fillId="0" borderId="0" applyFont="0" applyFill="0" applyBorder="0" applyProtection="0">
      <alignment/>
    </xf>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0" fontId="56"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9" fontId="29"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3" fontId="0" fillId="0" borderId="0" applyFont="0" applyFill="0" applyBorder="0" applyAlignment="0" applyProtection="0"/>
    <xf numFmtId="0" fontId="59" fillId="0" borderId="0">
      <alignment/>
      <protection/>
    </xf>
    <xf numFmtId="0" fontId="60" fillId="0" borderId="0" applyNumberFormat="0">
      <alignment/>
      <protection/>
    </xf>
    <xf numFmtId="0" fontId="61" fillId="0" borderId="0" applyNumberFormat="0" applyAlignment="0">
      <protection/>
    </xf>
    <xf numFmtId="0" fontId="59" fillId="0" borderId="0">
      <alignment/>
      <protection/>
    </xf>
    <xf numFmtId="0" fontId="59" fillId="0" borderId="0">
      <alignment/>
      <protection/>
    </xf>
    <xf numFmtId="0" fontId="56" fillId="0" borderId="0" applyFont="0" applyFill="0" applyBorder="0" applyProtection="0">
      <alignment/>
    </xf>
    <xf numFmtId="44" fontId="0" fillId="0" borderId="0" applyFont="0" applyFill="0" applyBorder="0" applyAlignment="0" applyProtection="0"/>
    <xf numFmtId="0" fontId="56" fillId="0" borderId="0" applyFont="0" applyFill="0" applyBorder="0" applyProtection="0">
      <alignment/>
    </xf>
    <xf numFmtId="44" fontId="0" fillId="0" borderId="0" applyFont="0" applyFill="0" applyBorder="0" applyAlignment="0" applyProtection="0"/>
    <xf numFmtId="0" fontId="56" fillId="0" borderId="0" applyFont="0" applyFill="0" applyBorder="0" applyProtection="0">
      <alignment/>
    </xf>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22" fillId="0" borderId="0" applyFont="0" applyFill="0" applyBorder="0" applyAlignment="0" applyProtection="0"/>
    <xf numFmtId="0" fontId="56" fillId="0" borderId="0" applyFont="0" applyFill="0" applyBorder="0" applyAlignment="0" applyProtection="0"/>
    <xf numFmtId="0" fontId="56" fillId="0" borderId="8" applyNumberFormat="0" applyFont="0" applyFill="0" applyAlignment="0" applyProtection="0"/>
    <xf numFmtId="170" fontId="0" fillId="0" borderId="0">
      <alignment/>
      <protection/>
    </xf>
    <xf numFmtId="0" fontId="7"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4" fillId="0" borderId="0" applyNumberFormat="0" applyFill="0" applyBorder="0" applyAlignment="0" applyProtection="0"/>
    <xf numFmtId="2" fontId="65" fillId="0" borderId="0" applyFont="0" applyFill="0" applyBorder="0" applyAlignment="0" applyProtection="0"/>
    <xf numFmtId="0" fontId="59" fillId="0" borderId="0">
      <alignment/>
      <protection/>
    </xf>
    <xf numFmtId="0" fontId="66" fillId="0" borderId="0" applyFill="0" applyBorder="0" applyProtection="0">
      <alignment horizontal="left"/>
    </xf>
    <xf numFmtId="0" fontId="8" fillId="10" borderId="0" applyNumberFormat="0" applyBorder="0" applyAlignment="0" applyProtection="0"/>
    <xf numFmtId="0" fontId="67" fillId="16" borderId="0" applyNumberFormat="0" applyBorder="0" applyAlignment="0" applyProtection="0"/>
    <xf numFmtId="0" fontId="68" fillId="10" borderId="0" applyNumberFormat="0" applyBorder="0" applyAlignment="0" applyProtection="0"/>
    <xf numFmtId="0" fontId="67" fillId="16" borderId="0" applyNumberFormat="0" applyBorder="0" applyAlignment="0" applyProtection="0"/>
    <xf numFmtId="0" fontId="68" fillId="10" borderId="0" applyNumberFormat="0" applyBorder="0" applyAlignment="0" applyProtection="0"/>
    <xf numFmtId="0" fontId="38" fillId="10"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05" fillId="56" borderId="0" applyNumberFormat="0" applyBorder="0" applyAlignment="0" applyProtection="0"/>
    <xf numFmtId="0" fontId="22" fillId="21" borderId="0" applyNumberFormat="0" applyBorder="0" applyAlignment="0" applyProtection="0"/>
    <xf numFmtId="0" fontId="56" fillId="0" borderId="0" applyFont="0" applyFill="0" applyBorder="0" applyProtection="0">
      <alignment/>
    </xf>
    <xf numFmtId="0" fontId="69" fillId="0" borderId="0" applyProtection="0">
      <alignment horizontal="right"/>
    </xf>
    <xf numFmtId="0" fontId="28" fillId="0" borderId="9" applyNumberFormat="0" applyProtection="0">
      <alignment/>
    </xf>
    <xf numFmtId="0" fontId="28" fillId="0" borderId="10">
      <alignment horizontal="left"/>
      <protection/>
    </xf>
    <xf numFmtId="0" fontId="9" fillId="0" borderId="11" applyNumberFormat="0" applyFill="0" applyAlignment="0" applyProtection="0"/>
    <xf numFmtId="0" fontId="70" fillId="0" borderId="12" applyNumberFormat="0" applyFill="0" applyAlignment="0" applyProtection="0"/>
    <xf numFmtId="0" fontId="71" fillId="0" borderId="12" applyNumberFormat="0" applyFill="0" applyAlignment="0" applyProtection="0"/>
    <xf numFmtId="0" fontId="71" fillId="0" borderId="12" applyNumberFormat="0" applyFill="0" applyAlignment="0" applyProtection="0"/>
    <xf numFmtId="0" fontId="9" fillId="0" borderId="11"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70" fillId="0" borderId="12" applyNumberFormat="0" applyFill="0" applyAlignment="0" applyProtection="0"/>
    <xf numFmtId="0" fontId="9" fillId="0" borderId="11" applyNumberFormat="0" applyFill="0" applyAlignment="0" applyProtection="0"/>
    <xf numFmtId="0" fontId="106" fillId="0" borderId="13" applyNumberFormat="0" applyFill="0" applyAlignment="0" applyProtection="0"/>
    <xf numFmtId="0" fontId="10" fillId="0" borderId="14" applyNumberFormat="0" applyFill="0" applyAlignment="0" applyProtection="0"/>
    <xf numFmtId="0" fontId="72" fillId="0" borderId="15" applyNumberFormat="0" applyFill="0" applyAlignment="0" applyProtection="0"/>
    <xf numFmtId="0" fontId="28" fillId="0" borderId="0" applyNumberFormat="0" applyFont="0" applyFill="0" applyAlignment="0" applyProtection="0"/>
    <xf numFmtId="0" fontId="28" fillId="0" borderId="0" applyNumberFormat="0" applyFont="0" applyFill="0" applyAlignment="0" applyProtection="0"/>
    <xf numFmtId="0" fontId="10" fillId="0" borderId="14"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10" fillId="0" borderId="14" applyNumberFormat="0" applyFill="0" applyAlignment="0" applyProtection="0"/>
    <xf numFmtId="0" fontId="107" fillId="0" borderId="16" applyNumberFormat="0" applyFill="0" applyAlignment="0" applyProtection="0"/>
    <xf numFmtId="0" fontId="11" fillId="0" borderId="17" applyNumberFormat="0" applyFill="0" applyAlignment="0" applyProtection="0"/>
    <xf numFmtId="0" fontId="73"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11" fillId="0" borderId="17"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11" fillId="0" borderId="17" applyNumberFormat="0" applyFill="0" applyAlignment="0" applyProtection="0"/>
    <xf numFmtId="0" fontId="108" fillId="0" borderId="19" applyNumberFormat="0" applyFill="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08" fillId="0" borderId="0" applyNumberFormat="0" applyFill="0" applyBorder="0" applyAlignment="0" applyProtection="0"/>
    <xf numFmtId="38" fontId="40" fillId="0" borderId="0">
      <alignment/>
      <protection/>
    </xf>
    <xf numFmtId="40" fontId="40" fillId="0" borderId="0">
      <alignment/>
      <protection/>
    </xf>
    <xf numFmtId="0" fontId="12" fillId="0" borderId="0" applyNumberFormat="0" applyFill="0" applyBorder="0">
      <alignment/>
      <protection locked="0"/>
    </xf>
    <xf numFmtId="0" fontId="75" fillId="0" borderId="0" applyNumberFormat="0" applyFill="0" applyBorder="0" applyAlignment="0" applyProtection="0"/>
    <xf numFmtId="0" fontId="75" fillId="0" borderId="0" applyNumberFormat="0" applyFill="0" applyBorder="0" applyAlignment="0" applyProtection="0"/>
    <xf numFmtId="0" fontId="109" fillId="0" borderId="0" applyNumberFormat="0" applyFill="0" applyBorder="0" applyAlignment="0" applyProtection="0"/>
    <xf numFmtId="0" fontId="12" fillId="0" borderId="0" applyNumberFormat="0" applyFill="0" applyBorder="0">
      <alignment/>
      <protection locked="0"/>
    </xf>
    <xf numFmtId="0" fontId="12" fillId="0" borderId="0" applyNumberFormat="0" applyFill="0" applyBorder="0">
      <alignment/>
      <protection locked="0"/>
    </xf>
    <xf numFmtId="0" fontId="110" fillId="0" borderId="0" applyNumberFormat="0" applyFill="0" applyBorder="0">
      <alignment/>
      <protection locked="0"/>
    </xf>
    <xf numFmtId="0" fontId="12" fillId="0" borderId="0" applyNumberFormat="0" applyFill="0" applyBorder="0">
      <alignment/>
      <protection locked="0"/>
    </xf>
    <xf numFmtId="0" fontId="12" fillId="0" borderId="0" applyNumberFormat="0" applyFill="0" applyBorder="0">
      <alignment/>
      <protection locked="0"/>
    </xf>
    <xf numFmtId="0" fontId="110" fillId="0" borderId="0" applyNumberFormat="0" applyFill="0" applyBorder="0">
      <alignment/>
      <protection locked="0"/>
    </xf>
    <xf numFmtId="0" fontId="109" fillId="0" borderId="0" applyNumberFormat="0" applyFill="0" applyBorder="0" applyAlignment="0" applyProtection="0"/>
    <xf numFmtId="0" fontId="13" fillId="8" borderId="3" applyNumberFormat="0" applyAlignment="0" applyProtection="0"/>
    <xf numFmtId="0" fontId="22" fillId="57" borderId="20" applyNumberFormat="0" applyBorder="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11" fillId="58" borderId="5" applyNumberFormat="0" applyAlignment="0" applyProtection="0"/>
    <xf numFmtId="41" fontId="48" fillId="2" borderId="21">
      <alignment horizontal="left"/>
      <protection locked="0"/>
    </xf>
    <xf numFmtId="0" fontId="22" fillId="21" borderId="0">
      <alignment/>
      <protection/>
    </xf>
    <xf numFmtId="0" fontId="14"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0" fontId="79" fillId="0" borderId="22" applyNumberFormat="0" applyFill="0" applyAlignment="0" applyProtection="0"/>
    <xf numFmtId="0" fontId="112" fillId="0" borderId="23" applyNumberFormat="0" applyFill="0" applyAlignment="0" applyProtection="0"/>
    <xf numFmtId="0" fontId="29" fillId="0" borderId="24" applyNumberFormat="0" applyFont="0">
      <alignment/>
      <protection/>
    </xf>
    <xf numFmtId="0" fontId="29" fillId="0" borderId="25" applyNumberFormat="0" applyFont="0">
      <alignment/>
      <protection/>
    </xf>
    <xf numFmtId="0" fontId="56" fillId="0" borderId="0" applyFont="0" applyFill="0" applyBorder="0" applyProtection="0">
      <alignment/>
    </xf>
    <xf numFmtId="0" fontId="15" fillId="2"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81" fillId="2" borderId="0" applyNumberFormat="0" applyBorder="0" applyAlignment="0" applyProtection="0"/>
    <xf numFmtId="0" fontId="80"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113" fillId="59" borderId="0" applyNumberFormat="0" applyBorder="0" applyAlignment="0" applyProtection="0"/>
    <xf numFmtId="37" fontId="82" fillId="0" borderId="0">
      <alignment/>
      <protection/>
    </xf>
    <xf numFmtId="180" fontId="8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84" fillId="0" borderId="0">
      <alignment/>
      <protection/>
    </xf>
    <xf numFmtId="0" fontId="22" fillId="0" borderId="0">
      <alignment/>
      <protection/>
    </xf>
    <xf numFmtId="0" fontId="22"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2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46" fillId="0" borderId="0">
      <alignment/>
      <protection/>
    </xf>
    <xf numFmtId="0" fontId="46" fillId="0" borderId="0">
      <alignment/>
      <protection/>
    </xf>
    <xf numFmtId="0" fontId="1" fillId="0" borderId="0">
      <alignment/>
      <protection/>
    </xf>
    <xf numFmtId="0" fontId="57"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57" fillId="0" borderId="0">
      <alignment/>
      <protection/>
    </xf>
    <xf numFmtId="0" fontId="1" fillId="0" borderId="0">
      <alignment/>
      <protection/>
    </xf>
    <xf numFmtId="0" fontId="45"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57" fillId="0" borderId="0">
      <alignment/>
      <protection/>
    </xf>
    <xf numFmtId="0" fontId="46" fillId="0" borderId="0">
      <alignment/>
      <protection/>
    </xf>
    <xf numFmtId="0" fontId="1"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45" fillId="60" borderId="27"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114" fillId="54" borderId="29" applyNumberFormat="0" applyAlignment="0" applyProtection="0"/>
    <xf numFmtId="1" fontId="87" fillId="0" borderId="0" applyProtection="0">
      <alignment horizontal="right" vertical="center"/>
    </xf>
    <xf numFmtId="0" fontId="59"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181" fontId="66" fillId="0" borderId="31" applyFont="0" applyFill="0" applyBorder="0" applyAlignment="0" applyProtection="0"/>
    <xf numFmtId="0" fontId="88" fillId="0" borderId="0" applyNumberFormat="0" applyFill="0" applyBorder="0" applyAlignment="0" applyProtection="0"/>
    <xf numFmtId="0" fontId="89" fillId="0" borderId="0" applyNumberFormat="0" applyFill="0" applyBorder="0" applyProtection="0">
      <alignment/>
    </xf>
    <xf numFmtId="182" fontId="0" fillId="0" borderId="0" applyFont="0" applyFill="0">
      <alignment/>
      <protection/>
    </xf>
    <xf numFmtId="0" fontId="90" fillId="21" borderId="0" applyNumberFormat="0" applyFont="0" applyBorder="0" applyAlignment="0" applyProtection="0"/>
    <xf numFmtId="39" fontId="0" fillId="62" borderId="0">
      <alignment/>
      <protection/>
    </xf>
    <xf numFmtId="38" fontId="22" fillId="0" borderId="32">
      <alignment/>
      <protection/>
    </xf>
    <xf numFmtId="38" fontId="40" fillId="0" borderId="33">
      <alignment/>
      <protection/>
    </xf>
    <xf numFmtId="39" fontId="89" fillId="63" borderId="0">
      <alignment/>
      <protection/>
    </xf>
    <xf numFmtId="170" fontId="0" fillId="0" borderId="0">
      <alignment horizontal="left" wrapText="1"/>
      <protection/>
    </xf>
    <xf numFmtId="40" fontId="91" fillId="0" borderId="0" applyBorder="0">
      <alignment horizontal="right"/>
      <protection/>
    </xf>
    <xf numFmtId="0" fontId="92" fillId="0" borderId="0" applyBorder="0" applyProtection="0">
      <alignment vertical="center"/>
    </xf>
    <xf numFmtId="0" fontId="92" fillId="0" borderId="34" applyBorder="0" applyProtection="0">
      <alignment horizontal="right" vertical="center"/>
    </xf>
    <xf numFmtId="0" fontId="93" fillId="20" borderId="0" applyBorder="0" applyProtection="0">
      <alignment horizontal="centerContinuous" vertical="center"/>
    </xf>
    <xf numFmtId="0" fontId="93" fillId="64" borderId="34" applyBorder="0" applyProtection="0">
      <alignment horizontal="centerContinuous" vertical="center"/>
    </xf>
    <xf numFmtId="0" fontId="40" fillId="0" borderId="0" applyBorder="0" applyProtection="0">
      <alignment horizontal="left"/>
    </xf>
    <xf numFmtId="0" fontId="94" fillId="0" borderId="0" applyFill="0" applyBorder="0" applyProtection="0">
      <alignment horizontal="left"/>
    </xf>
    <xf numFmtId="0" fontId="22" fillId="0" borderId="31" applyFill="0" applyBorder="0" applyProtection="0">
      <alignment horizontal="left" vertical="top"/>
    </xf>
    <xf numFmtId="0" fontId="19"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9" fillId="0" borderId="0" applyNumberFormat="0" applyFill="0" applyBorder="0" applyAlignment="0" applyProtection="0"/>
    <xf numFmtId="0" fontId="115" fillId="0" borderId="0" applyNumberFormat="0" applyFill="0" applyBorder="0" applyAlignment="0" applyProtection="0"/>
    <xf numFmtId="0" fontId="29" fillId="57" borderId="0">
      <alignment horizontal="left" wrapText="1"/>
      <protection/>
    </xf>
    <xf numFmtId="0" fontId="97" fillId="0" borderId="0">
      <alignment horizontal="left" vertical="center"/>
      <protection/>
    </xf>
    <xf numFmtId="0" fontId="20"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116" fillId="0" borderId="37" applyNumberFormat="0" applyFill="0" applyAlignment="0" applyProtection="0"/>
    <xf numFmtId="37" fontId="0" fillId="0" borderId="0">
      <alignment/>
      <protection/>
    </xf>
    <xf numFmtId="0" fontId="21"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117" fillId="0" borderId="0" applyNumberForma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37" fillId="0" borderId="0">
      <alignment/>
      <protection/>
    </xf>
    <xf numFmtId="43" fontId="137" fillId="0" borderId="0" applyFont="0" applyFill="0" applyBorder="0" applyAlignment="0" applyProtection="0"/>
    <xf numFmtId="0" fontId="137" fillId="0" borderId="0">
      <alignment/>
      <protection/>
    </xf>
    <xf numFmtId="43" fontId="137" fillId="0" borderId="0" applyFont="0" applyFill="0" applyBorder="0" applyAlignment="0" applyProtection="0"/>
    <xf numFmtId="0" fontId="137" fillId="0" borderId="0">
      <alignment/>
      <protection/>
    </xf>
    <xf numFmtId="43" fontId="137"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0" fontId="106" fillId="0" borderId="13" applyNumberFormat="0" applyFill="0" applyAlignment="0" applyProtection="0"/>
    <xf numFmtId="0" fontId="107" fillId="0" borderId="16" applyNumberFormat="0" applyFill="0" applyAlignment="0" applyProtection="0"/>
    <xf numFmtId="0" fontId="108" fillId="0" borderId="19" applyNumberFormat="0" applyFill="0" applyAlignment="0" applyProtection="0"/>
    <xf numFmtId="0" fontId="105" fillId="56" borderId="0" applyNumberFormat="0" applyBorder="0" applyAlignment="0" applyProtection="0"/>
    <xf numFmtId="0" fontId="101" fillId="53" borderId="0" applyNumberFormat="0" applyBorder="0" applyAlignment="0" applyProtection="0"/>
    <xf numFmtId="0" fontId="113" fillId="59" borderId="0" applyNumberFormat="0" applyBorder="0" applyAlignment="0" applyProtection="0"/>
    <xf numFmtId="0" fontId="111" fillId="58" borderId="5" applyNumberFormat="0" applyAlignment="0" applyProtection="0"/>
    <xf numFmtId="0" fontId="114" fillId="54" borderId="29" applyNumberFormat="0" applyAlignment="0" applyProtection="0"/>
    <xf numFmtId="0" fontId="102" fillId="54" borderId="5" applyNumberFormat="0" applyAlignment="0" applyProtection="0"/>
    <xf numFmtId="0" fontId="112" fillId="0" borderId="23" applyNumberFormat="0" applyFill="0" applyAlignment="0" applyProtection="0"/>
    <xf numFmtId="0" fontId="103" fillId="55" borderId="7" applyNumberFormat="0" applyAlignment="0" applyProtection="0"/>
    <xf numFmtId="0" fontId="104" fillId="0" borderId="0" applyNumberFormat="0" applyFill="0" applyBorder="0" applyAlignment="0" applyProtection="0"/>
    <xf numFmtId="0" fontId="116" fillId="0" borderId="37" applyNumberFormat="0" applyFill="0" applyAlignment="0" applyProtection="0"/>
    <xf numFmtId="0" fontId="100" fillId="43" borderId="0" applyNumberFormat="0" applyBorder="0" applyAlignment="0" applyProtection="0"/>
    <xf numFmtId="0" fontId="1" fillId="6" borderId="0" applyNumberFormat="0" applyBorder="0" applyAlignment="0" applyProtection="0"/>
    <xf numFmtId="0" fontId="1" fillId="22" borderId="0" applyNumberFormat="0" applyBorder="0" applyAlignment="0" applyProtection="0"/>
    <xf numFmtId="0" fontId="100" fillId="33" borderId="0" applyNumberFormat="0" applyBorder="0" applyAlignment="0" applyProtection="0"/>
    <xf numFmtId="0" fontId="100" fillId="45"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00" fillId="34" borderId="0" applyNumberFormat="0" applyBorder="0" applyAlignment="0" applyProtection="0"/>
    <xf numFmtId="0" fontId="100" fillId="47"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00" fillId="35" borderId="0" applyNumberFormat="0" applyBorder="0" applyAlignment="0" applyProtection="0"/>
    <xf numFmtId="0" fontId="100" fillId="49"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00" fillId="37" borderId="0" applyNumberFormat="0" applyBorder="0" applyAlignment="0" applyProtection="0"/>
    <xf numFmtId="0" fontId="100" fillId="50"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00" fillId="38" borderId="0" applyNumberFormat="0" applyBorder="0" applyAlignment="0" applyProtection="0"/>
    <xf numFmtId="0" fontId="100" fillId="5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00" fillId="41"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36" fillId="0" borderId="0">
      <alignment/>
      <protection/>
    </xf>
    <xf numFmtId="43" fontId="36" fillId="0" borderId="0" applyFont="0" applyFill="0" applyBorder="0" applyAlignment="0" applyProtection="0"/>
    <xf numFmtId="0" fontId="172" fillId="0" borderId="0">
      <alignment/>
      <protection/>
    </xf>
    <xf numFmtId="43" fontId="172" fillId="0" borderId="0" applyFont="0" applyFill="0" applyBorder="0" applyAlignment="0" applyProtection="0"/>
    <xf numFmtId="0" fontId="36" fillId="0" borderId="0">
      <alignment/>
      <protection/>
    </xf>
    <xf numFmtId="43" fontId="36" fillId="0" borderId="0" applyFont="0" applyFill="0" applyBorder="0" applyAlignment="0" applyProtection="0"/>
    <xf numFmtId="9" fontId="36" fillId="0" borderId="0" applyFont="0" applyFill="0" applyBorder="0" applyAlignment="0" applyProtection="0"/>
    <xf numFmtId="43" fontId="58" fillId="0" borderId="0" applyFont="0" applyFill="0" applyBorder="0" applyAlignment="0" applyProtection="0"/>
    <xf numFmtId="0" fontId="84" fillId="0" borderId="0">
      <alignment/>
      <protection/>
    </xf>
    <xf numFmtId="0" fontId="0" fillId="0" borderId="0">
      <alignment/>
      <protection/>
    </xf>
    <xf numFmtId="0" fontId="84" fillId="0" borderId="0">
      <alignment/>
      <protection/>
    </xf>
    <xf numFmtId="0" fontId="84" fillId="0" borderId="0">
      <alignment/>
      <protection/>
    </xf>
    <xf numFmtId="0" fontId="12"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20" fillId="0" borderId="0">
      <alignment/>
      <protection/>
    </xf>
    <xf numFmtId="0" fontId="173" fillId="0" borderId="0">
      <alignment/>
      <protection/>
    </xf>
    <xf numFmtId="0" fontId="1" fillId="0" borderId="0">
      <alignment/>
      <protection/>
    </xf>
    <xf numFmtId="43" fontId="1" fillId="0" borderId="0" applyFont="0" applyFill="0" applyBorder="0" applyAlignment="0" applyProtection="0"/>
    <xf numFmtId="44" fontId="1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85" fillId="21" borderId="28" applyNumberFormat="0" applyAlignment="0" applyProtection="0"/>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2" fontId="0" fillId="0" borderId="0">
      <alignment horizontal="left" wrapText="1"/>
      <protection/>
    </xf>
    <xf numFmtId="0" fontId="45" fillId="4" borderId="0" applyNumberFormat="0" applyBorder="0" applyAlignment="0" applyProtection="0"/>
    <xf numFmtId="0" fontId="1" fillId="6"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45" fillId="11" borderId="0" applyNumberFormat="0" applyBorder="0" applyAlignment="0" applyProtection="0"/>
    <xf numFmtId="0" fontId="1" fillId="12" borderId="0" applyNumberFormat="0" applyBorder="0" applyAlignment="0" applyProtection="0"/>
    <xf numFmtId="0" fontId="45" fillId="4" borderId="0" applyNumberFormat="0" applyBorder="0" applyAlignment="0" applyProtection="0"/>
    <xf numFmtId="0" fontId="1" fillId="14"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45" fillId="8" borderId="0" applyNumberFormat="0" applyBorder="0" applyAlignment="0" applyProtection="0"/>
    <xf numFmtId="0" fontId="1" fillId="18" borderId="0" applyNumberFormat="0" applyBorder="0" applyAlignment="0" applyProtection="0"/>
    <xf numFmtId="0" fontId="45" fillId="20"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1" fillId="24" borderId="0" applyNumberFormat="0" applyBorder="0" applyAlignment="0" applyProtection="0"/>
    <xf numFmtId="0" fontId="45" fillId="2" borderId="0" applyNumberFormat="0" applyBorder="0" applyAlignment="0" applyProtection="0"/>
    <xf numFmtId="0" fontId="1" fillId="26" borderId="0" applyNumberFormat="0" applyBorder="0" applyAlignment="0" applyProtection="0"/>
    <xf numFmtId="0" fontId="45" fillId="21" borderId="0" applyNumberFormat="0" applyBorder="0" applyAlignment="0" applyProtection="0"/>
    <xf numFmtId="0" fontId="1" fillId="27" borderId="0" applyNumberFormat="0" applyBorder="0" applyAlignment="0" applyProtection="0"/>
    <xf numFmtId="0" fontId="45" fillId="16" borderId="0" applyNumberFormat="0" applyBorder="0" applyAlignment="0" applyProtection="0"/>
    <xf numFmtId="0" fontId="1" fillId="28" borderId="0" applyNumberFormat="0" applyBorder="0" applyAlignment="0" applyProtection="0"/>
    <xf numFmtId="0" fontId="45" fillId="8" borderId="0" applyNumberFormat="0" applyBorder="0" applyAlignment="0" applyProtection="0"/>
    <xf numFmtId="0" fontId="1"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70" fontId="0" fillId="0" borderId="0">
      <alignment/>
      <protection/>
    </xf>
    <xf numFmtId="0" fontId="28" fillId="0" borderId="10">
      <alignment horizontal="left"/>
      <protection/>
    </xf>
    <xf numFmtId="0" fontId="36" fillId="11" borderId="26" applyNumberFormat="0" applyFont="0" applyAlignment="0" applyProtection="0"/>
    <xf numFmtId="0" fontId="75" fillId="0" borderId="0" applyNumberFormat="0" applyFill="0" applyBorder="0" applyAlignment="0" applyProtection="0"/>
    <xf numFmtId="0" fontId="22" fillId="57" borderId="2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8" borderId="3" applyNumberFormat="0" applyAlignment="0" applyProtection="0"/>
    <xf numFmtId="0" fontId="22" fillId="0" borderId="0">
      <alignment/>
      <protection/>
    </xf>
    <xf numFmtId="0" fontId="2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8" borderId="3" applyNumberFormat="0" applyAlignment="0" applyProtection="0"/>
    <xf numFmtId="0" fontId="0"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21" borderId="3" applyNumberFormat="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11" borderId="26" applyNumberFormat="0" applyFont="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35" applyNumberFormat="0" applyFill="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1" borderId="3" applyNumberFormat="0" applyAlignment="0" applyProtection="0"/>
    <xf numFmtId="0" fontId="4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21" borderId="3" applyNumberFormat="0" applyAlignment="0" applyProtection="0"/>
    <xf numFmtId="0" fontId="76" fillId="8" borderId="3" applyNumberFormat="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182" fontId="0" fillId="0" borderId="0" applyFont="0" applyFill="0">
      <alignment/>
      <protection/>
    </xf>
    <xf numFmtId="39" fontId="0" fillId="62" borderId="0">
      <alignment/>
      <protection/>
    </xf>
    <xf numFmtId="170" fontId="0" fillId="0" borderId="0">
      <alignment horizontal="left" wrapText="1"/>
      <protection/>
    </xf>
    <xf numFmtId="37" fontId="0" fillId="0" borderId="0">
      <alignment/>
      <protection/>
    </xf>
    <xf numFmtId="43" fontId="1" fillId="0" borderId="0" applyFont="0" applyFill="0" applyBorder="0" applyAlignment="0" applyProtection="0"/>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0" fontId="0" fillId="0" borderId="0">
      <alignment horizontal="left" wrapText="1"/>
      <protection/>
    </xf>
    <xf numFmtId="172" fontId="0" fillId="0" borderId="0">
      <alignment horizontal="left" wrapText="1"/>
      <protection/>
    </xf>
    <xf numFmtId="170" fontId="0" fillId="0" borderId="0">
      <alignment horizontal="left" wrapText="1"/>
      <protection/>
    </xf>
    <xf numFmtId="172" fontId="0" fillId="0" borderId="0">
      <alignment horizontal="left" wrapText="1"/>
      <protection/>
    </xf>
    <xf numFmtId="0" fontId="34" fillId="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4" fillId="8"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5"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9" borderId="0" applyNumberFormat="0" applyBorder="0" applyAlignment="0" applyProtection="0"/>
    <xf numFmtId="0" fontId="39" fillId="31" borderId="0" applyNumberFormat="0" applyBorder="0" applyAlignment="0" applyProtection="0"/>
    <xf numFmtId="0" fontId="39" fillId="23" borderId="0" applyNumberFormat="0" applyBorder="0" applyAlignment="0" applyProtection="0"/>
    <xf numFmtId="0" fontId="39" fillId="25" borderId="0" applyNumberFormat="0" applyBorder="0" applyAlignment="0" applyProtection="0"/>
    <xf numFmtId="0" fontId="39" fillId="36" borderId="0" applyNumberFormat="0" applyBorder="0" applyAlignment="0" applyProtection="0"/>
    <xf numFmtId="0" fontId="39" fillId="32" borderId="0" applyNumberFormat="0" applyBorder="0" applyAlignment="0" applyProtection="0"/>
    <xf numFmtId="0" fontId="39" fillId="39" borderId="0" applyNumberFormat="0" applyBorder="0" applyAlignment="0" applyProtection="0"/>
    <xf numFmtId="0" fontId="39" fillId="42" borderId="0" applyNumberFormat="0" applyBorder="0" applyAlignment="0" applyProtection="0"/>
    <xf numFmtId="0" fontId="39" fillId="44" borderId="0" applyNumberFormat="0" applyBorder="0" applyAlignment="0" applyProtection="0"/>
    <xf numFmtId="0" fontId="39" fillId="46" borderId="0" applyNumberFormat="0" applyBorder="0" applyAlignment="0" applyProtection="0"/>
    <xf numFmtId="0" fontId="39" fillId="36" borderId="0" applyNumberFormat="0" applyBorder="0" applyAlignment="0" applyProtection="0"/>
    <xf numFmtId="0" fontId="39" fillId="32" borderId="0" applyNumberFormat="0" applyBorder="0" applyAlignment="0" applyProtection="0"/>
    <xf numFmtId="0" fontId="39" fillId="51" borderId="0" applyNumberFormat="0" applyBorder="0" applyAlignment="0" applyProtection="0"/>
    <xf numFmtId="0" fontId="51" fillId="7" borderId="0" applyNumberFormat="0" applyBorder="0" applyAlignment="0" applyProtection="0"/>
    <xf numFmtId="0" fontId="53" fillId="21" borderId="3" applyNumberFormat="0" applyAlignment="0" applyProtection="0"/>
    <xf numFmtId="0" fontId="30" fillId="5" borderId="6" applyNumberFormat="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Font="0" applyFill="0" applyBorder="0" applyProtection="0">
      <alignment/>
    </xf>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22" fillId="0" borderId="0" applyFont="0" applyFill="0" applyBorder="0" applyAlignment="0" applyProtection="0"/>
    <xf numFmtId="170" fontId="0" fillId="0" borderId="0">
      <alignment/>
      <protection/>
    </xf>
    <xf numFmtId="0" fontId="64" fillId="0" borderId="0" applyNumberFormat="0" applyFill="0" applyBorder="0" applyAlignment="0" applyProtection="0"/>
    <xf numFmtId="0" fontId="38" fillId="10" borderId="0" applyNumberFormat="0" applyBorder="0" applyAlignment="0" applyProtection="0"/>
    <xf numFmtId="0" fontId="22" fillId="21" borderId="0" applyNumberFormat="0" applyBorder="0" applyAlignment="0" applyProtection="0"/>
    <xf numFmtId="0" fontId="9" fillId="0" borderId="11" applyNumberFormat="0" applyFill="0" applyAlignment="0" applyProtection="0"/>
    <xf numFmtId="0" fontId="10" fillId="0" borderId="14"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22" fillId="57" borderId="20" applyNumberFormat="0" applyBorder="0" applyAlignment="0" applyProtection="0"/>
    <xf numFmtId="0" fontId="77" fillId="8" borderId="3" applyNumberFormat="0" applyAlignment="0" applyProtection="0"/>
    <xf numFmtId="0" fontId="22" fillId="21" borderId="0">
      <alignment/>
      <protection/>
    </xf>
    <xf numFmtId="0" fontId="79" fillId="0" borderId="22" applyNumberFormat="0" applyFill="0" applyAlignment="0" applyProtection="0"/>
    <xf numFmtId="0" fontId="81"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35" applyNumberFormat="0" applyFill="0" applyAlignment="0" applyProtection="0"/>
    <xf numFmtId="0" fontId="0" fillId="11" borderId="26" applyNumberFormat="0" applyFont="0" applyAlignment="0" applyProtection="0"/>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182" fontId="0" fillId="0" borderId="0" applyFont="0" applyFill="0">
      <alignment/>
      <protection/>
    </xf>
    <xf numFmtId="39" fontId="0" fillId="62" borderId="0">
      <alignment/>
      <protection/>
    </xf>
    <xf numFmtId="38" fontId="22" fillId="0" borderId="32">
      <alignment/>
      <protection/>
    </xf>
    <xf numFmtId="170" fontId="0" fillId="0" borderId="0">
      <alignment horizontal="left" wrapText="1"/>
      <protection/>
    </xf>
    <xf numFmtId="0" fontId="19" fillId="0" borderId="0" applyNumberFormat="0" applyFill="0" applyBorder="0" applyAlignment="0" applyProtection="0"/>
    <xf numFmtId="0" fontId="32" fillId="0" borderId="35" applyNumberFormat="0" applyFill="0" applyAlignment="0" applyProtection="0"/>
    <xf numFmtId="37" fontId="0" fillId="0" borderId="0">
      <alignment/>
      <protection/>
    </xf>
    <xf numFmtId="0" fontId="33" fillId="0" borderId="0" applyNumberForma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0" fontId="36" fillId="0" borderId="0">
      <alignment/>
      <protection/>
    </xf>
    <xf numFmtId="43" fontId="36" fillId="0" borderId="0" applyFont="0" applyFill="0" applyBorder="0" applyAlignment="0" applyProtection="0"/>
    <xf numFmtId="43" fontId="172" fillId="0" borderId="0" applyFont="0" applyFill="0" applyBorder="0" applyAlignment="0" applyProtection="0"/>
    <xf numFmtId="0" fontId="172" fillId="0" borderId="0">
      <alignment/>
      <protection/>
    </xf>
    <xf numFmtId="0" fontId="36" fillId="0" borderId="0">
      <alignment/>
      <protection/>
    </xf>
    <xf numFmtId="168" fontId="22" fillId="0" borderId="0" applyFont="0" applyFill="0" applyBorder="0" applyAlignment="0" applyProtection="0"/>
    <xf numFmtId="169" fontId="22" fillId="0" borderId="0" applyFont="0" applyFill="0" applyBorder="0" applyAlignment="0" applyProtection="0"/>
    <xf numFmtId="171"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0" fontId="22" fillId="2" borderId="0" applyNumberFormat="0" applyFont="0" applyAlignment="0" applyProtection="0"/>
    <xf numFmtId="176" fontId="22" fillId="0" borderId="0" applyFont="0" applyFill="0" applyBorder="0" applyAlignment="0" applyProtection="0"/>
    <xf numFmtId="177" fontId="22" fillId="0" borderId="0" applyFont="0" applyFill="0" applyBorder="0" applyProtection="0">
      <alignment horizontal="right"/>
    </xf>
    <xf numFmtId="0" fontId="45" fillId="36"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2" fillId="7"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2" fillId="10" borderId="0" applyNumberFormat="0" applyBorder="0" applyAlignment="0" applyProtection="0"/>
    <xf numFmtId="0" fontId="1"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2" fillId="15" borderId="0" applyNumberFormat="0" applyBorder="0" applyAlignment="0" applyProtection="0"/>
    <xf numFmtId="0" fontId="1" fillId="1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2" fillId="8"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2" fillId="19"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 fillId="13" borderId="0" applyNumberFormat="0" applyBorder="0" applyAlignment="0" applyProtection="0"/>
    <xf numFmtId="0" fontId="1" fillId="27"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2" fillId="19"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5" fillId="4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3" fillId="31" borderId="0" applyNumberFormat="0" applyBorder="0" applyAlignment="0" applyProtection="0"/>
    <xf numFmtId="0" fontId="100" fillId="3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3" fillId="23" borderId="0" applyNumberFormat="0" applyBorder="0" applyAlignment="0" applyProtection="0"/>
    <xf numFmtId="0" fontId="100" fillId="3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3" fillId="25" borderId="0" applyNumberFormat="0" applyBorder="0" applyAlignment="0" applyProtection="0"/>
    <xf numFmtId="0" fontId="100"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100" fillId="37" borderId="0" applyNumberFormat="0" applyBorder="0" applyAlignment="0" applyProtection="0"/>
    <xf numFmtId="0" fontId="45" fillId="3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100" fillId="38"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 fillId="39" borderId="0" applyNumberFormat="0" applyBorder="0" applyAlignment="0" applyProtection="0"/>
    <xf numFmtId="0" fontId="100" fillId="4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3" fillId="42" borderId="0" applyNumberFormat="0" applyBorder="0" applyAlignment="0" applyProtection="0"/>
    <xf numFmtId="0" fontId="100"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3" fillId="44" borderId="0" applyNumberFormat="0" applyBorder="0" applyAlignment="0" applyProtection="0"/>
    <xf numFmtId="0" fontId="100"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3" fillId="46" borderId="0" applyNumberFormat="0" applyBorder="0" applyAlignment="0" applyProtection="0"/>
    <xf numFmtId="0" fontId="100" fillId="4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100" fillId="4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100" fillId="50" borderId="0" applyNumberFormat="0" applyBorder="0" applyAlignment="0" applyProtection="0"/>
    <xf numFmtId="0" fontId="45" fillId="36"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3" fillId="51" borderId="0" applyNumberFormat="0" applyBorder="0" applyAlignment="0" applyProtection="0"/>
    <xf numFmtId="0" fontId="100" fillId="52" borderId="0" applyNumberFormat="0" applyBorder="0" applyAlignment="0" applyProtection="0"/>
    <xf numFmtId="0" fontId="48" fillId="0" borderId="0" applyNumberFormat="0" applyFill="0" applyBorder="0" applyAlignment="0">
      <protection locked="0"/>
    </xf>
    <xf numFmtId="0" fontId="50" fillId="7" borderId="0" applyNumberFormat="0" applyBorder="0" applyAlignment="0" applyProtection="0"/>
    <xf numFmtId="0" fontId="50" fillId="7" borderId="0" applyNumberFormat="0" applyBorder="0" applyAlignment="0" applyProtection="0"/>
    <xf numFmtId="0" fontId="4" fillId="7" borderId="0" applyNumberFormat="0" applyBorder="0" applyAlignment="0" applyProtection="0"/>
    <xf numFmtId="0" fontId="101" fillId="53"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102" fillId="54" borderId="5" applyNumberFormat="0" applyAlignment="0" applyProtection="0"/>
    <xf numFmtId="0" fontId="55" fillId="5" borderId="6" applyNumberFormat="0" applyAlignment="0" applyProtection="0"/>
    <xf numFmtId="0" fontId="85" fillId="21" borderId="28" applyNumberFormat="0" applyAlignment="0" applyProtection="0"/>
    <xf numFmtId="0" fontId="55" fillId="5" borderId="6" applyNumberFormat="0" applyAlignment="0" applyProtection="0"/>
    <xf numFmtId="0" fontId="55" fillId="5" borderId="6" applyNumberFormat="0" applyAlignment="0" applyProtection="0"/>
    <xf numFmtId="0" fontId="6" fillId="5" borderId="6" applyNumberFormat="0" applyAlignment="0" applyProtection="0"/>
    <xf numFmtId="0" fontId="103" fillId="55" borderId="7" applyNumberFormat="0" applyAlignment="0" applyProtection="0"/>
    <xf numFmtId="0" fontId="45" fillId="25" borderId="0" applyNumberFormat="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31" borderId="0" applyNumberFormat="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0" fillId="0" borderId="0" applyFon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4" fontId="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6" fillId="0" borderId="0" applyFont="0" applyFill="0" applyBorder="0" applyAlignment="0" applyProtection="0"/>
    <xf numFmtId="44" fontId="3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14" fontId="22" fillId="0" borderId="0" applyFont="0" applyFill="0" applyBorder="0" applyAlignment="0" applyProtection="0"/>
    <xf numFmtId="0" fontId="46" fillId="13" borderId="0" applyNumberFormat="0" applyBorder="0" applyAlignment="0" applyProtection="0"/>
    <xf numFmtId="193" fontId="12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104" fillId="0" borderId="0" applyNumberFormat="0" applyFill="0" applyBorder="0" applyAlignment="0" applyProtection="0"/>
    <xf numFmtId="0" fontId="175" fillId="0" borderId="0" applyProtection="0">
      <alignment/>
    </xf>
    <xf numFmtId="0" fontId="22" fillId="0" borderId="0" applyProtection="0">
      <alignment/>
    </xf>
    <xf numFmtId="0" fontId="174" fillId="0" borderId="0" applyProtection="0">
      <alignment/>
    </xf>
    <xf numFmtId="0" fontId="36" fillId="0" borderId="0" applyProtection="0">
      <alignment/>
    </xf>
    <xf numFmtId="0" fontId="183" fillId="0" borderId="0" applyProtection="0">
      <alignment/>
    </xf>
    <xf numFmtId="0" fontId="66" fillId="0" borderId="0" applyProtection="0">
      <alignment/>
    </xf>
    <xf numFmtId="0" fontId="181" fillId="0" borderId="0" applyProtection="0">
      <alignment/>
    </xf>
    <xf numFmtId="0" fontId="68" fillId="10" borderId="0" applyNumberFormat="0" applyBorder="0" applyAlignment="0" applyProtection="0"/>
    <xf numFmtId="0" fontId="68" fillId="10" borderId="0" applyNumberFormat="0" applyBorder="0" applyAlignment="0" applyProtection="0"/>
    <xf numFmtId="0" fontId="8" fillId="10" borderId="0" applyNumberFormat="0" applyBorder="0" applyAlignment="0" applyProtection="0"/>
    <xf numFmtId="0" fontId="105" fillId="56" borderId="0" applyNumberFormat="0" applyBorder="0" applyAlignment="0" applyProtection="0"/>
    <xf numFmtId="0" fontId="46" fillId="25" borderId="0" applyNumberFormat="0" applyBorder="0" applyAlignment="0" applyProtection="0"/>
    <xf numFmtId="0" fontId="178" fillId="0" borderId="11" applyNumberFormat="0" applyFill="0" applyAlignment="0" applyProtection="0"/>
    <xf numFmtId="0" fontId="178" fillId="0" borderId="11" applyNumberFormat="0" applyFill="0" applyAlignment="0" applyProtection="0"/>
    <xf numFmtId="0" fontId="178" fillId="0" borderId="11" applyNumberFormat="0" applyFill="0" applyAlignment="0" applyProtection="0"/>
    <xf numFmtId="0" fontId="9" fillId="0" borderId="11" applyNumberFormat="0" applyFill="0" applyAlignment="0" applyProtection="0"/>
    <xf numFmtId="0" fontId="106" fillId="0" borderId="13" applyNumberFormat="0" applyFill="0" applyAlignment="0" applyProtection="0"/>
    <xf numFmtId="0" fontId="179" fillId="0" borderId="14" applyNumberFormat="0" applyFill="0" applyAlignment="0" applyProtection="0"/>
    <xf numFmtId="0" fontId="179" fillId="0" borderId="14" applyNumberFormat="0" applyFill="0" applyAlignment="0" applyProtection="0"/>
    <xf numFmtId="0" fontId="179" fillId="0" borderId="14" applyNumberFormat="0" applyFill="0" applyAlignment="0" applyProtection="0"/>
    <xf numFmtId="0" fontId="10" fillId="0" borderId="14" applyNumberFormat="0" applyFill="0" applyAlignment="0" applyProtection="0"/>
    <xf numFmtId="0" fontId="107" fillId="0" borderId="16" applyNumberFormat="0" applyFill="0" applyAlignment="0" applyProtection="0"/>
    <xf numFmtId="0" fontId="180" fillId="0" borderId="17" applyNumberFormat="0" applyFill="0" applyAlignment="0" applyProtection="0"/>
    <xf numFmtId="0" fontId="180" fillId="0" borderId="17" applyNumberFormat="0" applyFill="0" applyAlignment="0" applyProtection="0"/>
    <xf numFmtId="0" fontId="180" fillId="0" borderId="17" applyNumberFormat="0" applyFill="0" applyAlignment="0" applyProtection="0"/>
    <xf numFmtId="0" fontId="11" fillId="0" borderId="17" applyNumberFormat="0" applyFill="0" applyAlignment="0" applyProtection="0"/>
    <xf numFmtId="0" fontId="108" fillId="0" borderId="19" applyNumberFormat="0" applyFill="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1" fillId="0" borderId="0" applyNumberFormat="0" applyFill="0" applyBorder="0" applyAlignment="0" applyProtection="0"/>
    <xf numFmtId="0" fontId="108" fillId="0" borderId="0" applyNumberFormat="0" applyFill="0" applyBorder="0" applyAlignment="0" applyProtection="0"/>
    <xf numFmtId="0" fontId="176" fillId="0" borderId="0" applyNumberFormat="0" applyFill="0" applyBorder="0">
      <alignment/>
      <protection locked="0"/>
    </xf>
    <xf numFmtId="0" fontId="184" fillId="0" borderId="0" applyNumberFormat="0" applyFill="0" applyBorder="0">
      <alignment/>
      <protection locked="0"/>
    </xf>
    <xf numFmtId="0" fontId="184" fillId="0" borderId="0" applyNumberFormat="0" applyFill="0" applyBorder="0">
      <alignment/>
      <protection locked="0"/>
    </xf>
    <xf numFmtId="0" fontId="12" fillId="0" borderId="0" applyNumberFormat="0" applyFill="0" applyBorder="0">
      <alignment/>
      <protection locked="0"/>
    </xf>
    <xf numFmtId="0" fontId="184" fillId="0" borderId="0" applyNumberFormat="0" applyFill="0" applyBorder="0">
      <alignment/>
      <protection locked="0"/>
    </xf>
    <xf numFmtId="0" fontId="184" fillId="0" borderId="0" applyNumberFormat="0" applyFill="0" applyBorder="0">
      <alignment/>
      <protection locked="0"/>
    </xf>
    <xf numFmtId="0" fontId="12" fillId="0" borderId="0" applyNumberFormat="0" applyFill="0" applyBorder="0">
      <alignment/>
      <protection locked="0"/>
    </xf>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11" fillId="58" borderId="5" applyNumberFormat="0" applyAlignment="0" applyProtection="0"/>
    <xf numFmtId="0" fontId="78" fillId="0" borderId="22" applyNumberFormat="0" applyFill="0" applyAlignment="0" applyProtection="0"/>
    <xf numFmtId="0" fontId="78" fillId="0" borderId="22" applyNumberFormat="0" applyFill="0" applyAlignment="0" applyProtection="0"/>
    <xf numFmtId="0" fontId="14" fillId="0" borderId="22" applyNumberFormat="0" applyFill="0" applyAlignment="0" applyProtection="0"/>
    <xf numFmtId="0" fontId="112" fillId="0" borderId="23" applyNumberFormat="0" applyFill="0" applyAlignment="0" applyProtection="0"/>
    <xf numFmtId="0" fontId="46" fillId="19" borderId="0" applyNumberFormat="0" applyBorder="0" applyAlignment="0" applyProtection="0"/>
    <xf numFmtId="0" fontId="80" fillId="2" borderId="0" applyNumberFormat="0" applyBorder="0" applyAlignment="0" applyProtection="0"/>
    <xf numFmtId="0" fontId="80" fillId="2" borderId="0" applyNumberFormat="0" applyBorder="0" applyAlignment="0" applyProtection="0"/>
    <xf numFmtId="0" fontId="15" fillId="2" borderId="0" applyNumberFormat="0" applyBorder="0" applyAlignment="0" applyProtection="0"/>
    <xf numFmtId="0" fontId="113" fillId="5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1" fillId="0" borderId="0">
      <alignment/>
      <protection/>
    </xf>
    <xf numFmtId="0" fontId="36" fillId="0" borderId="0">
      <alignment/>
      <protection/>
    </xf>
    <xf numFmtId="191" fontId="36" fillId="0" borderId="0">
      <alignment/>
      <protection/>
    </xf>
    <xf numFmtId="0" fontId="120" fillId="0" borderId="0">
      <alignment/>
      <protection/>
    </xf>
    <xf numFmtId="0" fontId="0" fillId="11" borderId="26" applyNumberFormat="0" applyFont="0" applyAlignment="0" applyProtection="0"/>
    <xf numFmtId="0" fontId="46" fillId="60" borderId="27" applyNumberFormat="0" applyFont="0" applyAlignment="0" applyProtection="0"/>
    <xf numFmtId="0" fontId="46" fillId="60" borderId="27"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114" fillId="54" borderId="29"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0" fontId="46" fillId="1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1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6" fillId="0" borderId="0" applyFont="0" applyFill="0" applyBorder="0" applyAlignment="0" applyProtection="0"/>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0" fontId="46" fillId="7" borderId="0" applyNumberFormat="0" applyBorder="0" applyAlignment="0" applyProtection="0"/>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46" fillId="3" borderId="0" applyNumberFormat="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90" fillId="21" borderId="0" applyNumberFormat="0" applyFont="0" applyBorder="0" applyAlignment="0" applyProtection="0"/>
    <xf numFmtId="0" fontId="40" fillId="0" borderId="0" applyBorder="0" applyProtection="0">
      <alignment horizontal="left"/>
    </xf>
    <xf numFmtId="0" fontId="22" fillId="0" borderId="31" applyFill="0" applyBorder="0" applyProtection="0">
      <alignment horizontal="left" vertical="top"/>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16" fillId="0" borderId="37" applyNumberFormat="0" applyFill="0" applyAlignment="0" applyProtection="0"/>
    <xf numFmtId="0" fontId="182" fillId="0" borderId="0">
      <alignment horizontal="center"/>
      <protection/>
    </xf>
    <xf numFmtId="0" fontId="36" fillId="0" borderId="0">
      <alignment/>
      <protection/>
    </xf>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0" fontId="117" fillId="0" borderId="0" applyNumberFormat="0" applyFill="0" applyBorder="0" applyAlignment="0" applyProtection="0"/>
    <xf numFmtId="0" fontId="52" fillId="21" borderId="3" applyNumberFormat="0" applyAlignment="0" applyProtection="0"/>
    <xf numFmtId="0" fontId="55" fillId="5" borderId="6" applyNumberFormat="0" applyAlignment="0" applyProtection="0"/>
    <xf numFmtId="0" fontId="76" fillId="8" borderId="3" applyNumberFormat="0" applyAlignment="0" applyProtection="0"/>
    <xf numFmtId="0" fontId="180" fillId="0" borderId="17" applyNumberFormat="0" applyFill="0" applyAlignment="0" applyProtection="0"/>
    <xf numFmtId="0" fontId="179" fillId="0" borderId="14" applyNumberFormat="0" applyFill="0" applyAlignment="0" applyProtection="0"/>
    <xf numFmtId="0" fontId="178" fillId="0" borderId="11" applyNumberFormat="0" applyFill="0" applyAlignment="0" applyProtection="0"/>
    <xf numFmtId="0" fontId="178" fillId="0" borderId="11" applyNumberFormat="0" applyFill="0" applyAlignment="0" applyProtection="0"/>
    <xf numFmtId="0" fontId="179" fillId="0" borderId="14" applyNumberFormat="0" applyFill="0" applyAlignment="0" applyProtection="0"/>
    <xf numFmtId="0" fontId="180" fillId="0" borderId="17" applyNumberFormat="0" applyFill="0" applyAlignment="0" applyProtection="0"/>
    <xf numFmtId="0" fontId="76" fillId="8" borderId="3" applyNumberFormat="0" applyAlignment="0" applyProtection="0"/>
    <xf numFmtId="0" fontId="55" fillId="5" borderId="6" applyNumberFormat="0" applyAlignment="0" applyProtection="0"/>
    <xf numFmtId="0" fontId="52" fillId="21" borderId="3" applyNumberFormat="0" applyAlignment="0" applyProtection="0"/>
    <xf numFmtId="0" fontId="45" fillId="36" borderId="0" applyNumberFormat="0" applyBorder="0" applyAlignment="0" applyProtection="0"/>
    <xf numFmtId="0" fontId="45" fillId="42" borderId="0" applyNumberFormat="0" applyBorder="0" applyAlignment="0" applyProtection="0"/>
    <xf numFmtId="0" fontId="45" fillId="39" borderId="0" applyNumberFormat="0" applyBorder="0" applyAlignment="0" applyProtection="0"/>
    <xf numFmtId="0" fontId="85" fillId="21" borderId="28" applyNumberFormat="0" applyAlignment="0" applyProtection="0"/>
    <xf numFmtId="9" fontId="36" fillId="0" borderId="0" applyFont="0" applyFill="0" applyBorder="0" applyAlignment="0" applyProtection="0"/>
    <xf numFmtId="0" fontId="45" fillId="36" borderId="0" applyNumberFormat="0" applyBorder="0" applyAlignment="0" applyProtection="0"/>
    <xf numFmtId="0" fontId="45" fillId="25" borderId="0" applyNumberFormat="0" applyBorder="0" applyAlignment="0" applyProtection="0"/>
    <xf numFmtId="0" fontId="45" fillId="31" borderId="0" applyNumberFormat="0" applyBorder="0" applyAlignment="0" applyProtection="0"/>
    <xf numFmtId="0" fontId="46" fillId="29" borderId="0" applyNumberFormat="0" applyBorder="0" applyAlignment="0" applyProtection="0"/>
    <xf numFmtId="0" fontId="46" fillId="13" borderId="0" applyNumberFormat="0" applyBorder="0" applyAlignment="0" applyProtection="0"/>
    <xf numFmtId="0" fontId="46" fillId="25" borderId="0" applyNumberFormat="0" applyBorder="0" applyAlignment="0" applyProtection="0"/>
    <xf numFmtId="0" fontId="46" fillId="19"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3" borderId="0" applyNumberFormat="0" applyBorder="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6" fillId="0" borderId="0">
      <alignment/>
      <protection/>
    </xf>
    <xf numFmtId="0" fontId="98" fillId="0" borderId="35" applyNumberFormat="0" applyFill="0" applyAlignment="0" applyProtection="0"/>
    <xf numFmtId="0" fontId="36" fillId="0" borderId="0">
      <alignment/>
      <protection/>
    </xf>
    <xf numFmtId="0" fontId="46" fillId="3" borderId="0" applyNumberFormat="0" applyBorder="0" applyAlignment="0" applyProtection="0"/>
    <xf numFmtId="0" fontId="1" fillId="6" borderId="0" applyNumberFormat="0" applyBorder="0" applyAlignment="0" applyProtection="0"/>
    <xf numFmtId="0" fontId="46" fillId="7"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2" borderId="0" applyNumberFormat="0" applyBorder="0" applyAlignment="0" applyProtection="0"/>
    <xf numFmtId="0" fontId="46"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1" fillId="22" borderId="0" applyNumberFormat="0" applyBorder="0" applyAlignment="0" applyProtection="0"/>
    <xf numFmtId="9" fontId="36" fillId="0" borderId="0" applyFont="0" applyFill="0" applyBorder="0" applyAlignment="0" applyProtection="0"/>
    <xf numFmtId="0" fontId="1" fillId="24" borderId="0" applyNumberFormat="0" applyBorder="0" applyAlignment="0" applyProtection="0"/>
    <xf numFmtId="0" fontId="46" fillId="25" borderId="0" applyNumberFormat="0" applyBorder="0" applyAlignment="0" applyProtection="0"/>
    <xf numFmtId="0" fontId="1" fillId="26" borderId="0" applyNumberFormat="0" applyBorder="0" applyAlignment="0" applyProtection="0"/>
    <xf numFmtId="0" fontId="46" fillId="13" borderId="0" applyNumberFormat="0" applyBorder="0" applyAlignment="0" applyProtection="0"/>
    <xf numFmtId="9" fontId="36" fillId="0" borderId="0" applyFont="0" applyFill="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46"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36"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45" fillId="36"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5" fillId="5" borderId="6" applyNumberFormat="0" applyAlignment="0" applyProtection="0"/>
    <xf numFmtId="0" fontId="178" fillId="0" borderId="11" applyNumberFormat="0" applyFill="0" applyAlignment="0" applyProtection="0"/>
    <xf numFmtId="0" fontId="179" fillId="0" borderId="14" applyNumberFormat="0" applyFill="0" applyAlignment="0" applyProtection="0"/>
    <xf numFmtId="0" fontId="76" fillId="8" borderId="3" applyNumberFormat="0" applyAlignment="0" applyProtection="0"/>
    <xf numFmtId="0" fontId="180" fillId="0" borderId="17" applyNumberFormat="0" applyFill="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9" fontId="36"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0" fontId="98" fillId="0" borderId="35" applyNumberFormat="0" applyFill="0" applyAlignment="0" applyProtection="0"/>
    <xf numFmtId="0" fontId="36" fillId="0" borderId="0">
      <alignment/>
      <protection/>
    </xf>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36" fillId="0" borderId="0">
      <alignment/>
      <protection/>
    </xf>
    <xf numFmtId="0" fontId="36"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6" fillId="0" borderId="0" applyFont="0" applyFill="0" applyBorder="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43" fontId="120" fillId="0" borderId="0" applyFont="0" applyFill="0" applyBorder="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0" fontId="22" fillId="0" borderId="31" applyFill="0" applyBorder="0" applyProtection="0">
      <alignment horizontal="left" vertical="top"/>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6" fillId="0" borderId="0" applyFont="0" applyFill="0" applyBorder="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26" fillId="0" borderId="0">
      <alignment/>
      <protection/>
    </xf>
    <xf numFmtId="9" fontId="126" fillId="0" borderId="0" applyFont="0" applyFill="0" applyBorder="0" applyAlignment="0" applyProtection="0"/>
    <xf numFmtId="43" fontId="46" fillId="0" borderId="0" applyFont="0" applyFill="0" applyBorder="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8" fillId="0" borderId="22" applyNumberFormat="0" applyFill="0" applyAlignment="0" applyProtection="0"/>
    <xf numFmtId="9" fontId="0" fillId="0" borderId="0" applyFont="0" applyFill="0" applyBorder="0" applyAlignment="0" applyProtection="0"/>
    <xf numFmtId="0" fontId="78" fillId="0" borderId="22" applyNumberFormat="0" applyFill="0" applyAlignment="0" applyProtection="0"/>
    <xf numFmtId="0" fontId="78" fillId="0" borderId="22" applyNumberFormat="0" applyFill="0" applyAlignment="0" applyProtection="0"/>
    <xf numFmtId="0" fontId="78" fillId="0" borderId="22" applyNumberFormat="0" applyFill="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39" fillId="0" borderId="0" applyFill="0" applyBorder="0" applyProtection="0">
      <alignment/>
    </xf>
    <xf numFmtId="2" fontId="39" fillId="0" borderId="0" applyFill="0" applyBorder="0" applyProtection="0">
      <alignment/>
    </xf>
    <xf numFmtId="2" fontId="186" fillId="0" borderId="0" applyFill="0" applyBorder="0" applyProtection="0">
      <alignment/>
    </xf>
    <xf numFmtId="2" fontId="186" fillId="0" borderId="0" applyFill="0" applyBorder="0"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43" fontId="0" fillId="0" borderId="0" applyFont="0" applyFill="0" applyBorder="0" applyAlignment="0" applyProtection="0"/>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39" fillId="0" borderId="0" applyFill="0" applyBorder="0" applyProtection="0">
      <alignment/>
    </xf>
    <xf numFmtId="2" fontId="186" fillId="0" borderId="0" applyFill="0" applyBorder="0"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3" fontId="0" fillId="0" borderId="0" applyFont="0" applyFill="0" applyBorder="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2" fillId="0" borderId="34" applyBorder="0" applyProtection="0">
      <alignment horizontal="right" vertical="center"/>
    </xf>
    <xf numFmtId="0" fontId="93" fillId="64" borderId="34" applyBorder="0" applyProtection="0">
      <alignment horizontal="centerContinuous" vertical="center"/>
    </xf>
    <xf numFmtId="192" fontId="177" fillId="0" borderId="34" applyFont="0" applyFill="0" applyBorder="0" applyAlignment="0">
      <protection locked="0"/>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6" fillId="0" borderId="0" applyFont="0" applyFill="0" applyBorder="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10" borderId="0" applyNumberFormat="0" applyBorder="0" applyAlignment="0" applyProtection="0"/>
    <xf numFmtId="0" fontId="15" fillId="2" borderId="0" applyNumberFormat="0" applyBorder="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5" fillId="2" borderId="0" applyNumberFormat="0" applyBorder="0" applyAlignment="0" applyProtection="0"/>
    <xf numFmtId="0" fontId="14" fillId="0" borderId="22" applyNumberFormat="0" applyFill="0" applyAlignment="0" applyProtection="0"/>
    <xf numFmtId="0" fontId="14" fillId="0" borderId="22"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8" fillId="10" borderId="0" applyNumberFormat="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4" fillId="7" borderId="0" applyNumberFormat="0" applyBorder="0" applyAlignment="0" applyProtection="0"/>
    <xf numFmtId="0" fontId="3" fillId="51" borderId="0" applyNumberFormat="0" applyBorder="0" applyAlignment="0" applyProtection="0"/>
    <xf numFmtId="0" fontId="3" fillId="32" borderId="0" applyNumberFormat="0" applyBorder="0" applyAlignment="0" applyProtection="0"/>
    <xf numFmtId="0" fontId="3" fillId="46" borderId="0" applyNumberFormat="0" applyBorder="0" applyAlignment="0" applyProtection="0"/>
    <xf numFmtId="43" fontId="1" fillId="0" borderId="0" applyFont="0" applyFill="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6" borderId="0" applyNumberFormat="0" applyBorder="0" applyAlignment="0" applyProtection="0"/>
    <xf numFmtId="43" fontId="1" fillId="0" borderId="0" applyFont="0" applyFill="0" applyBorder="0" applyAlignment="0" applyProtection="0"/>
    <xf numFmtId="0" fontId="3" fillId="32" borderId="0" applyNumberFormat="0" applyBorder="0" applyAlignment="0" applyProtection="0"/>
    <xf numFmtId="43" fontId="1" fillId="0" borderId="0" applyFont="0" applyFill="0" applyBorder="0" applyAlignment="0" applyProtection="0"/>
    <xf numFmtId="0" fontId="3" fillId="31" borderId="0" applyNumberFormat="0" applyBorder="0" applyAlignment="0" applyProtection="0"/>
    <xf numFmtId="0" fontId="2" fillId="29"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43" fontId="1" fillId="0" borderId="0" applyFont="0" applyFill="0" applyBorder="0" applyAlignment="0" applyProtection="0"/>
    <xf numFmtId="0" fontId="2" fillId="8" borderId="0" applyNumberFormat="0" applyBorder="0" applyAlignment="0" applyProtection="0"/>
    <xf numFmtId="43" fontId="1" fillId="0" borderId="0" applyFont="0" applyFill="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2" fillId="15" borderId="0" applyNumberFormat="0" applyBorder="0" applyAlignment="0" applyProtection="0"/>
    <xf numFmtId="0" fontId="1" fillId="0" borderId="0">
      <alignment/>
      <protection/>
    </xf>
    <xf numFmtId="0" fontId="7" fillId="0" borderId="0" applyNumberFormat="0" applyFill="0" applyBorder="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4" fillId="7" borderId="0" applyNumberFormat="0" applyBorder="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7" fillId="0" borderId="0" applyNumberFormat="0" applyFill="0" applyBorder="0" applyAlignment="0" applyProtection="0"/>
    <xf numFmtId="0" fontId="1" fillId="0" borderId="0">
      <alignment/>
      <protection/>
    </xf>
    <xf numFmtId="0" fontId="28" fillId="0" borderId="10">
      <alignment horizontal="left"/>
      <protection/>
    </xf>
    <xf numFmtId="0" fontId="14" fillId="0" borderId="22" applyNumberFormat="0" applyFill="0" applyAlignment="0" applyProtection="0"/>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7" fillId="0" borderId="0" applyNumberFormat="0" applyFill="0" applyBorder="0" applyAlignment="0" applyProtection="0"/>
    <xf numFmtId="0" fontId="3" fillId="3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32" borderId="0" applyNumberFormat="0" applyBorder="0" applyAlignment="0" applyProtection="0"/>
    <xf numFmtId="0" fontId="1" fillId="0" borderId="0">
      <alignment/>
      <protection/>
    </xf>
    <xf numFmtId="0" fontId="3" fillId="25" borderId="0" applyNumberFormat="0" applyBorder="0" applyAlignment="0" applyProtection="0"/>
    <xf numFmtId="0" fontId="1" fillId="0" borderId="0">
      <alignment/>
      <protection/>
    </xf>
    <xf numFmtId="0" fontId="3" fillId="23" borderId="0" applyNumberFormat="0" applyBorder="0" applyAlignment="0" applyProtection="0"/>
    <xf numFmtId="0" fontId="1" fillId="0" borderId="0">
      <alignment/>
      <protection/>
    </xf>
    <xf numFmtId="0" fontId="2"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6" fillId="5" borderId="6"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4" fillId="7" borderId="0" applyNumberFormat="0" applyBorder="0" applyAlignment="0" applyProtection="0"/>
    <xf numFmtId="0" fontId="3" fillId="23" borderId="0" applyNumberFormat="0" applyBorder="0" applyAlignment="0" applyProtection="0"/>
    <xf numFmtId="0" fontId="2" fillId="23" borderId="0" applyNumberFormat="0" applyBorder="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5" fillId="2" borderId="0" applyNumberFormat="0" applyBorder="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3" fillId="44" borderId="0" applyNumberFormat="0" applyBorder="0" applyAlignment="0" applyProtection="0"/>
    <xf numFmtId="0" fontId="3" fillId="51" borderId="0" applyNumberFormat="0" applyBorder="0" applyAlignment="0" applyProtection="0"/>
    <xf numFmtId="0" fontId="1" fillId="0" borderId="0">
      <alignment/>
      <protection/>
    </xf>
    <xf numFmtId="0" fontId="1" fillId="0" borderId="0">
      <alignment/>
      <protection/>
    </xf>
    <xf numFmtId="0" fontId="3"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4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2" fillId="19" borderId="0" applyNumberFormat="0" applyBorder="0" applyAlignment="0" applyProtection="0"/>
    <xf numFmtId="0" fontId="2" fillId="19" borderId="0" applyNumberFormat="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3" fillId="23" borderId="0" applyNumberFormat="0" applyBorder="0" applyAlignment="0" applyProtection="0"/>
    <xf numFmtId="0" fontId="3" fillId="32" borderId="0" applyNumberFormat="0" applyBorder="0" applyAlignment="0" applyProtection="0"/>
    <xf numFmtId="0" fontId="3" fillId="51" borderId="0" applyNumberFormat="0" applyBorder="0" applyAlignment="0" applyProtection="0"/>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2" fillId="7"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38" fontId="40" fillId="0" borderId="33">
      <alignment/>
      <protection/>
    </xf>
    <xf numFmtId="0" fontId="19" fillId="0" borderId="0" applyNumberFormat="0" applyFill="0" applyBorder="0" applyAlignment="0" applyProtection="0"/>
    <xf numFmtId="0" fontId="98" fillId="0" borderId="36" applyNumberFormat="0" applyFill="0" applyAlignment="0" applyProtection="0"/>
    <xf numFmtId="0" fontId="55" fillId="0" borderId="36" applyNumberFormat="0" applyFill="0" applyAlignment="0" applyProtection="0"/>
    <xf numFmtId="44" fontId="0"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8" fillId="10" borderId="0" applyNumberFormat="0" applyBorder="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3" fillId="44" borderId="0" applyNumberFormat="0" applyBorder="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43" fontId="0"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 fillId="32" borderId="0" applyNumberFormat="0" applyBorder="0" applyAlignment="0" applyProtection="0"/>
    <xf numFmtId="0" fontId="3" fillId="46" borderId="0" applyNumberFormat="0" applyBorder="0" applyAlignment="0" applyProtection="0"/>
    <xf numFmtId="0" fontId="3" fillId="44" borderId="0" applyNumberFormat="0" applyBorder="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2" fillId="19" borderId="0" applyNumberFormat="0" applyBorder="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2" fillId="8" borderId="0" applyNumberFormat="0" applyBorder="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2" fillId="23" borderId="0" applyNumberFormat="0" applyBorder="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43" fontId="1" fillId="0" borderId="0" applyFont="0" applyFill="0" applyBorder="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1" fillId="0" borderId="0">
      <alignment/>
      <protection/>
    </xf>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1" fillId="0" borderId="0">
      <alignment/>
      <protection/>
    </xf>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right"/>
    </xf>
    <xf numFmtId="0" fontId="1" fillId="6" borderId="0" applyNumberFormat="0" applyBorder="0" applyAlignment="0" applyProtection="0"/>
    <xf numFmtId="0" fontId="1" fillId="22" borderId="0" applyNumberFormat="0" applyBorder="0" applyAlignment="0" applyProtection="0"/>
    <xf numFmtId="0" fontId="0" fillId="11" borderId="4" applyNumberFormat="0" applyFont="0" applyAlignment="0" applyProtection="0"/>
    <xf numFmtId="2" fontId="186" fillId="66" borderId="38" applyProtection="0">
      <alignment horizontal="right"/>
    </xf>
    <xf numFmtId="0" fontId="1" fillId="9" borderId="0" applyNumberFormat="0" applyBorder="0" applyAlignment="0" applyProtection="0"/>
    <xf numFmtId="0" fontId="1" fillId="24" borderId="0" applyNumberFormat="0" applyBorder="0" applyAlignment="0" applyProtection="0"/>
    <xf numFmtId="0" fontId="0" fillId="11" borderId="26" applyNumberFormat="0" applyFont="0" applyAlignment="0" applyProtection="0"/>
    <xf numFmtId="14" fontId="187" fillId="67" borderId="38" applyProtection="0">
      <alignment horizontal="right"/>
    </xf>
    <xf numFmtId="0" fontId="1" fillId="12" borderId="0" applyNumberFormat="0" applyBorder="0" applyAlignment="0" applyProtection="0"/>
    <xf numFmtId="0" fontId="1" fillId="26"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7" borderId="0" applyNumberFormat="0" applyBorder="0" applyAlignment="0" applyProtection="0"/>
    <xf numFmtId="0" fontId="1" fillId="28" borderId="0" applyNumberFormat="0" applyBorder="0" applyAlignment="0" applyProtection="0"/>
    <xf numFmtId="2" fontId="185" fillId="65" borderId="38" applyProtection="0">
      <alignment horizontal="right"/>
    </xf>
    <xf numFmtId="0" fontId="0" fillId="11" borderId="26"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2" fontId="185" fillId="65" borderId="38" applyProtection="0">
      <alignment horizontal="right"/>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36" fillId="0" borderId="0">
      <alignment/>
      <protection/>
    </xf>
    <xf numFmtId="43" fontId="36" fillId="0" borderId="0" applyFont="0" applyFill="0" applyBorder="0" applyAlignment="0" applyProtection="0"/>
    <xf numFmtId="43" fontId="58" fillId="0" borderId="0" applyFont="0" applyFill="0" applyBorder="0" applyAlignment="0" applyProtection="0"/>
    <xf numFmtId="0" fontId="84" fillId="0" borderId="0">
      <alignment/>
      <protection/>
    </xf>
    <xf numFmtId="0" fontId="84" fillId="0" borderId="0">
      <alignment/>
      <protection/>
    </xf>
    <xf numFmtId="0" fontId="52" fillId="21" borderId="3" applyNumberFormat="0" applyAlignment="0" applyProtection="0"/>
    <xf numFmtId="0" fontId="12" fillId="0" borderId="0" applyNumberFormat="0" applyFill="0" applyBorder="0">
      <alignment/>
      <protection locked="0"/>
    </xf>
    <xf numFmtId="0" fontId="0" fillId="11" borderId="26" applyNumberFormat="0" applyFont="0" applyAlignment="0" applyProtection="0"/>
    <xf numFmtId="0" fontId="0" fillId="0" borderId="0">
      <alignment/>
      <protection/>
    </xf>
    <xf numFmtId="0" fontId="137" fillId="0" borderId="0">
      <alignment/>
      <protection/>
    </xf>
    <xf numFmtId="0" fontId="0"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98" fillId="0" borderId="35" applyNumberFormat="0" applyFill="0" applyAlignment="0" applyProtection="0"/>
    <xf numFmtId="0" fontId="0" fillId="0" borderId="0">
      <alignment/>
      <protection/>
    </xf>
    <xf numFmtId="0" fontId="1" fillId="0" borderId="0">
      <alignment/>
      <protection/>
    </xf>
    <xf numFmtId="0" fontId="120" fillId="0" borderId="0">
      <alignment/>
      <protection/>
    </xf>
    <xf numFmtId="0" fontId="173" fillId="0" borderId="0">
      <alignment/>
      <protection/>
    </xf>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44" fontId="1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2" fontId="186" fillId="68" borderId="38" applyProtection="0">
      <alignment horizontal="center"/>
    </xf>
    <xf numFmtId="2" fontId="186" fillId="68" borderId="38" applyProtection="0">
      <alignment horizontal="center"/>
    </xf>
    <xf numFmtId="2" fontId="186" fillId="66" borderId="38" applyProtection="0">
      <alignment horizontal="center"/>
    </xf>
    <xf numFmtId="2" fontId="186" fillId="66" borderId="38" applyProtection="0">
      <alignment horizontal="center"/>
    </xf>
    <xf numFmtId="2" fontId="186" fillId="66" borderId="38" applyProtection="0">
      <alignment/>
    </xf>
    <xf numFmtId="2" fontId="186" fillId="66" borderId="38" applyProtection="0">
      <alignment/>
    </xf>
    <xf numFmtId="2" fontId="186" fillId="68" borderId="38" applyProtection="0">
      <alignment/>
    </xf>
    <xf numFmtId="2" fontId="186" fillId="68" borderId="38" applyProtection="0">
      <alignment/>
    </xf>
    <xf numFmtId="2" fontId="186" fillId="65" borderId="38" applyProtection="0">
      <alignment/>
    </xf>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36"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85" fillId="25" borderId="28" applyNumberFormat="0" applyAlignment="0" applyProtection="0"/>
    <xf numFmtId="2" fontId="186" fillId="68" borderId="38" applyProtection="0">
      <alignment horizontal="center"/>
    </xf>
    <xf numFmtId="0" fontId="85" fillId="21" borderId="28" applyNumberFormat="0" applyAlignment="0" applyProtection="0"/>
    <xf numFmtId="0" fontId="32" fillId="0" borderId="35"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7" fillId="8" borderId="3"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5" borderId="3" applyNumberFormat="0" applyAlignment="0" applyProtection="0"/>
    <xf numFmtId="0" fontId="185" fillId="42" borderId="3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14" fontId="187" fillId="67" borderId="38" applyProtection="0">
      <alignment horizontal="left"/>
    </xf>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55" fillId="0" borderId="36" applyNumberFormat="0" applyFill="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28" fillId="0" borderId="10">
      <alignment horizontal="left"/>
      <protection/>
    </xf>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98" fillId="0" borderId="35" applyNumberFormat="0" applyFill="0" applyAlignment="0" applyProtection="0"/>
    <xf numFmtId="2" fontId="186" fillId="66" borderId="38" applyProtection="0">
      <alignment/>
    </xf>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52" fillId="25" borderId="4" applyNumberFormat="0" applyAlignment="0" applyProtection="0"/>
    <xf numFmtId="2" fontId="186" fillId="66" borderId="38" applyProtection="0">
      <alignment/>
    </xf>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36"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16" fillId="21" borderId="28" applyNumberFormat="0" applyAlignment="0" applyProtection="0"/>
    <xf numFmtId="0" fontId="85" fillId="25" borderId="28" applyNumberFormat="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2" fillId="57" borderId="20" applyNumberFormat="0" applyBorder="0" applyAlignment="0" applyProtection="0"/>
    <xf numFmtId="0" fontId="77"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14" fontId="187" fillId="67" borderId="38" applyProtection="0">
      <alignment horizontal="left"/>
    </xf>
    <xf numFmtId="0" fontId="77" fillId="8"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98" fillId="0" borderId="35" applyNumberFormat="0" applyFill="0" applyAlignment="0" applyProtection="0"/>
    <xf numFmtId="0" fontId="52" fillId="5" borderId="3" applyNumberFormat="0" applyAlignment="0" applyProtection="0"/>
    <xf numFmtId="0" fontId="52" fillId="25" borderId="4"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5" fillId="25" borderId="28" applyNumberFormat="0" applyAlignment="0" applyProtection="0"/>
    <xf numFmtId="0" fontId="28" fillId="0" borderId="10">
      <alignment horizontal="left"/>
      <protection/>
    </xf>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38" fontId="40" fillId="0" borderId="33">
      <alignment/>
      <protection/>
    </xf>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52" fillId="5"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16" fillId="21" borderId="28" applyNumberForma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2" fontId="186" fillId="65" borderId="38" applyProtection="0">
      <alignment/>
    </xf>
    <xf numFmtId="2" fontId="186" fillId="68" borderId="38" applyProtection="0">
      <alignment/>
    </xf>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85" fillId="5" borderId="28" applyNumberForma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7"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2" fontId="186" fillId="65" borderId="38" applyProtection="0">
      <alignment/>
    </xf>
    <xf numFmtId="0" fontId="0" fillId="11" borderId="4"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4" applyNumberFormat="0" applyAlignment="0" applyProtection="0"/>
    <xf numFmtId="0" fontId="52" fillId="5" borderId="3" applyNumberFormat="0" applyAlignment="0" applyProtection="0"/>
    <xf numFmtId="0" fontId="32" fillId="0" borderId="35" applyNumberFormat="0" applyFill="0" applyAlignment="0" applyProtection="0"/>
    <xf numFmtId="0" fontId="13"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53" fillId="21" borderId="3" applyNumberFormat="0" applyAlignment="0" applyProtection="0"/>
    <xf numFmtId="0" fontId="53" fillId="21" borderId="3" applyNumberFormat="0" applyAlignment="0" applyProtection="0"/>
    <xf numFmtId="0" fontId="76" fillId="8" borderId="3" applyNumberFormat="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76" fillId="8" borderId="4" applyNumberFormat="0" applyAlignment="0" applyProtection="0"/>
    <xf numFmtId="0" fontId="52" fillId="5"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0" fillId="11" borderId="4" applyNumberFormat="0" applyFont="0" applyAlignment="0" applyProtection="0"/>
    <xf numFmtId="2" fontId="186" fillId="66" borderId="38" applyProtection="0">
      <alignment horizontal="center"/>
    </xf>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22" fillId="57" borderId="20" applyNumberFormat="0" applyBorder="0" applyAlignment="0" applyProtection="0"/>
    <xf numFmtId="0" fontId="0" fillId="11" borderId="26" applyNumberFormat="0" applyFont="0" applyAlignment="0" applyProtection="0"/>
    <xf numFmtId="0" fontId="13"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5" borderId="28" applyNumberFormat="0" applyAlignment="0" applyProtection="0"/>
    <xf numFmtId="0" fontId="0" fillId="11" borderId="4" applyNumberFormat="0" applyFon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52" fillId="5" borderId="3" applyNumberForma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5" fillId="0" borderId="36" applyNumberFormat="0" applyFill="0" applyAlignment="0" applyProtection="0"/>
    <xf numFmtId="0" fontId="52" fillId="5" borderId="3" applyNumberFormat="0" applyAlignment="0" applyProtection="0"/>
    <xf numFmtId="0" fontId="52" fillId="25" borderId="4" applyNumberFormat="0" applyAlignment="0" applyProtection="0"/>
    <xf numFmtId="0" fontId="77" fillId="8" borderId="3" applyNumberFormat="0" applyAlignment="0" applyProtection="0"/>
    <xf numFmtId="0" fontId="77" fillId="8" borderId="3" applyNumberFormat="0" applyAlignment="0" applyProtection="0"/>
    <xf numFmtId="0" fontId="5" fillId="21" borderId="3" applyNumberFormat="0" applyAlignment="0" applyProtection="0"/>
    <xf numFmtId="0" fontId="0" fillId="11" borderId="4"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16" fillId="21" borderId="28"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36"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3"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52" fillId="5" borderId="3" applyNumberFormat="0" applyAlignment="0" applyProtection="0"/>
    <xf numFmtId="0" fontId="86" fillId="21"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2" fontId="186" fillId="66" borderId="38" applyProtection="0">
      <alignment/>
    </xf>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16" fillId="21" borderId="28" applyNumberFormat="0" applyAlignment="0" applyProtection="0"/>
    <xf numFmtId="0" fontId="188" fillId="42" borderId="38" applyNumberFormat="0" applyProtection="0">
      <alignment horizontal="left"/>
    </xf>
    <xf numFmtId="0" fontId="13" fillId="8" borderId="3" applyNumberFormat="0" applyAlignment="0" applyProtection="0"/>
    <xf numFmtId="0" fontId="52" fillId="21" borderId="3" applyNumberFormat="0" applyAlignment="0" applyProtection="0"/>
    <xf numFmtId="0" fontId="55" fillId="0" borderId="36" applyNumberFormat="0" applyFill="0" applyAlignment="0" applyProtection="0"/>
    <xf numFmtId="14" fontId="187" fillId="67" borderId="38" applyProtection="0">
      <alignment horizontal="right"/>
    </xf>
    <xf numFmtId="2" fontId="186" fillId="66" borderId="38" applyProtection="0">
      <alignment horizontal="right"/>
    </xf>
    <xf numFmtId="0" fontId="1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28" fillId="0" borderId="10">
      <alignment horizontal="left"/>
      <protection/>
    </xf>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2" fontId="186" fillId="65" borderId="38" applyProtection="0">
      <alignment/>
    </xf>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55" fillId="0" borderId="36"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28" fillId="0" borderId="10">
      <alignment horizontal="left"/>
      <protection/>
    </xf>
    <xf numFmtId="0" fontId="85"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7" fillId="42" borderId="38" applyProtection="0">
      <alignment/>
    </xf>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2" fontId="186" fillId="66" borderId="38" applyProtection="0">
      <alignmen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38" fontId="40" fillId="0" borderId="33">
      <alignment/>
      <protection/>
    </xf>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77" fillId="8" borderId="3" applyNumberFormat="0" applyAlignment="0" applyProtection="0"/>
    <xf numFmtId="0" fontId="85" fillId="21" borderId="28" applyNumberFormat="0" applyAlignment="0" applyProtection="0"/>
    <xf numFmtId="0" fontId="76" fillId="8" borderId="3" applyNumberFormat="0" applyAlignment="0" applyProtection="0"/>
    <xf numFmtId="0" fontId="20"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86" fillId="21" borderId="28" applyNumberFormat="0" applyAlignment="0" applyProtection="0"/>
    <xf numFmtId="14" fontId="187" fillId="67" borderId="38" applyProtection="0">
      <alignment horizontal="right"/>
    </xf>
    <xf numFmtId="0" fontId="36" fillId="11" borderId="26" applyNumberFormat="0" applyFont="0" applyAlignment="0" applyProtection="0"/>
    <xf numFmtId="0" fontId="0" fillId="11" borderId="4" applyNumberFormat="0" applyFont="0" applyAlignment="0" applyProtection="0"/>
    <xf numFmtId="0" fontId="98" fillId="0" borderId="36" applyNumberFormat="0" applyFill="0" applyAlignment="0" applyProtection="0"/>
    <xf numFmtId="2" fontId="187" fillId="42" borderId="38" applyProtection="0">
      <alignment/>
    </xf>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188" fillId="42" borderId="38" applyNumberFormat="0" applyProtection="0">
      <alignment horizontal="left"/>
    </xf>
    <xf numFmtId="0" fontId="0" fillId="11" borderId="4"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6" fillId="21" borderId="28" applyNumberFormat="0" applyAlignment="0" applyProtection="0"/>
    <xf numFmtId="0" fontId="85" fillId="25"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2"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185" fillId="42" borderId="38" applyNumberFormat="0" applyAlignment="0" applyProtection="0"/>
    <xf numFmtId="0" fontId="77"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2" fontId="187" fillId="42" borderId="38" applyProtection="0">
      <alignment/>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188" fillId="42" borderId="38" applyNumberFormat="0" applyProtection="0">
      <alignment horizontal="left"/>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7" fillId="8"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2" fontId="186" fillId="68" borderId="38" applyProtection="0">
      <alignment horizontal="center"/>
    </xf>
    <xf numFmtId="2" fontId="186" fillId="66" borderId="38" applyProtection="0">
      <alignment horizontal="center"/>
    </xf>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4" applyNumberFormat="0" applyAlignment="0" applyProtection="0"/>
    <xf numFmtId="0" fontId="85" fillId="25" borderId="28"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16" fillId="21" borderId="28"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86" fillId="21" borderId="28" applyNumberFormat="0" applyAlignment="0" applyProtection="0"/>
    <xf numFmtId="2" fontId="185" fillId="65" borderId="38" applyProtection="0">
      <alignment horizontal="right"/>
    </xf>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2" fontId="186" fillId="66" borderId="38" applyProtection="0">
      <alignment/>
    </xf>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5" borderId="38" applyProtection="0">
      <alignment/>
    </xf>
    <xf numFmtId="0" fontId="76" fillId="8"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55" fillId="0" borderId="36"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32" fillId="0" borderId="35" applyNumberFormat="0" applyFill="0" applyAlignment="0" applyProtection="0"/>
    <xf numFmtId="38" fontId="40" fillId="0" borderId="33">
      <alignment/>
      <protection/>
    </xf>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7" fillId="8" borderId="3" applyNumberFormat="0" applyAlignment="0" applyProtection="0"/>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45" fillId="11" borderId="26" applyNumberFormat="0" applyFont="0" applyAlignment="0" applyProtection="0"/>
    <xf numFmtId="14" fontId="187" fillId="67" borderId="38" applyProtection="0">
      <alignment horizontal="right"/>
    </xf>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5" borderId="4" applyNumberFormat="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6" fillId="8" borderId="3"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0" fontId="36" fillId="11" borderId="26" applyNumberFormat="0" applyFon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0" fontId="98" fillId="0" borderId="35" applyNumberFormat="0" applyFill="0" applyAlignment="0" applyProtection="0"/>
    <xf numFmtId="0" fontId="76" fillId="8" borderId="4" applyNumberFormat="0" applyAlignment="0" applyProtection="0"/>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2" fontId="186" fillId="68" borderId="38" applyProtection="0">
      <alignment horizontal="center"/>
    </xf>
    <xf numFmtId="0" fontId="85" fillId="25" borderId="28"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2" fontId="186" fillId="68" borderId="38" applyProtection="0">
      <alignment horizontal="center"/>
    </xf>
    <xf numFmtId="0" fontId="85" fillId="25"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0" fillId="11" borderId="4"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5" borderId="28" applyNumberFormat="0" applyAlignment="0" applyProtection="0"/>
    <xf numFmtId="2" fontId="186" fillId="66" borderId="38" applyProtection="0">
      <alignment horizontal="righ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5"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2" fontId="186" fillId="66" borderId="38" applyProtection="0">
      <alignment horizontal="center"/>
    </xf>
    <xf numFmtId="0" fontId="98" fillId="0" borderId="36" applyNumberFormat="0" applyFill="0" applyAlignment="0" applyProtection="0"/>
    <xf numFmtId="0" fontId="76" fillId="8" borderId="3" applyNumberFormat="0" applyAlignment="0" applyProtection="0"/>
    <xf numFmtId="0" fontId="85" fillId="21" borderId="28"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7" fillId="42" borderId="38" applyProtection="0">
      <alignment/>
    </xf>
    <xf numFmtId="0" fontId="85" fillId="25"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2" fontId="185" fillId="65" borderId="38" applyProtection="0">
      <alignment horizontal="right"/>
    </xf>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4" applyNumberFormat="0" applyFon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85" fillId="25" borderId="28" applyNumberFormat="0" applyAlignment="0" applyProtection="0"/>
    <xf numFmtId="0" fontId="52" fillId="5"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98" fillId="0" borderId="36" applyNumberFormat="0" applyFill="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86" fillId="21" borderId="28"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85" fillId="21" borderId="28"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6" fillId="11" borderId="26" applyNumberFormat="0" applyFont="0" applyAlignment="0" applyProtection="0"/>
    <xf numFmtId="0" fontId="5" fillId="21" borderId="3" applyNumberFormat="0" applyAlignment="0" applyProtection="0"/>
    <xf numFmtId="0" fontId="86"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0" fillId="11" borderId="26" applyNumberFormat="0" applyFont="0" applyAlignment="0" applyProtection="0"/>
    <xf numFmtId="0" fontId="85" fillId="25" borderId="28"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16" fillId="21" borderId="28" applyNumberFormat="0" applyAlignment="0" applyProtection="0"/>
    <xf numFmtId="0" fontId="20" fillId="0" borderId="35" applyNumberFormat="0" applyFill="0" applyAlignment="0" applyProtection="0"/>
    <xf numFmtId="0" fontId="85" fillId="21" borderId="28" applyNumberFormat="0" applyAlignment="0" applyProtection="0"/>
    <xf numFmtId="38" fontId="40" fillId="0" borderId="33">
      <alignment/>
      <protection/>
    </xf>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32" fillId="0" borderId="35" applyNumberFormat="0" applyFill="0" applyAlignment="0" applyProtection="0"/>
    <xf numFmtId="0" fontId="85" fillId="25" borderId="28" applyNumberFormat="0" applyAlignment="0" applyProtection="0"/>
    <xf numFmtId="0" fontId="55" fillId="0" borderId="36" applyNumberFormat="0" applyFill="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center"/>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5" fillId="21"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3" fillId="8" borderId="3" applyNumberFormat="0" applyAlignment="0" applyProtection="0"/>
    <xf numFmtId="2" fontId="187" fillId="42" borderId="38" applyProtection="0">
      <alignment/>
    </xf>
    <xf numFmtId="0" fontId="45" fillId="11" borderId="26" applyNumberFormat="0" applyFon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77"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76" fillId="8" borderId="4"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53" fillId="21" borderId="3" applyNumberFormat="0" applyAlignment="0" applyProtection="0"/>
    <xf numFmtId="14" fontId="187" fillId="67" borderId="38" applyProtection="0">
      <alignment horizontal="right"/>
    </xf>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85" fillId="21" borderId="28" applyNumberFormat="0" applyAlignment="0" applyProtection="0"/>
    <xf numFmtId="0" fontId="16" fillId="21" borderId="28" applyNumberFormat="0" applyAlignment="0" applyProtection="0"/>
    <xf numFmtId="0" fontId="53"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5" fillId="65" borderId="38" applyProtection="0">
      <alignment horizontal="righ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2" fontId="186" fillId="68" borderId="38" applyProtection="0">
      <alignment/>
    </xf>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2" fontId="186" fillId="68" borderId="38" applyProtection="0">
      <alignment horizontal="center"/>
    </xf>
    <xf numFmtId="0" fontId="85" fillId="5" borderId="28" applyNumberFormat="0" applyAlignment="0" applyProtection="0"/>
    <xf numFmtId="0" fontId="77" fillId="8" borderId="3" applyNumberFormat="0" applyAlignment="0" applyProtection="0"/>
    <xf numFmtId="0" fontId="32"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88" fillId="42" borderId="38" applyNumberFormat="0" applyProtection="0">
      <alignment horizontal="lef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left"/>
    </xf>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3"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5"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2" fontId="186" fillId="68" borderId="38" applyProtection="0">
      <alignment horizontal="center"/>
    </xf>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2" fontId="186" fillId="66" borderId="38" applyProtection="0">
      <alignment horizontal="right"/>
    </xf>
    <xf numFmtId="0" fontId="45" fillId="11" borderId="26" applyNumberFormat="0" applyFont="0" applyAlignment="0" applyProtection="0"/>
    <xf numFmtId="0" fontId="76" fillId="8" borderId="4"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13" fillId="8" borderId="3" applyNumberFormat="0" applyAlignment="0" applyProtection="0"/>
    <xf numFmtId="0" fontId="45"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25"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76" fillId="8" borderId="3" applyNumberFormat="0" applyAlignment="0" applyProtection="0"/>
    <xf numFmtId="0" fontId="13" fillId="8" borderId="3"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3" fillId="21" borderId="3" applyNumberFormat="0" applyAlignment="0" applyProtection="0"/>
    <xf numFmtId="0" fontId="76" fillId="8" borderId="3" applyNumberFormat="0" applyAlignment="0" applyProtection="0"/>
    <xf numFmtId="0" fontId="53"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4"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85" fillId="5"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3" applyNumberFormat="0" applyAlignment="0" applyProtection="0"/>
    <xf numFmtId="2" fontId="187" fillId="42" borderId="38" applyProtection="0">
      <alignment/>
    </xf>
    <xf numFmtId="0" fontId="32"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98" fillId="0" borderId="36" applyNumberFormat="0" applyFill="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2" fillId="25"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8" borderId="38" applyProtection="0">
      <alignment/>
    </xf>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14" fontId="187" fillId="67" borderId="38" applyProtection="0">
      <alignment horizontal="left"/>
    </xf>
    <xf numFmtId="0" fontId="0" fillId="11" borderId="4" applyNumberFormat="0" applyFont="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45"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52" fillId="21" borderId="3" applyNumberFormat="0" applyAlignment="0" applyProtection="0"/>
    <xf numFmtId="0" fontId="28" fillId="0" borderId="10">
      <alignment horizontal="left"/>
      <protection/>
    </xf>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85" fillId="21" borderId="28" applyNumberForma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98" fillId="0" borderId="36" applyNumberFormat="0" applyFill="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2" fillId="25"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6" fillId="68" borderId="38" applyProtection="0">
      <alignment horizontal="center"/>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2" fontId="186" fillId="66" borderId="38" applyProtection="0">
      <alignment/>
    </xf>
    <xf numFmtId="0" fontId="98" fillId="0" borderId="36"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185" fillId="42" borderId="38" applyNumberFormat="0" applyAlignment="0" applyProtection="0"/>
    <xf numFmtId="0" fontId="85" fillId="5"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4"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2" fontId="185" fillId="65" borderId="38" applyProtection="0">
      <alignment horizontal="righ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5" borderId="28" applyNumberForma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53" fillId="21"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8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5" fillId="0" borderId="36" applyNumberFormat="0" applyFill="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13"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85" fillId="25"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6" fillId="66" borderId="38" applyProtection="0">
      <alignment horizontal="right"/>
    </xf>
    <xf numFmtId="0" fontId="77" fillId="8" borderId="3" applyNumberFormat="0" applyAlignment="0" applyProtection="0"/>
    <xf numFmtId="0" fontId="36" fillId="11" borderId="26" applyNumberFormat="0" applyFont="0" applyAlignment="0" applyProtection="0"/>
    <xf numFmtId="0" fontId="85" fillId="25" borderId="28" applyNumberFormat="0" applyAlignment="0" applyProtection="0"/>
    <xf numFmtId="0" fontId="76" fillId="8" borderId="4"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14" fontId="187" fillId="67" borderId="38" applyProtection="0">
      <alignment horizontal="left"/>
    </xf>
    <xf numFmtId="0" fontId="85" fillId="21" borderId="28" applyNumberFormat="0" applyAlignment="0" applyProtection="0"/>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2" fontId="185" fillId="65" borderId="38" applyProtection="0">
      <alignment horizontal="right"/>
    </xf>
    <xf numFmtId="0" fontId="0" fillId="11" borderId="26" applyNumberFormat="0" applyFont="0" applyAlignment="0" applyProtection="0"/>
    <xf numFmtId="0" fontId="52" fillId="5" borderId="3" applyNumberFormat="0" applyAlignment="0" applyProtection="0"/>
    <xf numFmtId="0" fontId="0" fillId="11" borderId="26" applyNumberFormat="0" applyFont="0" applyAlignment="0" applyProtection="0"/>
    <xf numFmtId="0" fontId="77" fillId="8" borderId="3" applyNumberFormat="0" applyAlignment="0" applyProtection="0"/>
    <xf numFmtId="0" fontId="28" fillId="0" borderId="10">
      <alignment horizontal="left"/>
      <protection/>
    </xf>
    <xf numFmtId="0" fontId="76" fillId="8" borderId="4" applyNumberFormat="0" applyAlignment="0" applyProtection="0"/>
    <xf numFmtId="0" fontId="8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36" fillId="11" borderId="26" applyNumberFormat="0" applyFont="0" applyAlignment="0" applyProtection="0"/>
    <xf numFmtId="14" fontId="187" fillId="67" borderId="38" applyProtection="0">
      <alignment horizontal="lef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0" fillId="11" borderId="26" applyNumberFormat="0" applyFont="0" applyAlignment="0" applyProtection="0"/>
    <xf numFmtId="0" fontId="52" fillId="5" borderId="3" applyNumberFormat="0" applyAlignment="0" applyProtection="0"/>
    <xf numFmtId="0" fontId="0" fillId="11" borderId="4" applyNumberFormat="0" applyFont="0" applyAlignment="0" applyProtection="0"/>
    <xf numFmtId="0" fontId="85" fillId="25"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2" fontId="186" fillId="65" borderId="38" applyProtection="0">
      <alignment/>
    </xf>
    <xf numFmtId="0" fontId="5" fillId="21"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188" fillId="42" borderId="38" applyNumberFormat="0" applyProtection="0">
      <alignment horizontal="lef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5" fillId="21" borderId="28" applyNumberFormat="0" applyAlignment="0" applyProtection="0"/>
    <xf numFmtId="0" fontId="85" fillId="25" borderId="28" applyNumberFormat="0" applyAlignment="0" applyProtection="0"/>
    <xf numFmtId="0" fontId="76" fillId="8" borderId="4"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right"/>
    </xf>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13" fillId="8" borderId="3"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85" fillId="21" borderId="28"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6" fillId="11" borderId="26" applyNumberFormat="0" applyFont="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77"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2" fontId="186" fillId="66" borderId="38" applyProtection="0">
      <alignment horizontal="right"/>
    </xf>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14" fontId="187" fillId="67" borderId="38" applyProtection="0">
      <alignment horizontal="right"/>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14" fontId="187" fillId="67" borderId="38" applyProtection="0">
      <alignment horizontal="right"/>
    </xf>
    <xf numFmtId="0" fontId="86"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6" borderId="38" applyProtection="0">
      <alignment/>
    </xf>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20"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85" fillId="21" borderId="28"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0" fillId="11" borderId="26" applyNumberFormat="0" applyFont="0" applyAlignment="0" applyProtection="0"/>
    <xf numFmtId="2" fontId="186" fillId="66" borderId="38" applyProtection="0">
      <alignment horizontal="right"/>
    </xf>
    <xf numFmtId="0" fontId="53" fillId="21"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center"/>
    </xf>
    <xf numFmtId="0" fontId="76" fillId="8"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86" fillId="21" borderId="28"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2" fillId="25"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85" fillId="5" borderId="28" applyNumberFormat="0" applyAlignment="0" applyProtection="0"/>
    <xf numFmtId="0" fontId="76" fillId="8" borderId="3" applyNumberFormat="0" applyAlignment="0" applyProtection="0"/>
    <xf numFmtId="0" fontId="28" fillId="0" borderId="10">
      <alignment horizontal="left"/>
      <protection/>
    </xf>
    <xf numFmtId="0" fontId="76" fillId="8"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6" borderId="38" applyProtection="0">
      <alignment horizontal="center"/>
    </xf>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left"/>
    </xf>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52" fillId="5"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4"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6" fillId="11" borderId="26" applyNumberFormat="0" applyFont="0" applyAlignment="0" applyProtection="0"/>
    <xf numFmtId="2" fontId="186" fillId="66" borderId="38" applyProtection="0">
      <alignment horizontal="right"/>
    </xf>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52" fillId="21"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6" fillId="21" borderId="28" applyNumberFormat="0" applyAlignment="0" applyProtection="0"/>
    <xf numFmtId="0" fontId="76" fillId="8" borderId="4"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2" fontId="186" fillId="68" borderId="38" applyProtection="0">
      <alignment horizontal="center"/>
    </xf>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5" fillId="25"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6" fillId="8"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52" fillId="5"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13" fillId="8" borderId="3" applyNumberFormat="0" applyAlignment="0" applyProtection="0"/>
    <xf numFmtId="0" fontId="55" fillId="0" borderId="36" applyNumberFormat="0" applyFill="0" applyAlignment="0" applyProtection="0"/>
    <xf numFmtId="0" fontId="0" fillId="11" borderId="4" applyNumberFormat="0" applyFont="0" applyAlignment="0" applyProtection="0"/>
    <xf numFmtId="0" fontId="76" fillId="8" borderId="3" applyNumberFormat="0" applyAlignment="0" applyProtection="0"/>
    <xf numFmtId="2" fontId="186" fillId="66" borderId="38" applyProtection="0">
      <alignment horizontal="right"/>
    </xf>
    <xf numFmtId="0" fontId="0" fillId="11" borderId="26" applyNumberFormat="0" applyFont="0" applyAlignment="0" applyProtection="0"/>
    <xf numFmtId="0" fontId="98" fillId="0" borderId="36" applyNumberFormat="0" applyFill="0" applyAlignment="0" applyProtection="0"/>
    <xf numFmtId="0" fontId="13" fillId="8" borderId="3" applyNumberFormat="0" applyAlignment="0" applyProtection="0"/>
    <xf numFmtId="0" fontId="1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85" fillId="42" borderId="38" applyNumberFormat="0" applyAlignment="0" applyProtection="0"/>
    <xf numFmtId="0" fontId="32"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 fillId="21" borderId="3" applyNumberFormat="0" applyAlignment="0" applyProtection="0"/>
    <xf numFmtId="0" fontId="185" fillId="42" borderId="3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38" fontId="40" fillId="0" borderId="33">
      <alignment/>
      <protection/>
    </xf>
    <xf numFmtId="0" fontId="55" fillId="0" borderId="36"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36" fillId="0" borderId="0">
      <alignment/>
      <protection/>
    </xf>
    <xf numFmtId="0" fontId="1" fillId="0" borderId="0">
      <alignment/>
      <protection/>
    </xf>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43" fontId="36" fillId="0" borderId="0" applyFont="0" applyFill="0" applyBorder="0" applyAlignment="0" applyProtection="0"/>
    <xf numFmtId="9" fontId="36" fillId="0" borderId="0" applyFont="0" applyFill="0" applyBorder="0" applyAlignment="0" applyProtection="0"/>
    <xf numFmtId="0" fontId="84" fillId="0" borderId="0">
      <alignment/>
      <protection/>
    </xf>
    <xf numFmtId="0" fontId="1" fillId="0" borderId="0">
      <alignment/>
      <protection/>
    </xf>
    <xf numFmtId="43" fontId="1" fillId="0" borderId="0" applyFont="0" applyFill="0" applyBorder="0" applyAlignment="0" applyProtection="0"/>
    <xf numFmtId="44" fontId="1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85" fillId="21" borderId="28"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36" fillId="11" borderId="26" applyNumberFormat="0" applyFont="0" applyAlignment="0" applyProtection="0"/>
    <xf numFmtId="0" fontId="22" fillId="57" borderId="20" applyNumberFormat="0" applyBorder="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1" fillId="0" borderId="0">
      <alignment/>
      <protection/>
    </xf>
    <xf numFmtId="0" fontId="1" fillId="0" borderId="0">
      <alignment/>
      <protection/>
    </xf>
    <xf numFmtId="0" fontId="36" fillId="11" borderId="26" applyNumberFormat="0" applyFont="0" applyAlignment="0" applyProtection="0"/>
    <xf numFmtId="0" fontId="1" fillId="0" borderId="0">
      <alignment/>
      <protection/>
    </xf>
    <xf numFmtId="0" fontId="1" fillId="0" borderId="0">
      <alignment/>
      <protection/>
    </xf>
    <xf numFmtId="0" fontId="98" fillId="0" borderId="35" applyNumberFormat="0" applyFill="0" applyAlignment="0" applyProtection="0"/>
    <xf numFmtId="0" fontId="1" fillId="0" borderId="0">
      <alignment/>
      <protection/>
    </xf>
    <xf numFmtId="0" fontId="1" fillId="0" borderId="0">
      <alignment/>
      <protection/>
    </xf>
    <xf numFmtId="0" fontId="52" fillId="21"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43" fontId="1" fillId="0" borderId="0" applyFont="0" applyFill="0" applyBorder="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2" fillId="57" borderId="20" applyNumberFormat="0" applyBorder="0" applyAlignment="0" applyProtection="0"/>
    <xf numFmtId="0" fontId="77"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1" fillId="0" borderId="0">
      <alignment/>
      <protection/>
    </xf>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1" fillId="0" borderId="0">
      <alignment/>
      <protection/>
    </xf>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43" fontId="1" fillId="0" borderId="0" applyFont="0" applyFill="0" applyBorder="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18" borderId="0" applyNumberFormat="0" applyBorder="0" applyAlignment="0" applyProtection="0"/>
    <xf numFmtId="0" fontId="52" fillId="21" borderId="3" applyNumberFormat="0" applyAlignment="0" applyProtection="0"/>
    <xf numFmtId="0" fontId="52" fillId="21" borderId="3" applyNumberFormat="0" applyAlignment="0" applyProtection="0"/>
    <xf numFmtId="0" fontId="1" fillId="22" borderId="0" applyNumberFormat="0" applyBorder="0" applyAlignment="0" applyProtection="0"/>
    <xf numFmtId="0" fontId="76" fillId="8" borderId="3" applyNumberFormat="0" applyAlignment="0" applyProtection="0"/>
    <xf numFmtId="0" fontId="1" fillId="24" borderId="0" applyNumberFormat="0" applyBorder="0" applyAlignment="0" applyProtection="0"/>
    <xf numFmtId="0" fontId="1" fillId="26" borderId="0" applyNumberFormat="0" applyBorder="0" applyAlignment="0" applyProtection="0"/>
    <xf numFmtId="0" fontId="52" fillId="21" borderId="3" applyNumberFormat="0" applyAlignment="0" applyProtection="0"/>
    <xf numFmtId="0" fontId="1" fillId="27" borderId="0" applyNumberFormat="0" applyBorder="0" applyAlignment="0" applyProtection="0"/>
    <xf numFmtId="0" fontId="76" fillId="8" borderId="3" applyNumberFormat="0" applyAlignment="0" applyProtection="0"/>
    <xf numFmtId="0" fontId="1" fillId="28" borderId="0" applyNumberFormat="0" applyBorder="0" applyAlignment="0" applyProtection="0"/>
    <xf numFmtId="0" fontId="98" fillId="0" borderId="35" applyNumberFormat="0" applyFill="0" applyAlignment="0" applyProtection="0"/>
    <xf numFmtId="0" fontId="52" fillId="21" borderId="3" applyNumberFormat="0" applyAlignment="0" applyProtection="0"/>
    <xf numFmtId="0" fontId="1" fillId="30" borderId="0" applyNumberFormat="0" applyBorder="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85" fillId="21" borderId="28" applyNumberFormat="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 fillId="30" borderId="0" applyNumberFormat="0" applyBorder="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1" fillId="0" borderId="0">
      <alignment/>
      <protection/>
    </xf>
    <xf numFmtId="0" fontId="1" fillId="0" borderId="0">
      <alignment/>
      <protection/>
    </xf>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1" fillId="0" borderId="0">
      <alignment/>
      <protection/>
    </xf>
    <xf numFmtId="0" fontId="1" fillId="0" borderId="0">
      <alignment/>
      <protection/>
    </xf>
    <xf numFmtId="0" fontId="53" fillId="21" borderId="3" applyNumberFormat="0" applyAlignment="0" applyProtection="0"/>
    <xf numFmtId="43" fontId="1" fillId="0" borderId="0" applyFont="0" applyFill="0" applyBorder="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1" fillId="0" borderId="0">
      <alignment/>
      <protection/>
    </xf>
    <xf numFmtId="0" fontId="52" fillId="5" borderId="3" applyNumberFormat="0" applyAlignment="0" applyProtection="0"/>
    <xf numFmtId="0" fontId="53" fillId="21" borderId="3" applyNumberFormat="0" applyAlignment="0" applyProtection="0"/>
    <xf numFmtId="0" fontId="1" fillId="0" borderId="0">
      <alignment/>
      <protection/>
    </xf>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8" fillId="0" borderId="36" applyNumberFormat="0" applyFill="0" applyAlignment="0" applyProtection="0"/>
    <xf numFmtId="0" fontId="55" fillId="0" borderId="36" applyNumberFormat="0" applyFill="0" applyAlignment="0" applyProtection="0"/>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1" fillId="0" borderId="0">
      <alignment/>
      <protection/>
    </xf>
    <xf numFmtId="0" fontId="52" fillId="25"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4" applyNumberFormat="0" applyAlignment="0" applyProtection="0"/>
    <xf numFmtId="0" fontId="1" fillId="0" borderId="0">
      <alignment/>
      <protection/>
    </xf>
    <xf numFmtId="0" fontId="1" fillId="0" borderId="0">
      <alignment/>
      <protection/>
    </xf>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1" fillId="0" borderId="0">
      <alignment/>
      <protection/>
    </xf>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11" borderId="26" applyNumberFormat="0" applyFont="0" applyAlignment="0" applyProtection="0"/>
    <xf numFmtId="0" fontId="0" fillId="11" borderId="26"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 fillId="28" borderId="0" applyNumberFormat="0" applyBorder="0" applyAlignment="0" applyProtection="0"/>
    <xf numFmtId="0" fontId="1" fillId="30" borderId="0" applyNumberFormat="0" applyBorder="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76" fillId="8" borderId="3"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76" fillId="8" borderId="3" applyNumberFormat="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right"/>
    </xf>
    <xf numFmtId="0" fontId="1" fillId="6" borderId="0" applyNumberFormat="0" applyBorder="0" applyAlignment="0" applyProtection="0"/>
    <xf numFmtId="0" fontId="1" fillId="22" borderId="0" applyNumberFormat="0" applyBorder="0" applyAlignment="0" applyProtection="0"/>
    <xf numFmtId="0" fontId="0" fillId="11" borderId="4" applyNumberFormat="0" applyFont="0" applyAlignment="0" applyProtection="0"/>
    <xf numFmtId="2" fontId="186" fillId="66" borderId="38" applyProtection="0">
      <alignment horizontal="right"/>
    </xf>
    <xf numFmtId="0" fontId="1" fillId="9" borderId="0" applyNumberFormat="0" applyBorder="0" applyAlignment="0" applyProtection="0"/>
    <xf numFmtId="0" fontId="1" fillId="24" borderId="0" applyNumberFormat="0" applyBorder="0" applyAlignment="0" applyProtection="0"/>
    <xf numFmtId="0" fontId="0" fillId="11" borderId="26" applyNumberFormat="0" applyFont="0" applyAlignment="0" applyProtection="0"/>
    <xf numFmtId="14" fontId="187" fillId="67" borderId="38" applyProtection="0">
      <alignment horizontal="right"/>
    </xf>
    <xf numFmtId="0" fontId="1" fillId="12" borderId="0" applyNumberFormat="0" applyBorder="0" applyAlignment="0" applyProtection="0"/>
    <xf numFmtId="0" fontId="1" fillId="26"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85" fillId="42" borderId="38" applyNumberFormat="0" applyAlignment="0" applyProtection="0"/>
    <xf numFmtId="0" fontId="0" fillId="11" borderId="26" applyNumberFormat="0" applyFont="0" applyAlignment="0" applyProtection="0"/>
    <xf numFmtId="0" fontId="1" fillId="17" borderId="0" applyNumberFormat="0" applyBorder="0" applyAlignment="0" applyProtection="0"/>
    <xf numFmtId="0" fontId="1" fillId="28" borderId="0" applyNumberFormat="0" applyBorder="0" applyAlignment="0" applyProtection="0"/>
    <xf numFmtId="2" fontId="185" fillId="65" borderId="38" applyProtection="0">
      <alignment horizontal="right"/>
    </xf>
    <xf numFmtId="0" fontId="0" fillId="11" borderId="26"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2" fontId="185" fillId="65" borderId="38" applyProtection="0">
      <alignment horizontal="right"/>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52" fillId="21" borderId="3" applyNumberFormat="0" applyAlignment="0" applyProtection="0"/>
    <xf numFmtId="0" fontId="0" fillId="11" borderId="26" applyNumberFormat="0" applyFont="0" applyAlignment="0" applyProtection="0"/>
    <xf numFmtId="44" fontId="1" fillId="0" borderId="0" applyFont="0" applyFill="0" applyBorder="0" applyAlignment="0" applyProtection="0"/>
    <xf numFmtId="0" fontId="1" fillId="0" borderId="0">
      <alignment/>
      <protection/>
    </xf>
    <xf numFmtId="0" fontId="98" fillId="0" borderId="35" applyNumberFormat="0" applyFill="0" applyAlignment="0" applyProtection="0"/>
    <xf numFmtId="0" fontId="1" fillId="0" borderId="0">
      <alignment/>
      <protection/>
    </xf>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43" fontId="1" fillId="0" borderId="0" applyFont="0" applyFill="0" applyBorder="0" applyAlignment="0" applyProtection="0"/>
    <xf numFmtId="0" fontId="1" fillId="60" borderId="27" applyNumberFormat="0" applyFont="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2" fontId="186" fillId="68" borderId="38" applyProtection="0">
      <alignment horizontal="center"/>
    </xf>
    <xf numFmtId="2" fontId="186" fillId="68" borderId="38" applyProtection="0">
      <alignment horizontal="center"/>
    </xf>
    <xf numFmtId="2" fontId="186" fillId="66" borderId="38" applyProtection="0">
      <alignment horizontal="center"/>
    </xf>
    <xf numFmtId="2" fontId="186" fillId="66" borderId="38" applyProtection="0">
      <alignment horizontal="center"/>
    </xf>
    <xf numFmtId="2" fontId="186" fillId="66" borderId="38" applyProtection="0">
      <alignment/>
    </xf>
    <xf numFmtId="2" fontId="186" fillId="66" borderId="38" applyProtection="0">
      <alignment/>
    </xf>
    <xf numFmtId="2" fontId="186" fillId="68" borderId="38" applyProtection="0">
      <alignment/>
    </xf>
    <xf numFmtId="2" fontId="186" fillId="68" borderId="38" applyProtection="0">
      <alignment/>
    </xf>
    <xf numFmtId="2" fontId="186" fillId="65" borderId="38" applyProtection="0">
      <alignment/>
    </xf>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36"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85" fillId="25" borderId="28" applyNumberFormat="0" applyAlignment="0" applyProtection="0"/>
    <xf numFmtId="2" fontId="186" fillId="68" borderId="38" applyProtection="0">
      <alignment horizontal="center"/>
    </xf>
    <xf numFmtId="0" fontId="85" fillId="21" borderId="28" applyNumberFormat="0" applyAlignment="0" applyProtection="0"/>
    <xf numFmtId="0" fontId="32" fillId="0" borderId="35"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7" fillId="8" borderId="3"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5" borderId="3" applyNumberFormat="0" applyAlignment="0" applyProtection="0"/>
    <xf numFmtId="0" fontId="185" fillId="42" borderId="3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14" fontId="187" fillId="67" borderId="38" applyProtection="0">
      <alignment horizontal="left"/>
    </xf>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55" fillId="0" borderId="36" applyNumberFormat="0" applyFill="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28" fillId="0" borderId="10">
      <alignment horizontal="left"/>
      <protection/>
    </xf>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98" fillId="0" borderId="35" applyNumberFormat="0" applyFill="0" applyAlignment="0" applyProtection="0"/>
    <xf numFmtId="2" fontId="186" fillId="66" borderId="38" applyProtection="0">
      <alignment/>
    </xf>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52" fillId="25" borderId="4" applyNumberFormat="0" applyAlignment="0" applyProtection="0"/>
    <xf numFmtId="2" fontId="186" fillId="66" borderId="38" applyProtection="0">
      <alignment/>
    </xf>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36"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16" fillId="21" borderId="28" applyNumberFormat="0" applyAlignment="0" applyProtection="0"/>
    <xf numFmtId="0" fontId="85" fillId="25" borderId="28" applyNumberFormat="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0" fontId="52"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22" fillId="57" borderId="20" applyNumberFormat="0" applyBorder="0" applyAlignment="0" applyProtection="0"/>
    <xf numFmtId="0" fontId="77"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14" fontId="187" fillId="67" borderId="38" applyProtection="0">
      <alignment horizontal="left"/>
    </xf>
    <xf numFmtId="0" fontId="77" fillId="8"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98" fillId="0" borderId="35" applyNumberFormat="0" applyFill="0" applyAlignment="0" applyProtection="0"/>
    <xf numFmtId="0" fontId="52" fillId="5" borderId="3" applyNumberFormat="0" applyAlignment="0" applyProtection="0"/>
    <xf numFmtId="0" fontId="52" fillId="25" borderId="4"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5" fillId="25" borderId="28" applyNumberFormat="0" applyAlignment="0" applyProtection="0"/>
    <xf numFmtId="0" fontId="28" fillId="0" borderId="10">
      <alignment horizontal="left"/>
      <protection/>
    </xf>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38" fontId="40" fillId="0" borderId="33">
      <alignment/>
      <protection/>
    </xf>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52" fillId="5"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16" fillId="21" borderId="28" applyNumberForma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7" fillId="8" borderId="3" applyNumberForma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2" fontId="187" fillId="42" borderId="38" applyProtection="0">
      <alignment/>
    </xf>
    <xf numFmtId="2" fontId="186" fillId="65" borderId="38" applyProtection="0">
      <alignment/>
    </xf>
    <xf numFmtId="2" fontId="186" fillId="68" borderId="38" applyProtection="0">
      <alignment/>
    </xf>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85" fillId="5" borderId="28" applyNumberForma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6" fillId="21" borderId="28" applyNumberFormat="0" applyAlignment="0" applyProtection="0"/>
    <xf numFmtId="0" fontId="76" fillId="8" borderId="3" applyNumberFormat="0" applyAlignment="0" applyProtection="0"/>
    <xf numFmtId="0" fontId="77"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85"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2" fontId="186" fillId="65" borderId="38" applyProtection="0">
      <alignment/>
    </xf>
    <xf numFmtId="0" fontId="0" fillId="11" borderId="4"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4" applyNumberFormat="0" applyAlignment="0" applyProtection="0"/>
    <xf numFmtId="0" fontId="52" fillId="5" borderId="3" applyNumberFormat="0" applyAlignment="0" applyProtection="0"/>
    <xf numFmtId="0" fontId="32" fillId="0" borderId="35" applyNumberFormat="0" applyFill="0" applyAlignment="0" applyProtection="0"/>
    <xf numFmtId="0" fontId="13"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53" fillId="21" borderId="3" applyNumberFormat="0" applyAlignment="0" applyProtection="0"/>
    <xf numFmtId="0" fontId="53" fillId="21" borderId="3" applyNumberFormat="0" applyAlignment="0" applyProtection="0"/>
    <xf numFmtId="0" fontId="76" fillId="8" borderId="3" applyNumberFormat="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76" fillId="8" borderId="4" applyNumberFormat="0" applyAlignment="0" applyProtection="0"/>
    <xf numFmtId="0" fontId="52" fillId="5"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0" fillId="11" borderId="4" applyNumberFormat="0" applyFont="0" applyAlignment="0" applyProtection="0"/>
    <xf numFmtId="2" fontId="186" fillId="66" borderId="38" applyProtection="0">
      <alignment horizontal="center"/>
    </xf>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22" fillId="57" borderId="20" applyNumberFormat="0" applyBorder="0" applyAlignment="0" applyProtection="0"/>
    <xf numFmtId="0" fontId="0" fillId="11" borderId="26" applyNumberFormat="0" applyFont="0" applyAlignment="0" applyProtection="0"/>
    <xf numFmtId="0" fontId="13" fillId="8" borderId="3"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5" borderId="28" applyNumberFormat="0" applyAlignment="0" applyProtection="0"/>
    <xf numFmtId="0" fontId="0" fillId="11" borderId="4" applyNumberFormat="0" applyFon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52" fillId="5" borderId="3" applyNumberForma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5" fillId="0" borderId="36" applyNumberFormat="0" applyFill="0" applyAlignment="0" applyProtection="0"/>
    <xf numFmtId="0" fontId="52" fillId="5" borderId="3" applyNumberFormat="0" applyAlignment="0" applyProtection="0"/>
    <xf numFmtId="0" fontId="52" fillId="25" borderId="4" applyNumberFormat="0" applyAlignment="0" applyProtection="0"/>
    <xf numFmtId="0" fontId="77" fillId="8" borderId="3" applyNumberFormat="0" applyAlignment="0" applyProtection="0"/>
    <xf numFmtId="0" fontId="77" fillId="8" borderId="3" applyNumberFormat="0" applyAlignment="0" applyProtection="0"/>
    <xf numFmtId="0" fontId="5" fillId="21" borderId="3" applyNumberFormat="0" applyAlignment="0" applyProtection="0"/>
    <xf numFmtId="0" fontId="0" fillId="11" borderId="4"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5" borderId="4"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16" fillId="21" borderId="28" applyNumberFormat="0" applyAlignment="0" applyProtection="0"/>
    <xf numFmtId="0" fontId="5"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36"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3" fillId="21" borderId="3" applyNumberFormat="0" applyAlignment="0" applyProtection="0"/>
    <xf numFmtId="0" fontId="76" fillId="8"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98" fillId="0" borderId="36" applyNumberFormat="0" applyFill="0" applyAlignment="0" applyProtection="0"/>
    <xf numFmtId="0" fontId="85" fillId="25" borderId="28" applyNumberFormat="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52" fillId="5" borderId="3" applyNumberFormat="0" applyAlignment="0" applyProtection="0"/>
    <xf numFmtId="0" fontId="86" fillId="21"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20" fillId="0" borderId="35" applyNumberFormat="0" applyFill="0" applyAlignment="0" applyProtection="0"/>
    <xf numFmtId="2" fontId="186" fillId="66" borderId="38" applyProtection="0">
      <alignment/>
    </xf>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16" fillId="21" borderId="28" applyNumberFormat="0" applyAlignment="0" applyProtection="0"/>
    <xf numFmtId="0" fontId="188" fillId="42" borderId="38" applyNumberFormat="0" applyProtection="0">
      <alignment horizontal="left"/>
    </xf>
    <xf numFmtId="0" fontId="13" fillId="8" borderId="3" applyNumberFormat="0" applyAlignment="0" applyProtection="0"/>
    <xf numFmtId="0" fontId="52" fillId="21" borderId="3" applyNumberFormat="0" applyAlignment="0" applyProtection="0"/>
    <xf numFmtId="0" fontId="55" fillId="0" borderId="36" applyNumberFormat="0" applyFill="0" applyAlignment="0" applyProtection="0"/>
    <xf numFmtId="14" fontId="187" fillId="67" borderId="38" applyProtection="0">
      <alignment horizontal="right"/>
    </xf>
    <xf numFmtId="2" fontId="186" fillId="66" borderId="38" applyProtection="0">
      <alignment horizontal="right"/>
    </xf>
    <xf numFmtId="0" fontId="1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28" fillId="0" borderId="10">
      <alignment horizontal="left"/>
      <protection/>
    </xf>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5"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2" fontId="186" fillId="65" borderId="38" applyProtection="0">
      <alignment/>
    </xf>
    <xf numFmtId="0" fontId="76" fillId="8"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55" fillId="0" borderId="36"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85" fillId="21" borderId="28" applyNumberFormat="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76" fillId="8" borderId="3" applyNumberFormat="0" applyAlignment="0" applyProtection="0"/>
    <xf numFmtId="0" fontId="28" fillId="0" borderId="10">
      <alignment horizontal="left"/>
      <protection/>
    </xf>
    <xf numFmtId="0" fontId="85"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7" fillId="42" borderId="38" applyProtection="0">
      <alignment/>
    </xf>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2" fontId="186" fillId="66" borderId="38" applyProtection="0">
      <alignmen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4" applyNumberFormat="0" applyAlignment="0" applyProtection="0"/>
    <xf numFmtId="0" fontId="52" fillId="25" borderId="4" applyNumberFormat="0" applyAlignment="0" applyProtection="0"/>
    <xf numFmtId="38" fontId="40" fillId="0" borderId="33">
      <alignment/>
      <protection/>
    </xf>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77" fillId="8" borderId="3" applyNumberFormat="0" applyAlignment="0" applyProtection="0"/>
    <xf numFmtId="0" fontId="85" fillId="21" borderId="28" applyNumberFormat="0" applyAlignment="0" applyProtection="0"/>
    <xf numFmtId="0" fontId="76" fillId="8" borderId="3" applyNumberFormat="0" applyAlignment="0" applyProtection="0"/>
    <xf numFmtId="0" fontId="20"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86" fillId="21" borderId="28" applyNumberFormat="0" applyAlignment="0" applyProtection="0"/>
    <xf numFmtId="14" fontId="187" fillId="67" borderId="38" applyProtection="0">
      <alignment horizontal="right"/>
    </xf>
    <xf numFmtId="0" fontId="36" fillId="11" borderId="26" applyNumberFormat="0" applyFont="0" applyAlignment="0" applyProtection="0"/>
    <xf numFmtId="0" fontId="0" fillId="11" borderId="4" applyNumberFormat="0" applyFont="0" applyAlignment="0" applyProtection="0"/>
    <xf numFmtId="0" fontId="98" fillId="0" borderId="36" applyNumberFormat="0" applyFill="0" applyAlignment="0" applyProtection="0"/>
    <xf numFmtId="2" fontId="187" fillId="42" borderId="38" applyProtection="0">
      <alignment/>
    </xf>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188" fillId="42" borderId="38" applyNumberFormat="0" applyProtection="0">
      <alignment horizontal="left"/>
    </xf>
    <xf numFmtId="0" fontId="0" fillId="11" borderId="4"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6" fillId="21" borderId="28" applyNumberFormat="0" applyAlignment="0" applyProtection="0"/>
    <xf numFmtId="0" fontId="85" fillId="25"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52"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185" fillId="42" borderId="38" applyNumberFormat="0" applyAlignment="0" applyProtection="0"/>
    <xf numFmtId="0" fontId="77"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32"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2" fontId="187" fillId="42" borderId="38" applyProtection="0">
      <alignment/>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188" fillId="42" borderId="38" applyNumberFormat="0" applyProtection="0">
      <alignment horizontal="left"/>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7" fillId="8"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2" fontId="186" fillId="68" borderId="38" applyProtection="0">
      <alignment horizontal="center"/>
    </xf>
    <xf numFmtId="2" fontId="186" fillId="66" borderId="38" applyProtection="0">
      <alignment horizontal="center"/>
    </xf>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4" applyNumberFormat="0" applyAlignment="0" applyProtection="0"/>
    <xf numFmtId="0" fontId="85" fillId="25" borderId="28"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16" fillId="21" borderId="28"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86" fillId="21" borderId="28" applyNumberFormat="0" applyAlignment="0" applyProtection="0"/>
    <xf numFmtId="2" fontId="185" fillId="65" borderId="38" applyProtection="0">
      <alignment horizontal="right"/>
    </xf>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2" fontId="186" fillId="66" borderId="38" applyProtection="0">
      <alignment/>
    </xf>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5" borderId="38" applyProtection="0">
      <alignment/>
    </xf>
    <xf numFmtId="0" fontId="76" fillId="8" borderId="4"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55" fillId="0" borderId="36"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32" fillId="0" borderId="35" applyNumberFormat="0" applyFill="0" applyAlignment="0" applyProtection="0"/>
    <xf numFmtId="38" fontId="40" fillId="0" borderId="33">
      <alignment/>
      <protection/>
    </xf>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53"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7" fillId="8" borderId="3" applyNumberFormat="0" applyAlignment="0" applyProtection="0"/>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45" fillId="11" borderId="26" applyNumberFormat="0" applyFont="0" applyAlignment="0" applyProtection="0"/>
    <xf numFmtId="14" fontId="187" fillId="67" borderId="38" applyProtection="0">
      <alignment horizontal="right"/>
    </xf>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5" borderId="4" applyNumberFormat="0" applyAlignment="0" applyProtection="0"/>
    <xf numFmtId="0" fontId="76" fillId="8" borderId="3" applyNumberFormat="0" applyAlignment="0" applyProtection="0"/>
    <xf numFmtId="0" fontId="52" fillId="21" borderId="3" applyNumberFormat="0" applyAlignment="0" applyProtection="0"/>
    <xf numFmtId="0" fontId="52" fillId="5"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6" fillId="8" borderId="3"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0" fontId="36" fillId="11" borderId="26" applyNumberFormat="0" applyFon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0" fontId="98" fillId="0" borderId="35" applyNumberFormat="0" applyFill="0" applyAlignment="0" applyProtection="0"/>
    <xf numFmtId="0" fontId="76" fillId="8" borderId="4" applyNumberFormat="0" applyAlignment="0" applyProtection="0"/>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20"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4"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2" fontId="186" fillId="68" borderId="38" applyProtection="0">
      <alignment horizontal="center"/>
    </xf>
    <xf numFmtId="0" fontId="85" fillId="25" borderId="28"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2" fontId="186" fillId="68" borderId="38" applyProtection="0">
      <alignment horizontal="center"/>
    </xf>
    <xf numFmtId="0" fontId="85" fillId="25"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0" fillId="11" borderId="4"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3"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98"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5" borderId="28" applyNumberFormat="0" applyAlignment="0" applyProtection="0"/>
    <xf numFmtId="2" fontId="186" fillId="66" borderId="38" applyProtection="0">
      <alignment horizontal="right"/>
    </xf>
    <xf numFmtId="0" fontId="52"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2" fontId="187" fillId="42" borderId="38" applyProtection="0">
      <alignment/>
    </xf>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76" fillId="8" borderId="3" applyNumberFormat="0" applyAlignment="0" applyProtection="0"/>
    <xf numFmtId="0" fontId="0" fillId="11" borderId="4" applyNumberFormat="0" applyFont="0" applyAlignment="0" applyProtection="0"/>
    <xf numFmtId="0" fontId="13"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5"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2" fontId="186" fillId="66" borderId="38" applyProtection="0">
      <alignment horizontal="center"/>
    </xf>
    <xf numFmtId="0" fontId="98" fillId="0" borderId="36" applyNumberFormat="0" applyFill="0" applyAlignment="0" applyProtection="0"/>
    <xf numFmtId="0" fontId="76" fillId="8" borderId="3" applyNumberFormat="0" applyAlignment="0" applyProtection="0"/>
    <xf numFmtId="0" fontId="85" fillId="21" borderId="28"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7" fillId="42" borderId="38" applyProtection="0">
      <alignment/>
    </xf>
    <xf numFmtId="0" fontId="85" fillId="25"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2" fontId="185" fillId="65" borderId="38" applyProtection="0">
      <alignment horizontal="right"/>
    </xf>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5"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0" fillId="11" borderId="4" applyNumberFormat="0" applyFon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85" fillId="25" borderId="28" applyNumberFormat="0" applyAlignment="0" applyProtection="0"/>
    <xf numFmtId="0" fontId="52" fillId="5"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5" borderId="28" applyNumberFormat="0" applyAlignment="0" applyProtection="0"/>
    <xf numFmtId="0" fontId="0" fillId="11" borderId="4"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98" fillId="0" borderId="36" applyNumberFormat="0" applyFill="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86" fillId="21" borderId="28"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85" fillId="21" borderId="28"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76" fillId="8" borderId="3"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98" fillId="0" borderId="35" applyNumberFormat="0" applyFill="0" applyAlignment="0" applyProtection="0"/>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6" fillId="11" borderId="26" applyNumberFormat="0" applyFont="0" applyAlignment="0" applyProtection="0"/>
    <xf numFmtId="0" fontId="5" fillId="21" borderId="3" applyNumberFormat="0" applyAlignment="0" applyProtection="0"/>
    <xf numFmtId="0" fontId="86" fillId="21"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0" fillId="11" borderId="26" applyNumberFormat="0" applyFont="0" applyAlignment="0" applyProtection="0"/>
    <xf numFmtId="0" fontId="85" fillId="25" borderId="28"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16" fillId="21" borderId="28" applyNumberFormat="0" applyAlignment="0" applyProtection="0"/>
    <xf numFmtId="0" fontId="20" fillId="0" borderId="35" applyNumberFormat="0" applyFill="0" applyAlignment="0" applyProtection="0"/>
    <xf numFmtId="0" fontId="85" fillId="21" borderId="28" applyNumberFormat="0" applyAlignment="0" applyProtection="0"/>
    <xf numFmtId="38" fontId="40" fillId="0" borderId="33">
      <alignment/>
      <protection/>
    </xf>
    <xf numFmtId="0" fontId="85" fillId="21" borderId="28" applyNumberFormat="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32" fillId="0" borderId="35" applyNumberFormat="0" applyFill="0" applyAlignment="0" applyProtection="0"/>
    <xf numFmtId="0" fontId="85" fillId="25" borderId="28" applyNumberFormat="0" applyAlignment="0" applyProtection="0"/>
    <xf numFmtId="0" fontId="55" fillId="0" borderId="36" applyNumberFormat="0" applyFill="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horizontal="center"/>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5" fillId="21" borderId="3" applyNumberFormat="0" applyAlignment="0" applyProtection="0"/>
    <xf numFmtId="0" fontId="85"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3" fillId="8" borderId="3" applyNumberFormat="0" applyAlignment="0" applyProtection="0"/>
    <xf numFmtId="2" fontId="187" fillId="42" borderId="38" applyProtection="0">
      <alignment/>
    </xf>
    <xf numFmtId="0" fontId="45" fillId="11" borderId="26" applyNumberFormat="0" applyFont="0" applyAlignment="0" applyProtection="0"/>
    <xf numFmtId="0" fontId="76" fillId="8" borderId="4"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77" fillId="8"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85" fillId="21" borderId="28" applyNumberFormat="0" applyAlignment="0" applyProtection="0"/>
    <xf numFmtId="0" fontId="85" fillId="21" borderId="28" applyNumberFormat="0" applyAlignment="0" applyProtection="0"/>
    <xf numFmtId="0" fontId="76" fillId="8" borderId="4"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53" fillId="21" borderId="3" applyNumberFormat="0" applyAlignment="0" applyProtection="0"/>
    <xf numFmtId="14" fontId="187" fillId="67" borderId="38" applyProtection="0">
      <alignment horizontal="right"/>
    </xf>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53"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85" fillId="21" borderId="28" applyNumberFormat="0" applyAlignment="0" applyProtection="0"/>
    <xf numFmtId="0" fontId="16" fillId="21" borderId="28" applyNumberFormat="0" applyAlignment="0" applyProtection="0"/>
    <xf numFmtId="0" fontId="53"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5" fillId="65" borderId="38" applyProtection="0">
      <alignment horizontal="righ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2" fontId="186" fillId="68" borderId="38" applyProtection="0">
      <alignment/>
    </xf>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2" fontId="186" fillId="68" borderId="38" applyProtection="0">
      <alignment horizontal="center"/>
    </xf>
    <xf numFmtId="0" fontId="85" fillId="5" borderId="28" applyNumberFormat="0" applyAlignment="0" applyProtection="0"/>
    <xf numFmtId="0" fontId="77" fillId="8" borderId="3" applyNumberFormat="0" applyAlignment="0" applyProtection="0"/>
    <xf numFmtId="0" fontId="32"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85" fillId="5" borderId="28" applyNumberFormat="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188" fillId="42" borderId="38" applyNumberFormat="0" applyProtection="0">
      <alignment horizontal="lef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85" fillId="2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left"/>
    </xf>
    <xf numFmtId="0" fontId="52" fillId="21" borderId="3" applyNumberFormat="0" applyAlignment="0" applyProtection="0"/>
    <xf numFmtId="0" fontId="5" fillId="21" borderId="3" applyNumberFormat="0" applyAlignment="0" applyProtection="0"/>
    <xf numFmtId="0" fontId="76" fillId="8" borderId="3" applyNumberFormat="0" applyAlignment="0" applyProtection="0"/>
    <xf numFmtId="0" fontId="188" fillId="42" borderId="38" applyNumberFormat="0" applyProtection="0">
      <alignment horizontal="left"/>
    </xf>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3"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5"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98" fillId="0" borderId="35" applyNumberFormat="0" applyFill="0" applyAlignment="0" applyProtection="0"/>
    <xf numFmtId="2" fontId="187" fillId="42" borderId="38" applyProtection="0">
      <alignment/>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2" fontId="186" fillId="68" borderId="38" applyProtection="0">
      <alignment horizontal="center"/>
    </xf>
    <xf numFmtId="0" fontId="55" fillId="0" borderId="36" applyNumberFormat="0" applyFill="0" applyAlignment="0" applyProtection="0"/>
    <xf numFmtId="0" fontId="76" fillId="8"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2" fontId="186" fillId="66" borderId="38" applyProtection="0">
      <alignment horizontal="right"/>
    </xf>
    <xf numFmtId="0" fontId="45" fillId="11" borderId="26" applyNumberFormat="0" applyFont="0" applyAlignment="0" applyProtection="0"/>
    <xf numFmtId="0" fontId="76" fillId="8" borderId="4"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52" fillId="21" borderId="3" applyNumberFormat="0" applyAlignment="0" applyProtection="0"/>
    <xf numFmtId="0" fontId="13" fillId="8" borderId="3" applyNumberFormat="0" applyAlignment="0" applyProtection="0"/>
    <xf numFmtId="0" fontId="45"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25"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76" fillId="8" borderId="3" applyNumberFormat="0" applyAlignment="0" applyProtection="0"/>
    <xf numFmtId="0" fontId="13" fillId="8" borderId="3"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53" fillId="21" borderId="3" applyNumberFormat="0" applyAlignment="0" applyProtection="0"/>
    <xf numFmtId="0" fontId="76" fillId="8" borderId="3" applyNumberFormat="0" applyAlignment="0" applyProtection="0"/>
    <xf numFmtId="0" fontId="53" fillId="21" borderId="3" applyNumberFormat="0" applyAlignment="0" applyProtection="0"/>
    <xf numFmtId="0" fontId="98" fillId="0" borderId="36"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4"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85" fillId="5"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13" fillId="8" borderId="3" applyNumberFormat="0" applyAlignment="0" applyProtection="0"/>
    <xf numFmtId="0" fontId="76" fillId="8" borderId="3" applyNumberFormat="0" applyAlignment="0" applyProtection="0"/>
    <xf numFmtId="2" fontId="187" fillId="42" borderId="38" applyProtection="0">
      <alignment/>
    </xf>
    <xf numFmtId="0" fontId="32" fillId="0" borderId="35" applyNumberFormat="0" applyFill="0" applyAlignment="0" applyProtection="0"/>
    <xf numFmtId="0" fontId="86" fillId="21" borderId="28" applyNumberFormat="0" applyAlignment="0" applyProtection="0"/>
    <xf numFmtId="0" fontId="85"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98" fillId="0" borderId="36" applyNumberFormat="0" applyFill="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2" fillId="25" borderId="4"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8" borderId="38" applyProtection="0">
      <alignment/>
    </xf>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14" fontId="187" fillId="67" borderId="38" applyProtection="0">
      <alignment horizontal="left"/>
    </xf>
    <xf numFmtId="0" fontId="0" fillId="11" borderId="4" applyNumberFormat="0" applyFont="0" applyAlignment="0" applyProtection="0"/>
    <xf numFmtId="0" fontId="77"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4" applyNumberFormat="0" applyFont="0" applyAlignment="0" applyProtection="0"/>
    <xf numFmtId="0" fontId="76" fillId="8" borderId="3" applyNumberFormat="0" applyAlignment="0" applyProtection="0"/>
    <xf numFmtId="0" fontId="45"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52" fillId="21" borderId="3" applyNumberFormat="0" applyAlignment="0" applyProtection="0"/>
    <xf numFmtId="0" fontId="28" fillId="0" borderId="10">
      <alignment horizontal="left"/>
      <protection/>
    </xf>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85" fillId="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85" fillId="21" borderId="28" applyNumberFormat="0" applyAlignment="0" applyProtection="0"/>
    <xf numFmtId="0" fontId="52" fillId="5" borderId="3" applyNumberFormat="0" applyAlignment="0" applyProtection="0"/>
    <xf numFmtId="0" fontId="76" fillId="8" borderId="3" applyNumberFormat="0" applyAlignment="0" applyProtection="0"/>
    <xf numFmtId="0" fontId="0" fillId="11" borderId="26" applyNumberFormat="0" applyFont="0" applyAlignment="0" applyProtection="0"/>
    <xf numFmtId="0" fontId="55" fillId="0" borderId="36" applyNumberFormat="0" applyFill="0" applyAlignment="0" applyProtection="0"/>
    <xf numFmtId="0" fontId="98" fillId="0" borderId="36" applyNumberFormat="0" applyFill="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2" fillId="25"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2" fontId="187" fillId="42" borderId="38" applyProtection="0">
      <alignmen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2" fontId="186" fillId="68" borderId="38" applyProtection="0">
      <alignment horizontal="center"/>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2" fillId="21" borderId="3" applyNumberFormat="0" applyAlignment="0" applyProtection="0"/>
    <xf numFmtId="2" fontId="186" fillId="66" borderId="38" applyProtection="0">
      <alignment/>
    </xf>
    <xf numFmtId="0" fontId="98" fillId="0" borderId="36" applyNumberFormat="0" applyFill="0" applyAlignment="0" applyProtection="0"/>
    <xf numFmtId="0" fontId="76" fillId="8" borderId="3" applyNumberFormat="0" applyAlignment="0" applyProtection="0"/>
    <xf numFmtId="0" fontId="36"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185" fillId="42" borderId="38" applyNumberFormat="0" applyAlignment="0" applyProtection="0"/>
    <xf numFmtId="0" fontId="85" fillId="5" borderId="28"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85" fillId="5" borderId="28" applyNumberFormat="0" applyAlignment="0" applyProtection="0"/>
    <xf numFmtId="0" fontId="76" fillId="8" borderId="3" applyNumberFormat="0" applyAlignment="0" applyProtection="0"/>
    <xf numFmtId="0" fontId="76" fillId="8" borderId="4"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2" fontId="185" fillId="65" borderId="38" applyProtection="0">
      <alignment horizontal="right"/>
    </xf>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85" fillId="5" borderId="28" applyNumberForma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2" fontId="187" fillId="42" borderId="38" applyProtection="0">
      <alignment/>
    </xf>
    <xf numFmtId="0" fontId="0" fillId="11" borderId="26" applyNumberFormat="0" applyFon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85" fillId="21" borderId="28" applyNumberFormat="0" applyAlignment="0" applyProtection="0"/>
    <xf numFmtId="0" fontId="53" fillId="21" borderId="3" applyNumberFormat="0" applyAlignment="0" applyProtection="0"/>
    <xf numFmtId="0" fontId="32" fillId="0" borderId="35"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86" fillId="21" borderId="28" applyNumberFormat="0" applyAlignment="0" applyProtection="0"/>
    <xf numFmtId="0" fontId="86" fillId="21" borderId="28" applyNumberFormat="0" applyAlignment="0" applyProtection="0"/>
    <xf numFmtId="0" fontId="55" fillId="0" borderId="36" applyNumberFormat="0" applyFill="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53" fillId="21"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98" fillId="0" borderId="35" applyNumberFormat="0" applyFill="0" applyAlignment="0" applyProtection="0"/>
    <xf numFmtId="2" fontId="186" fillId="66" borderId="38" applyProtection="0">
      <alignmen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85" fillId="5"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5" fillId="0" borderId="36" applyNumberFormat="0" applyFill="0" applyAlignment="0" applyProtection="0"/>
    <xf numFmtId="0" fontId="52" fillId="21" borderId="3" applyNumberFormat="0" applyAlignment="0" applyProtection="0"/>
    <xf numFmtId="0" fontId="86"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85" fillId="42" borderId="3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86" fillId="21" borderId="28" applyNumberFormat="0" applyAlignment="0" applyProtection="0"/>
    <xf numFmtId="0" fontId="77" fillId="8" borderId="3" applyNumberFormat="0" applyAlignment="0" applyProtection="0"/>
    <xf numFmtId="0" fontId="76" fillId="8" borderId="3" applyNumberFormat="0" applyAlignment="0" applyProtection="0"/>
    <xf numFmtId="0" fontId="5" fillId="21" borderId="3" applyNumberFormat="0" applyAlignment="0" applyProtection="0"/>
    <xf numFmtId="0" fontId="13" fillId="8" borderId="3" applyNumberFormat="0" applyAlignment="0" applyProtection="0"/>
    <xf numFmtId="0" fontId="85"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20"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2" fontId="187" fillId="42" borderId="38" applyProtection="0">
      <alignment/>
    </xf>
    <xf numFmtId="0" fontId="0" fillId="11" borderId="26" applyNumberFormat="0" applyFont="0" applyAlignment="0" applyProtection="0"/>
    <xf numFmtId="0" fontId="85" fillId="25" borderId="28" applyNumberFormat="0" applyAlignment="0" applyProtection="0"/>
    <xf numFmtId="0" fontId="98" fillId="0" borderId="35"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2" fontId="186" fillId="66" borderId="38" applyProtection="0">
      <alignment horizontal="right"/>
    </xf>
    <xf numFmtId="0" fontId="77" fillId="8" borderId="3" applyNumberFormat="0" applyAlignment="0" applyProtection="0"/>
    <xf numFmtId="0" fontId="36" fillId="11" borderId="26" applyNumberFormat="0" applyFont="0" applyAlignment="0" applyProtection="0"/>
    <xf numFmtId="0" fontId="85" fillId="25" borderId="28" applyNumberFormat="0" applyAlignment="0" applyProtection="0"/>
    <xf numFmtId="0" fontId="76" fillId="8" borderId="4"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7"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14" fontId="187" fillId="67" borderId="38" applyProtection="0">
      <alignment horizontal="left"/>
    </xf>
    <xf numFmtId="0" fontId="85" fillId="21" borderId="28" applyNumberFormat="0" applyAlignment="0" applyProtection="0"/>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2" fontId="185" fillId="65" borderId="38" applyProtection="0">
      <alignment horizontal="right"/>
    </xf>
    <xf numFmtId="0" fontId="0" fillId="11" borderId="26" applyNumberFormat="0" applyFont="0" applyAlignment="0" applyProtection="0"/>
    <xf numFmtId="0" fontId="52" fillId="5" borderId="3" applyNumberFormat="0" applyAlignment="0" applyProtection="0"/>
    <xf numFmtId="0" fontId="0" fillId="11" borderId="26" applyNumberFormat="0" applyFont="0" applyAlignment="0" applyProtection="0"/>
    <xf numFmtId="0" fontId="77" fillId="8" borderId="3" applyNumberFormat="0" applyAlignment="0" applyProtection="0"/>
    <xf numFmtId="0" fontId="28" fillId="0" borderId="10">
      <alignment horizontal="left"/>
      <protection/>
    </xf>
    <xf numFmtId="0" fontId="76" fillId="8" borderId="4" applyNumberFormat="0" applyAlignment="0" applyProtection="0"/>
    <xf numFmtId="0" fontId="8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5" fillId="21" borderId="28" applyNumberFormat="0" applyAlignment="0" applyProtection="0"/>
    <xf numFmtId="0" fontId="36" fillId="11" borderId="26" applyNumberFormat="0" applyFont="0" applyAlignment="0" applyProtection="0"/>
    <xf numFmtId="14" fontId="187" fillId="67" borderId="38" applyProtection="0">
      <alignment horizontal="lef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0" fillId="11" borderId="26" applyNumberFormat="0" applyFont="0" applyAlignment="0" applyProtection="0"/>
    <xf numFmtId="0" fontId="52" fillId="5" borderId="3" applyNumberFormat="0" applyAlignment="0" applyProtection="0"/>
    <xf numFmtId="0" fontId="0" fillId="11" borderId="4" applyNumberFormat="0" applyFont="0" applyAlignment="0" applyProtection="0"/>
    <xf numFmtId="0" fontId="85" fillId="25"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2" fontId="186" fillId="65" borderId="38" applyProtection="0">
      <alignment/>
    </xf>
    <xf numFmtId="0" fontId="5" fillId="21"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188" fillId="42" borderId="38" applyNumberFormat="0" applyProtection="0">
      <alignment horizontal="left"/>
    </xf>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right"/>
    </xf>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2" fillId="21" borderId="3" applyNumberFormat="0" applyAlignment="0" applyProtection="0"/>
    <xf numFmtId="0" fontId="76" fillId="8" borderId="3" applyNumberFormat="0" applyAlignment="0" applyProtection="0"/>
    <xf numFmtId="0" fontId="85" fillId="21" borderId="28"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5" fillId="21" borderId="28" applyNumberFormat="0" applyAlignment="0" applyProtection="0"/>
    <xf numFmtId="0" fontId="85" fillId="25" borderId="28" applyNumberFormat="0" applyAlignment="0" applyProtection="0"/>
    <xf numFmtId="0" fontId="76" fillId="8" borderId="4" applyNumberFormat="0" applyAlignment="0" applyProtection="0"/>
    <xf numFmtId="0" fontId="76" fillId="8" borderId="3" applyNumberFormat="0" applyAlignment="0" applyProtection="0"/>
    <xf numFmtId="2" fontId="185" fillId="65" borderId="38" applyProtection="0">
      <alignment horizontal="right"/>
    </xf>
    <xf numFmtId="14" fontId="187" fillId="67" borderId="38" applyProtection="0">
      <alignment horizontal="right"/>
    </xf>
    <xf numFmtId="0" fontId="52"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13" fillId="8" borderId="3" applyNumberFormat="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85" fillId="21" borderId="28" applyNumberFormat="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6" fillId="11" borderId="26" applyNumberFormat="0" applyFont="0" applyAlignment="0" applyProtection="0"/>
    <xf numFmtId="0" fontId="0" fillId="11" borderId="4" applyNumberFormat="0" applyFont="0" applyAlignment="0" applyProtection="0"/>
    <xf numFmtId="2" fontId="186" fillId="66" borderId="38" applyProtection="0">
      <alignment horizontal="center"/>
    </xf>
    <xf numFmtId="0" fontId="86" fillId="21" borderId="28" applyNumberFormat="0" applyAlignment="0" applyProtection="0"/>
    <xf numFmtId="0" fontId="77"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20" fillId="0" borderId="35" applyNumberFormat="0" applyFill="0" applyAlignment="0" applyProtection="0"/>
    <xf numFmtId="0" fontId="45"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5" borderId="4" applyNumberFormat="0" applyAlignment="0" applyProtection="0"/>
    <xf numFmtId="0" fontId="52" fillId="25" borderId="4" applyNumberFormat="0" applyAlignment="0" applyProtection="0"/>
    <xf numFmtId="0" fontId="85" fillId="21" borderId="28" applyNumberFormat="0" applyAlignment="0" applyProtection="0"/>
    <xf numFmtId="2" fontId="186" fillId="66" borderId="38" applyProtection="0">
      <alignment horizontal="right"/>
    </xf>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0" fontId="5" fillId="21" borderId="3" applyNumberFormat="0" applyAlignment="0" applyProtection="0"/>
    <xf numFmtId="0" fontId="0" fillId="11" borderId="26" applyNumberFormat="0" applyFont="0" applyAlignment="0" applyProtection="0"/>
    <xf numFmtId="0" fontId="76" fillId="8" borderId="3" applyNumberFormat="0" applyAlignment="0" applyProtection="0"/>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0" fillId="11" borderId="26" applyNumberFormat="0" applyFont="0" applyAlignment="0" applyProtection="0"/>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14" fontId="187" fillId="67" borderId="38" applyProtection="0">
      <alignment horizontal="right"/>
    </xf>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85" fillId="21" borderId="28" applyNumberFormat="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14" fontId="187" fillId="67" borderId="38" applyProtection="0">
      <alignment horizontal="right"/>
    </xf>
    <xf numFmtId="0" fontId="86"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6"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6" borderId="38" applyProtection="0">
      <alignment/>
    </xf>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20"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20" fillId="0" borderId="35" applyNumberFormat="0" applyFill="0" applyAlignment="0" applyProtection="0"/>
    <xf numFmtId="0" fontId="55" fillId="0" borderId="36" applyNumberFormat="0" applyFill="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2" fontId="186" fillId="65" borderId="38" applyProtection="0">
      <alignment/>
    </xf>
    <xf numFmtId="0" fontId="55" fillId="0" borderId="36" applyNumberFormat="0" applyFill="0" applyAlignment="0" applyProtection="0"/>
    <xf numFmtId="0" fontId="52" fillId="5" borderId="3" applyNumberFormat="0" applyAlignment="0" applyProtection="0"/>
    <xf numFmtId="0" fontId="98" fillId="0" borderId="35" applyNumberFormat="0" applyFill="0" applyAlignment="0" applyProtection="0"/>
    <xf numFmtId="0" fontId="16" fillId="21" borderId="28" applyNumberFormat="0" applyAlignment="0" applyProtection="0"/>
    <xf numFmtId="0" fontId="52"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85" fillId="21" borderId="28"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6" fillId="21" borderId="28" applyNumberFormat="0" applyAlignment="0" applyProtection="0"/>
    <xf numFmtId="0" fontId="52" fillId="21" borderId="3" applyNumberFormat="0" applyAlignment="0" applyProtection="0"/>
    <xf numFmtId="14" fontId="187" fillId="67" borderId="38" applyProtection="0">
      <alignment horizontal="left"/>
    </xf>
    <xf numFmtId="0" fontId="45"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0" fillId="11" borderId="26" applyNumberFormat="0" applyFont="0" applyAlignment="0" applyProtection="0"/>
    <xf numFmtId="2" fontId="186" fillId="66" borderId="38" applyProtection="0">
      <alignment horizontal="right"/>
    </xf>
    <xf numFmtId="0" fontId="53" fillId="21" borderId="3" applyNumberFormat="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center"/>
    </xf>
    <xf numFmtId="0" fontId="76" fillId="8"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2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38" fontId="40" fillId="0" borderId="33">
      <alignment/>
      <protection/>
    </xf>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26" applyNumberFormat="0" applyFon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2" fontId="186" fillId="68" borderId="38" applyProtection="0">
      <alignment/>
    </xf>
    <xf numFmtId="0" fontId="32" fillId="0" borderId="35" applyNumberFormat="0" applyFill="0" applyAlignment="0" applyProtection="0"/>
    <xf numFmtId="0" fontId="52" fillId="25" borderId="4"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21" borderId="3" applyNumberFormat="0" applyAlignment="0" applyProtection="0"/>
    <xf numFmtId="0" fontId="32"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2" fontId="186" fillId="68" borderId="38" applyProtection="0">
      <alignment/>
    </xf>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85" fillId="5"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188" fillId="42" borderId="38" applyNumberFormat="0" applyProtection="0">
      <alignment horizontal="left"/>
    </xf>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86" fillId="21" borderId="28" applyNumberFormat="0" applyAlignment="0" applyProtection="0"/>
    <xf numFmtId="14" fontId="187" fillId="67" borderId="38" applyProtection="0">
      <alignment horizontal="right"/>
    </xf>
    <xf numFmtId="0" fontId="52" fillId="25"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52" fillId="25" borderId="4"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76" fillId="8" borderId="3" applyNumberFormat="0" applyAlignment="0" applyProtection="0"/>
    <xf numFmtId="0" fontId="86"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85" fillId="5" borderId="28" applyNumberFormat="0" applyAlignment="0" applyProtection="0"/>
    <xf numFmtId="0" fontId="76" fillId="8" borderId="3" applyNumberFormat="0" applyAlignment="0" applyProtection="0"/>
    <xf numFmtId="0" fontId="28" fillId="0" borderId="10">
      <alignment horizontal="left"/>
      <protection/>
    </xf>
    <xf numFmtId="0" fontId="76" fillId="8"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7"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1" borderId="3" applyNumberFormat="0" applyAlignment="0" applyProtection="0"/>
    <xf numFmtId="0" fontId="98" fillId="0" borderId="35" applyNumberFormat="0" applyFill="0" applyAlignment="0" applyProtection="0"/>
    <xf numFmtId="2" fontId="186" fillId="66" borderId="38" applyProtection="0">
      <alignment/>
    </xf>
    <xf numFmtId="0" fontId="85" fillId="21" borderId="28" applyNumberFormat="0" applyAlignment="0" applyProtection="0"/>
    <xf numFmtId="0" fontId="53" fillId="21" borderId="3" applyNumberFormat="0" applyAlignment="0" applyProtection="0"/>
    <xf numFmtId="0" fontId="20" fillId="0" borderId="35" applyNumberFormat="0" applyFill="0" applyAlignment="0" applyProtection="0"/>
    <xf numFmtId="0" fontId="98"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32" fillId="0" borderId="35" applyNumberFormat="0" applyFill="0" applyAlignment="0" applyProtection="0"/>
    <xf numFmtId="2" fontId="186" fillId="66" borderId="38" applyProtection="0">
      <alignment horizontal="center"/>
    </xf>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13" fillId="8" borderId="3" applyNumberFormat="0" applyAlignment="0" applyProtection="0"/>
    <xf numFmtId="0" fontId="0" fillId="11" borderId="26" applyNumberFormat="0" applyFont="0" applyAlignment="0" applyProtection="0"/>
    <xf numFmtId="0" fontId="13" fillId="8" borderId="3" applyNumberFormat="0" applyAlignment="0" applyProtection="0"/>
    <xf numFmtId="0" fontId="52" fillId="5" borderId="3" applyNumberFormat="0" applyAlignment="0" applyProtection="0"/>
    <xf numFmtId="0" fontId="85" fillId="25" borderId="28" applyNumberFormat="0" applyAlignment="0" applyProtection="0"/>
    <xf numFmtId="0" fontId="0" fillId="11" borderId="26" applyNumberFormat="0" applyFont="0" applyAlignment="0" applyProtection="0"/>
    <xf numFmtId="0" fontId="5" fillId="21" borderId="3" applyNumberFormat="0" applyAlignment="0" applyProtection="0"/>
    <xf numFmtId="0" fontId="76" fillId="8" borderId="3" applyNumberFormat="0" applyAlignment="0" applyProtection="0"/>
    <xf numFmtId="0" fontId="77" fillId="8" borderId="3" applyNumberFormat="0" applyAlignment="0" applyProtection="0"/>
    <xf numFmtId="2" fontId="187" fillId="42" borderId="38" applyProtection="0">
      <alignment/>
    </xf>
    <xf numFmtId="0" fontId="55"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85" fillId="21" borderId="28" applyNumberFormat="0" applyAlignment="0" applyProtection="0"/>
    <xf numFmtId="14" fontId="187" fillId="67" borderId="38" applyProtection="0">
      <alignment horizontal="left"/>
    </xf>
    <xf numFmtId="38" fontId="40" fillId="0" borderId="33">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5" fillId="65" borderId="38" applyProtection="0">
      <alignment horizontal="right"/>
    </xf>
    <xf numFmtId="0" fontId="52" fillId="5"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36"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5"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4"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32"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76" fillId="8" borderId="3" applyNumberFormat="0" applyAlignment="0" applyProtection="0"/>
    <xf numFmtId="2" fontId="186" fillId="65" borderId="38" applyProtection="0">
      <alignment/>
    </xf>
    <xf numFmtId="0" fontId="55" fillId="0" borderId="36"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5" fillId="21"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85" fillId="21" borderId="28" applyNumberFormat="0" applyAlignment="0" applyProtection="0"/>
    <xf numFmtId="0" fontId="52" fillId="21" borderId="3" applyNumberFormat="0" applyAlignment="0" applyProtection="0"/>
    <xf numFmtId="14" fontId="187" fillId="67" borderId="38" applyProtection="0">
      <alignment horizontal="left"/>
    </xf>
    <xf numFmtId="0" fontId="0" fillId="11" borderId="26" applyNumberFormat="0" applyFon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36" fillId="11" borderId="26" applyNumberFormat="0" applyFont="0" applyAlignment="0" applyProtection="0"/>
    <xf numFmtId="2" fontId="186" fillId="66" borderId="38" applyProtection="0">
      <alignment horizontal="right"/>
    </xf>
    <xf numFmtId="0" fontId="52" fillId="25"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8" borderId="38" applyProtection="0">
      <alignment horizontal="center"/>
    </xf>
    <xf numFmtId="0" fontId="76" fillId="8" borderId="3"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6" fillId="21" borderId="28"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3" fillId="21" borderId="3" applyNumberFormat="0" applyAlignment="0" applyProtection="0"/>
    <xf numFmtId="0" fontId="5"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52" fillId="21"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86" fillId="21" borderId="28" applyNumberFormat="0" applyAlignment="0" applyProtection="0"/>
    <xf numFmtId="0" fontId="76" fillId="8" borderId="4" applyNumberFormat="0" applyAlignment="0" applyProtection="0"/>
    <xf numFmtId="0" fontId="52"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76" fillId="8"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2" fontId="186" fillId="66" borderId="38" applyProtection="0">
      <alignment horizontal="center"/>
    </xf>
    <xf numFmtId="0" fontId="76" fillId="8" borderId="3" applyNumberFormat="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98" fillId="0" borderId="35" applyNumberFormat="0" applyFill="0" applyAlignment="0" applyProtection="0"/>
    <xf numFmtId="2" fontId="186" fillId="68" borderId="38" applyProtection="0">
      <alignment horizontal="center"/>
    </xf>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85" fillId="5"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2" fontId="187" fillId="42" borderId="38" applyProtection="0">
      <alignment/>
    </xf>
    <xf numFmtId="0" fontId="98" fillId="0" borderId="36"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6" fillId="21" borderId="28" applyNumberFormat="0" applyAlignment="0" applyProtection="0"/>
    <xf numFmtId="0" fontId="188" fillId="42" borderId="38" applyNumberFormat="0" applyProtection="0">
      <alignment horizontal="left"/>
    </xf>
    <xf numFmtId="0" fontId="98" fillId="0" borderId="36" applyNumberFormat="0" applyFill="0" applyAlignment="0" applyProtection="0"/>
    <xf numFmtId="0" fontId="0" fillId="11" borderId="4"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2" fontId="186" fillId="66" borderId="38" applyProtection="0">
      <alignment horizontal="right"/>
    </xf>
    <xf numFmtId="0" fontId="85" fillId="25"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85" fillId="21" borderId="28" applyNumberFormat="0" applyAlignment="0" applyProtection="0"/>
    <xf numFmtId="0" fontId="0" fillId="11" borderId="26" applyNumberFormat="0" applyFont="0" applyAlignment="0" applyProtection="0"/>
    <xf numFmtId="0" fontId="185" fillId="42" borderId="38" applyNumberFormat="0" applyAlignment="0" applyProtection="0"/>
    <xf numFmtId="0" fontId="76" fillId="8" borderId="4" applyNumberFormat="0" applyAlignment="0" applyProtection="0"/>
    <xf numFmtId="0" fontId="16" fillId="21" borderId="28" applyNumberFormat="0" applyAlignment="0" applyProtection="0"/>
    <xf numFmtId="0" fontId="0" fillId="11" borderId="26" applyNumberFormat="0" applyFont="0" applyAlignment="0" applyProtection="0"/>
    <xf numFmtId="0" fontId="52" fillId="21" borderId="3" applyNumberFormat="0" applyAlignment="0" applyProtection="0"/>
    <xf numFmtId="0" fontId="0" fillId="11" borderId="26" applyNumberFormat="0" applyFont="0" applyAlignment="0" applyProtection="0"/>
    <xf numFmtId="2" fontId="186" fillId="68" borderId="38" applyProtection="0">
      <alignment/>
    </xf>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2" fillId="21" borderId="3" applyNumberFormat="0" applyAlignment="0" applyProtection="0"/>
    <xf numFmtId="0" fontId="0" fillId="11" borderId="26" applyNumberFormat="0" applyFon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53" fillId="21"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6" fillId="21" borderId="28"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0" fillId="11" borderId="26" applyNumberFormat="0" applyFont="0" applyAlignment="0" applyProtection="0"/>
    <xf numFmtId="0" fontId="36"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4" applyNumberFormat="0" applyAlignment="0" applyProtection="0"/>
    <xf numFmtId="0" fontId="0" fillId="11" borderId="26" applyNumberFormat="0" applyFont="0" applyAlignment="0" applyProtection="0"/>
    <xf numFmtId="0" fontId="76" fillId="8" borderId="3" applyNumberFormat="0" applyAlignment="0" applyProtection="0"/>
    <xf numFmtId="0" fontId="52" fillId="5" borderId="3" applyNumberFormat="0" applyAlignment="0" applyProtection="0"/>
    <xf numFmtId="0" fontId="52" fillId="21" borderId="3" applyNumberFormat="0" applyAlignment="0" applyProtection="0"/>
    <xf numFmtId="0" fontId="98"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13" fillId="8" borderId="3" applyNumberFormat="0" applyAlignment="0" applyProtection="0"/>
    <xf numFmtId="0" fontId="55" fillId="0" borderId="36" applyNumberFormat="0" applyFill="0" applyAlignment="0" applyProtection="0"/>
    <xf numFmtId="0" fontId="0" fillId="11" borderId="4" applyNumberFormat="0" applyFont="0" applyAlignment="0" applyProtection="0"/>
    <xf numFmtId="0" fontId="76" fillId="8" borderId="3" applyNumberFormat="0" applyAlignment="0" applyProtection="0"/>
    <xf numFmtId="2" fontId="186" fillId="66" borderId="38" applyProtection="0">
      <alignment horizontal="right"/>
    </xf>
    <xf numFmtId="0" fontId="0" fillId="11" borderId="26" applyNumberFormat="0" applyFont="0" applyAlignment="0" applyProtection="0"/>
    <xf numFmtId="0" fontId="98" fillId="0" borderId="36" applyNumberFormat="0" applyFill="0" applyAlignment="0" applyProtection="0"/>
    <xf numFmtId="0" fontId="13" fillId="8" borderId="3" applyNumberFormat="0" applyAlignment="0" applyProtection="0"/>
    <xf numFmtId="0" fontId="16" fillId="21" borderId="28"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76" fillId="8" borderId="3" applyNumberFormat="0" applyAlignment="0" applyProtection="0"/>
    <xf numFmtId="0" fontId="98"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98" fillId="0" borderId="36" applyNumberFormat="0" applyFill="0" applyAlignment="0" applyProtection="0"/>
    <xf numFmtId="0" fontId="77" fillId="8" borderId="3" applyNumberFormat="0" applyAlignment="0" applyProtection="0"/>
    <xf numFmtId="0" fontId="185" fillId="42" borderId="38" applyNumberFormat="0" applyAlignment="0" applyProtection="0"/>
    <xf numFmtId="0" fontId="32" fillId="0" borderId="35" applyNumberFormat="0" applyFill="0" applyAlignment="0" applyProtection="0"/>
    <xf numFmtId="0" fontId="77"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 fillId="21" borderId="3" applyNumberFormat="0" applyAlignment="0" applyProtection="0"/>
    <xf numFmtId="0" fontId="185" fillId="42" borderId="38" applyNumberFormat="0" applyAlignment="0" applyProtection="0"/>
    <xf numFmtId="0" fontId="76" fillId="8" borderId="3" applyNumberForma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38" fontId="40" fillId="0" borderId="33">
      <alignment/>
      <protection/>
    </xf>
    <xf numFmtId="0" fontId="55" fillId="0" borderId="36" applyNumberFormat="0" applyFill="0" applyAlignment="0" applyProtection="0"/>
    <xf numFmtId="0" fontId="52" fillId="21" borderId="3" applyNumberFormat="0" applyAlignment="0" applyProtection="0"/>
    <xf numFmtId="0" fontId="20" fillId="0" borderId="35" applyNumberFormat="0" applyFill="0" applyAlignment="0" applyProtection="0"/>
    <xf numFmtId="0" fontId="16" fillId="21" borderId="28" applyNumberFormat="0" applyAlignment="0" applyProtection="0"/>
    <xf numFmtId="0" fontId="86" fillId="21" borderId="28" applyNumberFormat="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38" fontId="40" fillId="0" borderId="33">
      <alignment/>
      <protection/>
    </xf>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53" fillId="21" borderId="3" applyNumberFormat="0" applyAlignment="0" applyProtection="0"/>
    <xf numFmtId="0" fontId="77" fillId="8" borderId="3" applyNumberFormat="0" applyAlignment="0" applyProtection="0"/>
    <xf numFmtId="0" fontId="22" fillId="57" borderId="20" applyNumberFormat="0" applyBorder="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2" fillId="21"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98" fillId="0" borderId="35" applyNumberFormat="0" applyFill="0" applyAlignment="0" applyProtection="0"/>
    <xf numFmtId="0" fontId="52" fillId="21" borderId="3" applyNumberFormat="0" applyAlignment="0" applyProtection="0"/>
    <xf numFmtId="0" fontId="52" fillId="5" borderId="3" applyNumberForma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5" fillId="0" borderId="36" applyNumberFormat="0" applyFill="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28" fillId="0" borderId="10">
      <alignment horizontal="left"/>
      <protection/>
    </xf>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76" fillId="8" borderId="3" applyNumberFormat="0" applyAlignment="0" applyProtection="0"/>
    <xf numFmtId="0" fontId="53" fillId="21" borderId="3" applyNumberFormat="0" applyAlignment="0" applyProtection="0"/>
    <xf numFmtId="0" fontId="76" fillId="8" borderId="3" applyNumberForma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28" fillId="0" borderId="10">
      <alignment horizontal="left"/>
      <protection/>
    </xf>
    <xf numFmtId="0" fontId="52"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38" fontId="40" fillId="0" borderId="33">
      <alignment/>
      <protection/>
    </xf>
    <xf numFmtId="0" fontId="76" fillId="8" borderId="3" applyNumberFormat="0" applyAlignment="0" applyProtection="0"/>
    <xf numFmtId="0" fontId="53" fillId="21" borderId="3" applyNumberFormat="0" applyAlignment="0" applyProtection="0"/>
    <xf numFmtId="0" fontId="52" fillId="25" borderId="4" applyNumberFormat="0" applyAlignment="0" applyProtection="0"/>
    <xf numFmtId="0" fontId="28" fillId="0" borderId="10">
      <alignment horizontal="left"/>
      <protection/>
    </xf>
    <xf numFmtId="0" fontId="77"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98"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53" fillId="21" borderId="3" applyNumberFormat="0" applyAlignment="0" applyProtection="0"/>
    <xf numFmtId="0" fontId="77" fillId="8" borderId="3" applyNumberFormat="0" applyAlignment="0" applyProtection="0"/>
    <xf numFmtId="0" fontId="98"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3" fillId="21" borderId="3" applyNumberFormat="0" applyAlignment="0" applyProtection="0"/>
    <xf numFmtId="0" fontId="76" fillId="8" borderId="3" applyNumberFormat="0" applyAlignment="0" applyProtection="0"/>
    <xf numFmtId="0" fontId="13" fillId="8" borderId="3" applyNumberFormat="0" applyAlignment="0" applyProtection="0"/>
    <xf numFmtId="0" fontId="52" fillId="21" borderId="3"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53"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3" fillId="21"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98" fillId="0" borderId="35" applyNumberFormat="0" applyFill="0" applyAlignment="0" applyProtection="0"/>
    <xf numFmtId="0" fontId="98" fillId="0" borderId="35" applyNumberFormat="0" applyFill="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5" fillId="21" borderId="28" applyNumberFormat="0" applyAlignment="0" applyProtection="0"/>
    <xf numFmtId="0" fontId="76" fillId="8" borderId="3" applyNumberFormat="0" applyAlignment="0" applyProtection="0"/>
    <xf numFmtId="0" fontId="13" fillId="8"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52" fillId="25" borderId="4" applyNumberFormat="0" applyAlignment="0" applyProtection="0"/>
    <xf numFmtId="0" fontId="85" fillId="21" borderId="28" applyNumberFormat="0" applyAlignment="0" applyProtection="0"/>
    <xf numFmtId="0" fontId="76" fillId="8" borderId="3" applyNumberFormat="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0" fillId="11" borderId="4"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52" fillId="21" borderId="3" applyNumberFormat="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52" fillId="5"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0" fontId="53" fillId="21"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52" fillId="25" borderId="4" applyNumberFormat="0" applyAlignment="0" applyProtection="0"/>
    <xf numFmtId="0" fontId="53" fillId="21" borderId="3" applyNumberFormat="0" applyAlignment="0" applyProtection="0"/>
    <xf numFmtId="0" fontId="52" fillId="5" borderId="3" applyNumberFormat="0" applyAlignment="0" applyProtection="0"/>
    <xf numFmtId="0" fontId="52" fillId="25" borderId="4" applyNumberFormat="0" applyAlignment="0" applyProtection="0"/>
    <xf numFmtId="0" fontId="52" fillId="5" borderId="3" applyNumberFormat="0" applyAlignment="0" applyProtection="0"/>
    <xf numFmtId="0" fontId="5"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20" fillId="0" borderId="35" applyNumberFormat="0" applyFill="0" applyAlignment="0" applyProtection="0"/>
    <xf numFmtId="0" fontId="28" fillId="0" borderId="10">
      <alignment horizontal="left"/>
      <protection/>
    </xf>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3" fillId="21" borderId="3"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16" fillId="21" borderId="28" applyNumberFormat="0" applyAlignment="0" applyProtection="0"/>
    <xf numFmtId="0" fontId="0" fillId="11" borderId="4" applyNumberFormat="0" applyFont="0" applyAlignment="0" applyProtection="0"/>
    <xf numFmtId="0" fontId="52" fillId="5" borderId="3" applyNumberFormat="0" applyAlignment="0" applyProtection="0"/>
    <xf numFmtId="0" fontId="53" fillId="21" borderId="3" applyNumberFormat="0" applyAlignment="0" applyProtection="0"/>
    <xf numFmtId="0" fontId="28" fillId="0" borderId="10">
      <alignment horizontal="left"/>
      <protection/>
    </xf>
    <xf numFmtId="0" fontId="76" fillId="8" borderId="3" applyNumberFormat="0" applyAlignment="0" applyProtection="0"/>
    <xf numFmtId="0" fontId="76" fillId="8" borderId="4" applyNumberFormat="0" applyAlignment="0" applyProtection="0"/>
    <xf numFmtId="0" fontId="22" fillId="57" borderId="20" applyNumberFormat="0" applyBorder="0" applyAlignment="0" applyProtection="0"/>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45" fillId="11" borderId="26" applyNumberFormat="0" applyFont="0" applyAlignment="0" applyProtection="0"/>
    <xf numFmtId="0" fontId="85" fillId="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86" fillId="21" borderId="28" applyNumberFormat="0" applyAlignment="0" applyProtection="0"/>
    <xf numFmtId="0" fontId="86" fillId="21" borderId="28"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7" fillId="8" borderId="3" applyNumberFormat="0" applyAlignment="0" applyProtection="0"/>
    <xf numFmtId="0" fontId="76" fillId="8" borderId="4" applyNumberFormat="0" applyAlignment="0" applyProtection="0"/>
    <xf numFmtId="0" fontId="76" fillId="8" borderId="4" applyNumberFormat="0" applyAlignment="0" applyProtection="0"/>
    <xf numFmtId="0" fontId="53" fillId="21" borderId="3" applyNumberFormat="0" applyAlignment="0" applyProtection="0"/>
    <xf numFmtId="0" fontId="52" fillId="25" borderId="4" applyNumberFormat="0" applyAlignment="0" applyProtection="0"/>
    <xf numFmtId="0" fontId="53" fillId="21" borderId="3" applyNumberFormat="0" applyAlignment="0" applyProtection="0"/>
    <xf numFmtId="0" fontId="52" fillId="25" borderId="4" applyNumberFormat="0" applyAlignment="0" applyProtection="0"/>
    <xf numFmtId="0" fontId="52" fillId="25" borderId="4" applyNumberFormat="0" applyAlignment="0" applyProtection="0"/>
    <xf numFmtId="38" fontId="40" fillId="0" borderId="33">
      <alignment/>
      <protection/>
    </xf>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0" fontId="55" fillId="0" borderId="36"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86" fillId="21" borderId="28"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45" fillId="11" borderId="26" applyNumberFormat="0" applyFont="0" applyAlignment="0" applyProtection="0"/>
    <xf numFmtId="0" fontId="85" fillId="25" borderId="28" applyNumberFormat="0" applyAlignment="0" applyProtection="0"/>
    <xf numFmtId="0" fontId="85" fillId="5" borderId="28" applyNumberFormat="0" applyAlignment="0" applyProtection="0"/>
    <xf numFmtId="0" fontId="85" fillId="25" borderId="28" applyNumberFormat="0" applyAlignment="0" applyProtection="0"/>
    <xf numFmtId="0" fontId="85" fillId="25" borderId="28" applyNumberFormat="0" applyAlignment="0" applyProtection="0"/>
    <xf numFmtId="0" fontId="85" fillId="25" borderId="28" applyNumberFormat="0" applyAlignment="0" applyProtection="0"/>
    <xf numFmtId="0" fontId="52" fillId="25" borderId="4" applyNumberFormat="0" applyAlignment="0" applyProtection="0"/>
    <xf numFmtId="0" fontId="76" fillId="8" borderId="4" applyNumberFormat="0" applyAlignment="0" applyProtection="0"/>
    <xf numFmtId="0" fontId="85" fillId="25" borderId="28" applyNumberFormat="0" applyAlignment="0" applyProtection="0"/>
    <xf numFmtId="0" fontId="85" fillId="5" borderId="28" applyNumberFormat="0" applyAlignment="0" applyProtection="0"/>
    <xf numFmtId="0" fontId="85" fillId="5" borderId="28" applyNumberFormat="0" applyAlignment="0" applyProtection="0"/>
    <xf numFmtId="0" fontId="0" fillId="11" borderId="26" applyNumberFormat="0" applyFont="0" applyAlignment="0" applyProtection="0"/>
    <xf numFmtId="0" fontId="45"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45" fillId="11" borderId="26" applyNumberFormat="0" applyFont="0" applyAlignment="0" applyProtection="0"/>
    <xf numFmtId="0" fontId="0" fillId="11" borderId="26" applyNumberFormat="0" applyFont="0" applyAlignment="0" applyProtection="0"/>
    <xf numFmtId="0" fontId="52" fillId="25" borderId="4" applyNumberFormat="0" applyAlignment="0" applyProtection="0"/>
    <xf numFmtId="0" fontId="52" fillId="25" borderId="4" applyNumberFormat="0" applyAlignment="0" applyProtection="0"/>
    <xf numFmtId="0" fontId="55" fillId="0" borderId="36" applyNumberFormat="0" applyFill="0" applyAlignment="0" applyProtection="0"/>
    <xf numFmtId="0" fontId="32" fillId="0" borderId="35" applyNumberFormat="0" applyFill="0" applyAlignment="0" applyProtection="0"/>
    <xf numFmtId="0" fontId="98" fillId="0" borderId="36" applyNumberFormat="0" applyFill="0" applyAlignment="0" applyProtection="0"/>
    <xf numFmtId="0" fontId="32" fillId="0" borderId="35" applyNumberFormat="0" applyFill="0" applyAlignment="0" applyProtection="0"/>
    <xf numFmtId="0" fontId="55" fillId="0" borderId="36"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55" fillId="0" borderId="36" applyNumberFormat="0" applyFill="0" applyAlignment="0" applyProtection="0"/>
    <xf numFmtId="38" fontId="40" fillId="0" borderId="33">
      <alignment/>
      <protection/>
    </xf>
    <xf numFmtId="0" fontId="52" fillId="25" borderId="4" applyNumberFormat="0" applyAlignment="0" applyProtection="0"/>
    <xf numFmtId="0" fontId="13" fillId="8" borderId="3" applyNumberFormat="0" applyAlignment="0" applyProtection="0"/>
    <xf numFmtId="0" fontId="76" fillId="8" borderId="4" applyNumberFormat="0" applyAlignment="0" applyProtection="0"/>
    <xf numFmtId="0" fontId="77" fillId="8" borderId="3" applyNumberFormat="0" applyAlignment="0" applyProtection="0"/>
    <xf numFmtId="0" fontId="77" fillId="8" borderId="3" applyNumberFormat="0" applyAlignment="0" applyProtection="0"/>
    <xf numFmtId="0" fontId="86" fillId="21" borderId="28" applyNumberFormat="0" applyAlignment="0" applyProtection="0"/>
    <xf numFmtId="0" fontId="13" fillId="8" borderId="3" applyNumberFormat="0" applyAlignment="0" applyProtection="0"/>
    <xf numFmtId="0" fontId="28" fillId="0" borderId="10">
      <alignment horizontal="left"/>
      <protection/>
    </xf>
    <xf numFmtId="38" fontId="40" fillId="0" borderId="33">
      <alignment/>
      <protection/>
    </xf>
    <xf numFmtId="0" fontId="98" fillId="0" borderId="36" applyNumberFormat="0" applyFill="0" applyAlignment="0" applyProtection="0"/>
    <xf numFmtId="0" fontId="55" fillId="0" borderId="36" applyNumberFormat="0" applyFill="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76" fillId="8" borderId="3" applyNumberFormat="0" applyAlignment="0" applyProtection="0"/>
    <xf numFmtId="0" fontId="52" fillId="25" borderId="4" applyNumberFormat="0" applyAlignment="0" applyProtection="0"/>
    <xf numFmtId="0" fontId="52" fillId="5" borderId="3" applyNumberFormat="0" applyAlignment="0" applyProtection="0"/>
    <xf numFmtId="0" fontId="52" fillId="5" borderId="3" applyNumberFormat="0" applyAlignment="0" applyProtection="0"/>
    <xf numFmtId="0" fontId="53" fillId="21" borderId="3" applyNumberFormat="0" applyAlignment="0" applyProtection="0"/>
    <xf numFmtId="0" fontId="45" fillId="11" borderId="26" applyNumberFormat="0" applyFont="0" applyAlignment="0" applyProtection="0"/>
    <xf numFmtId="0" fontId="86" fillId="21" borderId="28" applyNumberFormat="0" applyAlignment="0" applyProtection="0"/>
    <xf numFmtId="0" fontId="85" fillId="5" borderId="28" applyNumberFormat="0" applyAlignment="0" applyProtection="0"/>
    <xf numFmtId="0" fontId="76" fillId="8" borderId="3" applyNumberFormat="0" applyAlignment="0" applyProtection="0"/>
    <xf numFmtId="0" fontId="85" fillId="25" borderId="28" applyNumberFormat="0" applyAlignment="0" applyProtection="0"/>
    <xf numFmtId="0" fontId="86" fillId="21" borderId="28" applyNumberFormat="0" applyAlignment="0" applyProtection="0"/>
    <xf numFmtId="0" fontId="85" fillId="25" borderId="28" applyNumberFormat="0" applyAlignment="0" applyProtection="0"/>
    <xf numFmtId="0" fontId="85" fillId="25" borderId="28" applyNumberFormat="0" applyAlignment="0" applyProtection="0"/>
    <xf numFmtId="0" fontId="45" fillId="11" borderId="26"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76" fillId="8" borderId="3" applyNumberFormat="0" applyAlignment="0" applyProtection="0"/>
    <xf numFmtId="0" fontId="76" fillId="8" borderId="4" applyNumberFormat="0" applyAlignment="0" applyProtection="0"/>
    <xf numFmtId="0" fontId="76" fillId="8" borderId="3" applyNumberFormat="0" applyAlignment="0" applyProtection="0"/>
    <xf numFmtId="0" fontId="0" fillId="11" borderId="26" applyNumberFormat="0" applyFont="0" applyAlignment="0" applyProtection="0"/>
    <xf numFmtId="0" fontId="185" fillId="42" borderId="38" applyNumberFormat="0" applyAlignment="0" applyProtection="0"/>
    <xf numFmtId="0" fontId="185" fillId="42" borderId="38" applyNumberFormat="0" applyAlignment="0" applyProtection="0"/>
    <xf numFmtId="2" fontId="185" fillId="65" borderId="38" applyProtection="0">
      <alignment horizontal="right"/>
    </xf>
    <xf numFmtId="2" fontId="185" fillId="65" borderId="38" applyProtection="0">
      <alignment horizontal="right"/>
    </xf>
    <xf numFmtId="2" fontId="186" fillId="66"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right"/>
    </xf>
    <xf numFmtId="14" fontId="187" fillId="67" borderId="38" applyProtection="0">
      <alignment horizontal="left"/>
    </xf>
    <xf numFmtId="14" fontId="187" fillId="67" borderId="38" applyProtection="0">
      <alignment horizontal="left"/>
    </xf>
    <xf numFmtId="0" fontId="188" fillId="42" borderId="38" applyNumberFormat="0"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7" fillId="42" borderId="38" applyProtection="0">
      <alignment/>
    </xf>
    <xf numFmtId="2" fontId="187" fillId="42" borderId="38" applyProtection="0">
      <alignment/>
    </xf>
    <xf numFmtId="2" fontId="186" fillId="65" borderId="38" applyProtection="0">
      <alignment/>
    </xf>
    <xf numFmtId="2" fontId="186" fillId="65" borderId="38" applyProtection="0">
      <alignment/>
    </xf>
    <xf numFmtId="2" fontId="186" fillId="68" borderId="38" applyProtection="0">
      <alignment/>
    </xf>
    <xf numFmtId="2" fontId="186" fillId="68" borderId="38" applyProtection="0">
      <alignment/>
    </xf>
    <xf numFmtId="2" fontId="186" fillId="66" borderId="38" applyProtection="0">
      <alignment/>
    </xf>
    <xf numFmtId="2" fontId="186" fillId="66" borderId="38" applyProtection="0">
      <alignment/>
    </xf>
    <xf numFmtId="2" fontId="186" fillId="66" borderId="38" applyProtection="0">
      <alignment horizontal="center"/>
    </xf>
    <xf numFmtId="2" fontId="186" fillId="66" borderId="38" applyProtection="0">
      <alignment horizontal="center"/>
    </xf>
    <xf numFmtId="2" fontId="186" fillId="68" borderId="38" applyProtection="0">
      <alignment horizontal="center"/>
    </xf>
    <xf numFmtId="2" fontId="186" fillId="68" borderId="38" applyProtection="0">
      <alignment horizontal="center"/>
    </xf>
    <xf numFmtId="0" fontId="185" fillId="42" borderId="38" applyNumberFormat="0" applyAlignment="0" applyProtection="0"/>
    <xf numFmtId="2" fontId="185" fillId="65" borderId="38" applyProtection="0">
      <alignment horizontal="right"/>
    </xf>
    <xf numFmtId="2" fontId="186" fillId="66" borderId="38" applyProtection="0">
      <alignment horizontal="right"/>
    </xf>
    <xf numFmtId="14" fontId="187" fillId="67" borderId="38" applyProtection="0">
      <alignment horizontal="right"/>
    </xf>
    <xf numFmtId="14" fontId="187" fillId="67" borderId="38" applyProtection="0">
      <alignment horizontal="left"/>
    </xf>
    <xf numFmtId="0" fontId="188" fillId="42" borderId="38" applyNumberFormat="0" applyProtection="0">
      <alignment horizontal="left"/>
    </xf>
    <xf numFmtId="2" fontId="187" fillId="42" borderId="38" applyProtection="0">
      <alignment/>
    </xf>
    <xf numFmtId="2" fontId="187" fillId="42" borderId="38" applyProtection="0">
      <alignment/>
    </xf>
    <xf numFmtId="2" fontId="186" fillId="65" borderId="38" applyProtection="0">
      <alignment/>
    </xf>
    <xf numFmtId="2" fontId="186" fillId="68" borderId="38" applyProtection="0">
      <alignment/>
    </xf>
    <xf numFmtId="2" fontId="186" fillId="66" borderId="38" applyProtection="0">
      <alignment/>
    </xf>
    <xf numFmtId="2" fontId="186" fillId="66" borderId="38" applyProtection="0">
      <alignment horizontal="center"/>
    </xf>
    <xf numFmtId="2" fontId="186" fillId="68" borderId="38" applyProtection="0">
      <alignment horizontal="center"/>
    </xf>
    <xf numFmtId="0" fontId="53" fillId="21" borderId="3" applyNumberFormat="0" applyAlignment="0" applyProtection="0"/>
    <xf numFmtId="0" fontId="52" fillId="25" borderId="4" applyNumberFormat="0" applyAlignment="0" applyProtection="0"/>
    <xf numFmtId="0" fontId="52" fillId="5" borderId="3" applyNumberFormat="0" applyAlignment="0" applyProtection="0"/>
    <xf numFmtId="0" fontId="52" fillId="25" borderId="4" applyNumberFormat="0" applyAlignment="0" applyProtection="0"/>
    <xf numFmtId="0" fontId="0" fillId="11" borderId="4" applyNumberFormat="0" applyFont="0" applyAlignment="0" applyProtection="0"/>
    <xf numFmtId="0" fontId="32" fillId="0" borderId="35" applyNumberFormat="0" applyFill="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85" fillId="21" borderId="28" applyNumberFormat="0" applyAlignment="0" applyProtection="0"/>
    <xf numFmtId="0" fontId="76" fillId="8"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76" fillId="8" borderId="3" applyNumberFormat="0" applyAlignment="0" applyProtection="0"/>
    <xf numFmtId="0" fontId="76" fillId="8" borderId="3" applyNumberFormat="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52" fillId="21" borderId="3" applyNumberForma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13" fillId="8" borderId="3" applyNumberFormat="0" applyAlignment="0" applyProtection="0"/>
    <xf numFmtId="0" fontId="76" fillId="8" borderId="3" applyNumberFormat="0" applyAlignment="0" applyProtection="0"/>
    <xf numFmtId="0" fontId="76" fillId="8" borderId="3" applyNumberFormat="0" applyAlignment="0" applyProtection="0"/>
    <xf numFmtId="0" fontId="77" fillId="8" borderId="3" applyNumberFormat="0" applyAlignment="0" applyProtection="0"/>
    <xf numFmtId="0" fontId="52" fillId="21"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76"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36" fillId="11" borderId="26" applyNumberFormat="0" applyFont="0" applyAlignment="0" applyProtection="0"/>
    <xf numFmtId="0" fontId="85" fillId="21" borderId="28" applyNumberForma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98" fillId="0" borderId="35" applyNumberFormat="0" applyFill="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52" fillId="21"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53" fillId="21" borderId="3" applyNumberFormat="0" applyAlignment="0" applyProtection="0"/>
    <xf numFmtId="0" fontId="52" fillId="21" borderId="3" applyNumberFormat="0" applyAlignment="0" applyProtection="0"/>
    <xf numFmtId="0" fontId="52" fillId="21" borderId="3" applyNumberFormat="0" applyAlignment="0" applyProtection="0"/>
    <xf numFmtId="0" fontId="5" fillId="21" borderId="3" applyNumberFormat="0" applyAlignment="0" applyProtection="0"/>
    <xf numFmtId="0" fontId="77" fillId="8" borderId="3" applyNumberFormat="0" applyAlignment="0" applyProtection="0"/>
    <xf numFmtId="0" fontId="76" fillId="8" borderId="3" applyNumberFormat="0" applyAlignment="0" applyProtection="0"/>
    <xf numFmtId="0" fontId="76" fillId="8" borderId="3" applyNumberFormat="0" applyAlignment="0" applyProtection="0"/>
    <xf numFmtId="0" fontId="13" fillId="8" borderId="3"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76" fillId="8" borderId="3" applyNumberFormat="0" applyAlignment="0" applyProtection="0"/>
    <xf numFmtId="0" fontId="76" fillId="8" borderId="3" applyNumberFormat="0" applyAlignment="0" applyProtection="0"/>
    <xf numFmtId="0" fontId="53" fillId="21" borderId="3" applyNumberFormat="0" applyAlignment="0" applyProtection="0"/>
    <xf numFmtId="0" fontId="77" fillId="8" borderId="3" applyNumberForma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32" fillId="0" borderId="35" applyNumberFormat="0" applyFill="0" applyAlignment="0" applyProtection="0"/>
    <xf numFmtId="0" fontId="1" fillId="0" borderId="0">
      <alignment/>
      <protection/>
    </xf>
    <xf numFmtId="0" fontId="0" fillId="0" borderId="0">
      <alignment/>
      <protection/>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0" fontId="22" fillId="0" borderId="31" applyFill="0" applyBorder="0" applyProtection="0">
      <alignment horizontal="left" vertical="top"/>
    </xf>
    <xf numFmtId="181" fontId="66" fillId="0" borderId="31"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38" fontId="171" fillId="0" borderId="0">
      <alignment/>
      <protection/>
    </xf>
    <xf numFmtId="38" fontId="171" fillId="0" borderId="0" applyFont="0" applyFill="0" applyBorder="0" applyAlignment="0" applyProtection="0"/>
    <xf numFmtId="9" fontId="171" fillId="0" borderId="0" applyFont="0" applyFill="0" applyBorder="0" applyAlignment="0" applyProtection="0"/>
    <xf numFmtId="38" fontId="171" fillId="0" borderId="0">
      <alignment/>
      <protection/>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86"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78" fillId="0" borderId="22" applyNumberFormat="0" applyFill="0" applyAlignment="0" applyProtection="0"/>
    <xf numFmtId="0" fontId="76" fillId="8" borderId="3" applyNumberFormat="0" applyAlignment="0" applyProtection="0"/>
    <xf numFmtId="0" fontId="76" fillId="8" borderId="3" applyNumberFormat="0" applyAlignment="0" applyProtection="0"/>
    <xf numFmtId="0" fontId="36" fillId="11" borderId="26" applyNumberFormat="0" applyFont="0" applyAlignment="0" applyProtection="0"/>
    <xf numFmtId="0" fontId="85" fillId="21" borderId="28" applyNumberFormat="0" applyAlignment="0" applyProtection="0"/>
    <xf numFmtId="0" fontId="98" fillId="0" borderId="35" applyNumberFormat="0" applyFill="0" applyAlignment="0" applyProtection="0"/>
    <xf numFmtId="0" fontId="98" fillId="0" borderId="35" applyNumberFormat="0" applyFill="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181" fontId="66" fillId="0" borderId="31" applyFont="0" applyFill="0" applyBorder="0" applyAlignment="0" applyProtection="0"/>
    <xf numFmtId="0" fontId="1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14" fillId="0" borderId="22" applyNumberFormat="0" applyFill="0" applyAlignment="0" applyProtection="0"/>
    <xf numFmtId="0" fontId="78" fillId="0" borderId="22" applyNumberFormat="0" applyFill="0" applyAlignment="0" applyProtection="0"/>
    <xf numFmtId="0" fontId="79" fillId="0" borderId="22" applyNumberFormat="0" applyFill="0" applyAlignment="0" applyProtection="0"/>
    <xf numFmtId="0" fontId="13" fillId="8" borderId="3" applyNumberFormat="0" applyAlignment="0" applyProtection="0"/>
    <xf numFmtId="0" fontId="76" fillId="8" borderId="3" applyNumberFormat="0" applyAlignment="0" applyProtection="0"/>
    <xf numFmtId="0" fontId="77" fillId="8" borderId="3" applyNumberFormat="0" applyAlignment="0" applyProtection="0"/>
    <xf numFmtId="0" fontId="5" fillId="21" borderId="3" applyNumberFormat="0" applyAlignment="0" applyProtection="0"/>
    <xf numFmtId="0" fontId="52" fillId="21" borderId="3" applyNumberFormat="0" applyAlignment="0" applyProtection="0"/>
    <xf numFmtId="0" fontId="52" fillId="21" borderId="3" applyNumberFormat="0" applyAlignment="0" applyProtection="0"/>
    <xf numFmtId="0" fontId="53" fillId="21" borderId="3" applyNumberFormat="0" applyAlignment="0" applyProtection="0"/>
    <xf numFmtId="0" fontId="1"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86" fillId="21" borderId="28" applyNumberFormat="0" applyAlignment="0" applyProtection="0"/>
    <xf numFmtId="0" fontId="85" fillId="21" borderId="28" applyNumberFormat="0" applyAlignment="0" applyProtection="0"/>
    <xf numFmtId="0" fontId="85" fillId="21" borderId="28" applyNumberFormat="0" applyAlignment="0" applyProtection="0"/>
    <xf numFmtId="0" fontId="16" fillId="21" borderId="28" applyNumberFormat="0" applyAlignment="0" applyProtection="0"/>
    <xf numFmtId="0" fontId="35" fillId="0" borderId="1" applyNumberFormat="0" applyFill="0" applyAlignment="0" applyProtection="0"/>
    <xf numFmtId="0" fontId="85" fillId="21" borderId="28" applyNumberFormat="0" applyAlignment="0" applyProtection="0"/>
    <xf numFmtId="0" fontId="36" fillId="11" borderId="26" applyNumberFormat="0" applyFont="0" applyAlignment="0" applyProtection="0"/>
    <xf numFmtId="0" fontId="78" fillId="0" borderId="22" applyNumberFormat="0" applyFill="0" applyAlignment="0" applyProtection="0"/>
    <xf numFmtId="0" fontId="76" fillId="8" borderId="3" applyNumberFormat="0" applyAlignment="0" applyProtection="0"/>
    <xf numFmtId="0" fontId="52" fillId="21" borderId="3" applyNumberFormat="0" applyAlignment="0" applyProtection="0"/>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84" fillId="0" borderId="0">
      <alignment/>
      <protection/>
    </xf>
    <xf numFmtId="9" fontId="171" fillId="0" borderId="0" applyFont="0" applyFill="0" applyBorder="0" applyAlignment="0" applyProtection="0"/>
    <xf numFmtId="44" fontId="171" fillId="0" borderId="0" applyFont="0" applyFill="0" applyBorder="0" applyAlignment="0" applyProtection="0"/>
    <xf numFmtId="38" fontId="171" fillId="0" borderId="0" applyFont="0" applyFill="0" applyBorder="0" applyAlignment="0" applyProtection="0"/>
    <xf numFmtId="38" fontId="171" fillId="0" borderId="0">
      <alignment/>
      <protection/>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38" fontId="171" fillId="0" borderId="0">
      <alignment/>
      <protection/>
    </xf>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181" fontId="66" fillId="0" borderId="31" applyFont="0" applyFill="0" applyBorder="0" applyAlignment="0" applyProtection="0"/>
    <xf numFmtId="0" fontId="22" fillId="0" borderId="31" applyFill="0" applyBorder="0" applyProtection="0">
      <alignment horizontal="left" vertical="top"/>
    </xf>
    <xf numFmtId="0" fontId="22" fillId="0" borderId="31" applyFill="0" applyBorder="0" applyProtection="0">
      <alignment horizontal="left" vertical="top"/>
    </xf>
    <xf numFmtId="0" fontId="32" fillId="0" borderId="35" applyNumberFormat="0" applyFill="0" applyAlignment="0" applyProtection="0"/>
    <xf numFmtId="0" fontId="98" fillId="0" borderId="35" applyNumberFormat="0" applyFill="0" applyAlignment="0" applyProtection="0"/>
    <xf numFmtId="0" fontId="98" fillId="0" borderId="35" applyNumberFormat="0" applyFill="0" applyAlignment="0" applyProtection="0"/>
    <xf numFmtId="0" fontId="20" fillId="0" borderId="35" applyNumberFormat="0" applyFill="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60" borderId="27" applyNumberFormat="0" applyFont="0" applyAlignment="0" applyProtection="0"/>
    <xf numFmtId="43" fontId="1" fillId="0" borderId="0" applyFont="0" applyFill="0" applyBorder="0" applyAlignment="0" applyProtection="0"/>
    <xf numFmtId="0" fontId="1" fillId="6"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1" fillId="0" borderId="0">
      <alignment/>
      <protection/>
    </xf>
    <xf numFmtId="44" fontId="173"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1" fillId="0" borderId="0">
      <alignment/>
      <protection/>
    </xf>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0" fontId="0" fillId="0" borderId="0">
      <alignment/>
      <protection/>
    </xf>
    <xf numFmtId="0" fontId="36"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89" fillId="0" borderId="0">
      <alignment/>
      <protection/>
    </xf>
    <xf numFmtId="0" fontId="190" fillId="59" borderId="0" applyNumberFormat="0" applyBorder="0" applyAlignment="0" applyProtection="0"/>
    <xf numFmtId="0" fontId="126" fillId="0" borderId="0">
      <alignment/>
      <protection/>
    </xf>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36" fillId="0" borderId="0">
      <alignment/>
      <protection/>
    </xf>
    <xf numFmtId="0" fontId="1" fillId="0" borderId="0">
      <alignment/>
      <protection/>
    </xf>
    <xf numFmtId="43" fontId="1" fillId="0" borderId="0" applyFont="0" applyFill="0" applyBorder="0" applyAlignment="0" applyProtection="0"/>
    <xf numFmtId="0" fontId="1" fillId="0" borderId="0">
      <alignment/>
      <protection/>
    </xf>
  </cellStyleXfs>
  <cellXfs count="506">
    <xf numFmtId="0" fontId="0" fillId="0" borderId="0" xfId="0"/>
    <xf numFmtId="0" fontId="27" fillId="0" borderId="0" xfId="0" applyFont="1" applyFill="1" applyBorder="1"/>
    <xf numFmtId="165" fontId="27" fillId="0" borderId="0" xfId="0" applyNumberFormat="1" applyFont="1" applyFill="1" applyBorder="1"/>
    <xf numFmtId="0" fontId="0" fillId="0" borderId="0" xfId="0" applyFill="1" applyBorder="1"/>
    <xf numFmtId="164" fontId="0" fillId="0" borderId="0" xfId="18" applyNumberFormat="1" applyFont="1"/>
    <xf numFmtId="0" fontId="0" fillId="0" borderId="0" xfId="0" applyFill="1"/>
    <xf numFmtId="9" fontId="0" fillId="0" borderId="0" xfId="0" applyNumberFormat="1"/>
    <xf numFmtId="0" fontId="29" fillId="0" borderId="0" xfId="0" applyFont="1" applyAlignment="1">
      <alignment horizontal="centerContinuous"/>
    </xf>
    <xf numFmtId="0" fontId="0" fillId="0" borderId="0" xfId="0" applyAlignment="1">
      <alignment horizontal="centerContinuous"/>
    </xf>
    <xf numFmtId="0" fontId="29" fillId="0" borderId="0" xfId="0" applyFont="1" applyAlignment="1">
      <alignment horizontal="center"/>
    </xf>
    <xf numFmtId="0" fontId="0" fillId="0" borderId="0" xfId="0" applyAlignment="1">
      <alignment horizontal="center"/>
    </xf>
    <xf numFmtId="0" fontId="0" fillId="0" borderId="0" xfId="0" applyAlignment="1">
      <alignment horizontal="right"/>
    </xf>
    <xf numFmtId="164" fontId="0" fillId="0" borderId="0" xfId="0" applyNumberFormat="1"/>
    <xf numFmtId="10" fontId="0" fillId="0" borderId="0" xfId="15" applyNumberFormat="1" applyFont="1" applyAlignment="1">
      <alignment horizontal="right"/>
    </xf>
    <xf numFmtId="10" fontId="0" fillId="0" borderId="0" xfId="15" applyNumberFormat="1"/>
    <xf numFmtId="10" fontId="0" fillId="0" borderId="0" xfId="15" applyNumberFormat="1" applyFont="1"/>
    <xf numFmtId="164" fontId="0" fillId="0" borderId="0" xfId="18" applyNumberFormat="1" applyFill="1" applyBorder="1"/>
    <xf numFmtId="166" fontId="0" fillId="0" borderId="0" xfId="15" applyNumberFormat="1" applyFont="1"/>
    <xf numFmtId="164" fontId="0" fillId="0" borderId="0" xfId="18" applyNumberFormat="1" applyFont="1" applyFill="1"/>
    <xf numFmtId="43" fontId="0" fillId="0" borderId="0" xfId="0" applyNumberFormat="1"/>
    <xf numFmtId="0" fontId="29" fillId="0" borderId="0" xfId="0" applyFont="1"/>
    <xf numFmtId="37" fontId="0" fillId="0" borderId="0" xfId="0" applyNumberFormat="1"/>
    <xf numFmtId="37" fontId="37" fillId="0" borderId="0" xfId="0" applyNumberFormat="1" applyFont="1"/>
    <xf numFmtId="167" fontId="0" fillId="0" borderId="0" xfId="15" applyNumberFormat="1"/>
    <xf numFmtId="37" fontId="0" fillId="0" borderId="0" xfId="0" applyNumberFormat="1" applyFill="1"/>
    <xf numFmtId="37" fontId="0" fillId="0" borderId="0" xfId="0" applyNumberFormat="1" applyFont="1"/>
    <xf numFmtId="166" fontId="0" fillId="0" borderId="0" xfId="15" applyNumberFormat="1" applyFont="1"/>
    <xf numFmtId="37" fontId="29" fillId="0" borderId="0" xfId="0" applyNumberFormat="1" applyFont="1" applyAlignment="1" quotePrefix="1">
      <alignment horizontal="center"/>
    </xf>
    <xf numFmtId="0" fontId="0" fillId="0" borderId="0" xfId="0" applyFont="1"/>
    <xf numFmtId="0" fontId="0" fillId="0" borderId="0" xfId="0" applyFont="1" applyFill="1"/>
    <xf numFmtId="0" fontId="0" fillId="0" borderId="0" xfId="0" applyAlignment="1">
      <alignment horizontal="left"/>
    </xf>
    <xf numFmtId="0" fontId="0" fillId="0" borderId="0" xfId="0" applyBorder="1" applyAlignment="1">
      <alignment horizontal="left"/>
    </xf>
    <xf numFmtId="37" fontId="0" fillId="0" borderId="0" xfId="0" applyNumberFormat="1" applyAlignment="1">
      <alignment horizontal="left"/>
    </xf>
    <xf numFmtId="0" fontId="0" fillId="0" borderId="0" xfId="0" applyFont="1" applyAlignment="1">
      <alignment horizontal="right"/>
    </xf>
    <xf numFmtId="37" fontId="0" fillId="0" borderId="0" xfId="0" applyNumberFormat="1" applyAlignment="1">
      <alignment horizontal="right"/>
    </xf>
    <xf numFmtId="0" fontId="0" fillId="0" borderId="0" xfId="0" applyFont="1"/>
    <xf numFmtId="164" fontId="0" fillId="0" borderId="0" xfId="18" applyNumberFormat="1"/>
    <xf numFmtId="37" fontId="0" fillId="0" borderId="0" xfId="18" applyNumberFormat="1"/>
    <xf numFmtId="0" fontId="0" fillId="0" borderId="0" xfId="0" applyAlignment="1" quotePrefix="1">
      <alignment horizontal="left"/>
    </xf>
    <xf numFmtId="0" fontId="29" fillId="0" borderId="0" xfId="0" applyFont="1" applyAlignment="1">
      <alignment horizontal="center"/>
    </xf>
    <xf numFmtId="37" fontId="29" fillId="0" borderId="0" xfId="0" applyNumberFormat="1" applyFont="1" applyAlignment="1">
      <alignment horizontal="center"/>
    </xf>
    <xf numFmtId="0" fontId="29" fillId="16" borderId="0" xfId="0" applyFont="1" applyFill="1" applyAlignment="1">
      <alignment horizontal="center"/>
    </xf>
    <xf numFmtId="14" fontId="29" fillId="0" borderId="0" xfId="0" applyNumberFormat="1" applyFont="1" applyAlignment="1">
      <alignment horizontal="center"/>
    </xf>
    <xf numFmtId="14" fontId="29" fillId="16" borderId="0" xfId="0" applyNumberFormat="1" applyFont="1" applyFill="1" applyAlignment="1">
      <alignment horizontal="center"/>
    </xf>
    <xf numFmtId="1" fontId="0" fillId="0" borderId="0" xfId="0" applyNumberFormat="1"/>
    <xf numFmtId="3" fontId="0" fillId="0" borderId="0" xfId="0" applyNumberFormat="1"/>
    <xf numFmtId="3" fontId="0" fillId="16" borderId="0" xfId="0" applyNumberFormat="1" applyFill="1"/>
    <xf numFmtId="10" fontId="0" fillId="16" borderId="0" xfId="0" applyNumberFormat="1" applyFill="1"/>
    <xf numFmtId="6" fontId="0" fillId="16" borderId="0" xfId="0" applyNumberFormat="1" applyFill="1"/>
    <xf numFmtId="0" fontId="0" fillId="0" borderId="0" xfId="0" applyAlignment="1" applyProtection="1">
      <alignment horizontal="left"/>
      <protection/>
    </xf>
    <xf numFmtId="0" fontId="0" fillId="0" borderId="0" xfId="0" applyAlignment="1" applyProtection="1">
      <alignment horizontal="right"/>
      <protection/>
    </xf>
    <xf numFmtId="0" fontId="29" fillId="0" borderId="0" xfId="0" applyFont="1" applyAlignment="1" applyProtection="1">
      <alignment horizontal="left"/>
      <protection/>
    </xf>
    <xf numFmtId="3" fontId="29" fillId="0" borderId="0" xfId="0" applyNumberFormat="1" applyFont="1"/>
    <xf numFmtId="0" fontId="23" fillId="0" borderId="0" xfId="0" applyFont="1" applyFill="1"/>
    <xf numFmtId="0" fontId="23" fillId="0" borderId="0" xfId="0" applyFont="1" applyFill="1" applyAlignment="1">
      <alignment/>
    </xf>
    <xf numFmtId="0" fontId="24" fillId="0" borderId="0" xfId="0" applyFont="1" applyFill="1" applyAlignment="1">
      <alignment/>
    </xf>
    <xf numFmtId="166" fontId="24" fillId="0" borderId="0" xfId="15" applyNumberFormat="1" applyFont="1" applyFill="1" applyAlignment="1">
      <alignment/>
    </xf>
    <xf numFmtId="0" fontId="25" fillId="0" borderId="0" xfId="0" applyFont="1" applyFill="1" applyBorder="1" applyAlignment="1">
      <alignment horizontal="center"/>
    </xf>
    <xf numFmtId="0" fontId="26" fillId="0" borderId="39" xfId="0" applyFont="1" applyFill="1" applyBorder="1"/>
    <xf numFmtId="1" fontId="25" fillId="0" borderId="0" xfId="0" applyNumberFormat="1" applyFont="1" applyFill="1" applyBorder="1" applyAlignment="1">
      <alignment horizontal="center"/>
    </xf>
    <xf numFmtId="0" fontId="27" fillId="0" borderId="40" xfId="0" applyFont="1" applyFill="1" applyBorder="1"/>
    <xf numFmtId="164" fontId="27" fillId="0" borderId="0" xfId="18" applyNumberFormat="1" applyFont="1" applyFill="1" applyBorder="1"/>
    <xf numFmtId="164" fontId="26" fillId="0" borderId="39" xfId="18" applyNumberFormat="1" applyFont="1" applyFill="1" applyBorder="1"/>
    <xf numFmtId="164" fontId="27" fillId="0" borderId="0" xfId="18" applyNumberFormat="1" applyFont="1" applyFill="1" applyBorder="1" applyAlignment="1">
      <alignment horizontal="left"/>
    </xf>
    <xf numFmtId="0" fontId="26" fillId="0" borderId="0" xfId="0" applyFont="1" applyFill="1" applyBorder="1"/>
    <xf numFmtId="0" fontId="25" fillId="0" borderId="0" xfId="0" applyFont="1" applyFill="1" applyBorder="1"/>
    <xf numFmtId="165" fontId="25" fillId="0" borderId="0" xfId="0" applyNumberFormat="1" applyFont="1" applyFill="1" applyBorder="1"/>
    <xf numFmtId="0" fontId="29" fillId="0" borderId="0" xfId="0" applyFont="1" applyAlignment="1">
      <alignment horizontal="center"/>
    </xf>
    <xf numFmtId="0" fontId="29" fillId="0" borderId="0" xfId="0" applyFont="1" applyAlignment="1" quotePrefix="1">
      <alignment horizontal="left"/>
    </xf>
    <xf numFmtId="0" fontId="29" fillId="0" borderId="0" xfId="0" applyFont="1" applyAlignment="1">
      <alignment horizontal="left"/>
    </xf>
    <xf numFmtId="0" fontId="29" fillId="0" borderId="0" xfId="0" applyFont="1" applyAlignment="1" quotePrefix="1">
      <alignment horizontal="center"/>
    </xf>
    <xf numFmtId="165" fontId="0" fillId="0" borderId="0" xfId="0" applyNumberFormat="1"/>
    <xf numFmtId="164" fontId="29" fillId="0" borderId="0" xfId="18" applyNumberFormat="1" applyFont="1"/>
    <xf numFmtId="0" fontId="29" fillId="0" borderId="41" xfId="0" applyFont="1" applyFill="1" applyBorder="1"/>
    <xf numFmtId="37" fontId="29" fillId="0" borderId="42" xfId="0" applyNumberFormat="1" applyFont="1" applyFill="1" applyBorder="1"/>
    <xf numFmtId="0" fontId="29" fillId="0" borderId="0" xfId="0" applyFont="1" applyAlignment="1">
      <alignment/>
    </xf>
    <xf numFmtId="37" fontId="0" fillId="0" borderId="0" xfId="0" applyNumberFormat="1" applyFont="1"/>
    <xf numFmtId="164" fontId="0" fillId="0" borderId="0" xfId="358" applyNumberFormat="1"/>
    <xf numFmtId="164" fontId="0" fillId="0" borderId="0" xfId="358" applyNumberFormat="1" applyFont="1"/>
    <xf numFmtId="10" fontId="0" fillId="0" borderId="0" xfId="1127" applyNumberFormat="1"/>
    <xf numFmtId="164" fontId="29" fillId="0" borderId="0" xfId="358" applyNumberFormat="1" applyFont="1"/>
    <xf numFmtId="37" fontId="0" fillId="0" borderId="0" xfId="358" applyNumberFormat="1"/>
    <xf numFmtId="37" fontId="29" fillId="0" borderId="0" xfId="358" applyNumberFormat="1" applyFont="1"/>
    <xf numFmtId="0" fontId="29" fillId="0" borderId="0" xfId="0" applyFont="1" applyAlignment="1">
      <alignment horizontal="center"/>
    </xf>
    <xf numFmtId="0" fontId="0" fillId="69" borderId="0" xfId="0" applyFill="1"/>
    <xf numFmtId="164" fontId="0" fillId="0" borderId="0" xfId="18" applyNumberFormat="1" applyFont="1"/>
    <xf numFmtId="37" fontId="0" fillId="0" borderId="0" xfId="18" applyNumberFormat="1" applyFont="1"/>
    <xf numFmtId="10" fontId="0" fillId="0" borderId="0" xfId="1127" applyNumberFormat="1" applyFont="1"/>
    <xf numFmtId="37" fontId="0" fillId="0" borderId="0" xfId="358" applyNumberFormat="1" applyFont="1"/>
    <xf numFmtId="0" fontId="0" fillId="0" borderId="0" xfId="0" applyFont="1" applyAlignment="1" quotePrefix="1">
      <alignment horizontal="left"/>
    </xf>
    <xf numFmtId="164" fontId="25" fillId="0" borderId="0" xfId="18" applyNumberFormat="1" applyFont="1" applyFill="1" applyBorder="1"/>
    <xf numFmtId="164" fontId="0" fillId="0" borderId="0" xfId="18" applyNumberFormat="1" applyFont="1" applyAlignment="1">
      <alignment horizontal="right"/>
    </xf>
    <xf numFmtId="0" fontId="29" fillId="0" borderId="0" xfId="0" applyFont="1" applyAlignment="1">
      <alignment horizontal="center"/>
    </xf>
    <xf numFmtId="164" fontId="0" fillId="0" borderId="0" xfId="358" applyNumberFormat="1" applyFill="1"/>
    <xf numFmtId="0" fontId="0" fillId="0" borderId="0" xfId="0" applyFill="1" applyAlignment="1">
      <alignment horizontal="left"/>
    </xf>
    <xf numFmtId="0" fontId="29" fillId="0" borderId="0" xfId="0" applyFont="1" applyAlignment="1">
      <alignment horizontal="center"/>
    </xf>
    <xf numFmtId="164" fontId="0" fillId="0" borderId="0" xfId="18" applyNumberFormat="1" applyFill="1"/>
    <xf numFmtId="3" fontId="0" fillId="0" borderId="0" xfId="0" applyNumberFormat="1" applyFill="1"/>
    <xf numFmtId="38" fontId="0" fillId="0" borderId="0" xfId="0" applyNumberFormat="1" applyFill="1"/>
    <xf numFmtId="0" fontId="29" fillId="0" borderId="0" xfId="0" applyFont="1" applyAlignment="1">
      <alignment horizontal="center"/>
    </xf>
    <xf numFmtId="10" fontId="0" fillId="0" borderId="0" xfId="15" applyNumberFormat="1" applyFont="1" applyFill="1"/>
    <xf numFmtId="0" fontId="29" fillId="0" borderId="0" xfId="0" applyFont="1" applyFill="1"/>
    <xf numFmtId="164" fontId="29" fillId="0" borderId="0" xfId="18" applyNumberFormat="1" applyFont="1" applyFill="1"/>
    <xf numFmtId="9" fontId="0" fillId="0" borderId="0" xfId="15" applyFont="1" applyFill="1"/>
    <xf numFmtId="0" fontId="29" fillId="0" borderId="0" xfId="0" applyFont="1" applyFill="1" applyAlignment="1">
      <alignment horizontal="center"/>
    </xf>
    <xf numFmtId="183" fontId="0" fillId="0" borderId="0" xfId="0" applyNumberFormat="1"/>
    <xf numFmtId="183" fontId="0" fillId="0" borderId="0" xfId="18" applyNumberFormat="1" applyFont="1"/>
    <xf numFmtId="0" fontId="120" fillId="0" borderId="0" xfId="0" applyFont="1" applyFill="1"/>
    <xf numFmtId="185" fontId="120" fillId="0" borderId="0" xfId="0" applyNumberFormat="1" applyFont="1" applyFill="1" applyAlignment="1" applyProtection="1">
      <alignment vertical="top" wrapText="1" readingOrder="1"/>
      <protection locked="0"/>
    </xf>
    <xf numFmtId="0" fontId="121" fillId="0" borderId="43" xfId="0" applyFont="1" applyFill="1" applyBorder="1" applyAlignment="1" applyProtection="1">
      <alignment horizontal="right" vertical="top" wrapText="1" readingOrder="1"/>
      <protection locked="0"/>
    </xf>
    <xf numFmtId="164" fontId="120" fillId="0" borderId="0" xfId="18" applyNumberFormat="1" applyFont="1" applyFill="1"/>
    <xf numFmtId="164" fontId="120" fillId="0" borderId="0" xfId="18" applyNumberFormat="1" applyFont="1" applyFill="1" applyAlignment="1" applyProtection="1">
      <alignment vertical="top" wrapText="1" readingOrder="1"/>
      <protection locked="0"/>
    </xf>
    <xf numFmtId="164" fontId="121" fillId="0" borderId="43" xfId="18" applyNumberFormat="1" applyFont="1" applyFill="1" applyBorder="1" applyAlignment="1" applyProtection="1">
      <alignment horizontal="right" vertical="top" wrapText="1" readingOrder="1"/>
      <protection locked="0"/>
    </xf>
    <xf numFmtId="0" fontId="29" fillId="16" borderId="0" xfId="0" applyFont="1" applyFill="1" applyAlignment="1">
      <alignment horizontal="left"/>
    </xf>
    <xf numFmtId="9" fontId="0" fillId="0" borderId="0" xfId="15" applyFont="1"/>
    <xf numFmtId="0" fontId="122" fillId="70" borderId="0" xfId="0" applyFont="1" applyFill="1"/>
    <xf numFmtId="0" fontId="123" fillId="70" borderId="0" xfId="0" applyFont="1" applyFill="1"/>
    <xf numFmtId="4" fontId="0" fillId="0" borderId="0" xfId="0" applyNumberFormat="1"/>
    <xf numFmtId="0" fontId="116" fillId="70" borderId="0" xfId="0" applyFont="1" applyFill="1"/>
    <xf numFmtId="0" fontId="120" fillId="0" borderId="0" xfId="0" applyFont="1" applyFill="1"/>
    <xf numFmtId="0" fontId="120" fillId="0" borderId="0" xfId="0" applyFont="1" applyFill="1" applyAlignment="1">
      <alignment horizontal="right"/>
    </xf>
    <xf numFmtId="0" fontId="121" fillId="0" borderId="44" xfId="0" applyFont="1" applyFill="1" applyBorder="1" applyAlignment="1" applyProtection="1">
      <alignment horizontal="right" wrapText="1" readingOrder="1"/>
      <protection locked="0"/>
    </xf>
    <xf numFmtId="0" fontId="120" fillId="0" borderId="0" xfId="0" applyFont="1" applyFill="1" applyAlignment="1" applyProtection="1">
      <alignment horizontal="right" vertical="top" wrapText="1" readingOrder="1"/>
      <protection locked="0"/>
    </xf>
    <xf numFmtId="0" fontId="0" fillId="0" borderId="0" xfId="0" applyAlignment="1">
      <alignment horizontal="right" indent="1"/>
    </xf>
    <xf numFmtId="14" fontId="0" fillId="0" borderId="0" xfId="0" applyNumberFormat="1" applyAlignment="1">
      <alignment horizontal="right" indent="1"/>
    </xf>
    <xf numFmtId="164" fontId="116" fillId="0" borderId="0" xfId="18" applyNumberFormat="1" applyFont="1" applyFill="1" applyBorder="1"/>
    <xf numFmtId="164" fontId="0" fillId="0" borderId="0" xfId="18" applyNumberFormat="1" applyFont="1" applyFill="1" applyBorder="1"/>
    <xf numFmtId="0" fontId="29" fillId="0" borderId="0" xfId="0" applyFont="1" applyAlignment="1">
      <alignment horizontal="center"/>
    </xf>
    <xf numFmtId="0" fontId="0" fillId="0" borderId="0" xfId="0" applyNumberFormat="1"/>
    <xf numFmtId="164" fontId="125" fillId="0" borderId="0" xfId="18" applyNumberFormat="1" applyFont="1" applyAlignment="1">
      <alignment horizontal="left" vertical="center"/>
    </xf>
    <xf numFmtId="164" fontId="23" fillId="0" borderId="0" xfId="18" applyNumberFormat="1" applyFont="1" applyFill="1" applyAlignment="1">
      <alignment/>
    </xf>
    <xf numFmtId="164" fontId="24" fillId="0" borderId="0" xfId="18" applyNumberFormat="1" applyFont="1" applyFill="1" applyAlignment="1">
      <alignment/>
    </xf>
    <xf numFmtId="164" fontId="23" fillId="0" borderId="0" xfId="18" applyNumberFormat="1" applyFont="1" applyFill="1"/>
    <xf numFmtId="183" fontId="0" fillId="0" borderId="0" xfId="0" applyNumberFormat="1" applyFill="1"/>
    <xf numFmtId="183" fontId="0" fillId="0" borderId="0" xfId="18" applyNumberFormat="1" applyFont="1" applyFill="1"/>
    <xf numFmtId="186" fontId="0" fillId="0" borderId="0" xfId="18" applyNumberFormat="1" applyFont="1"/>
    <xf numFmtId="186" fontId="0" fillId="0" borderId="0" xfId="18" applyNumberFormat="1" applyFont="1" applyAlignment="1" applyProtection="1">
      <alignment horizontal="right"/>
      <protection/>
    </xf>
    <xf numFmtId="0" fontId="0" fillId="0" borderId="0" xfId="0" applyAlignment="1">
      <alignment horizontal="center" wrapText="1"/>
    </xf>
    <xf numFmtId="164" fontId="0" fillId="0" borderId="0" xfId="18" applyNumberFormat="1" applyFont="1" applyAlignment="1">
      <alignment horizontal="center" wrapText="1"/>
    </xf>
    <xf numFmtId="0" fontId="29" fillId="0" borderId="0" xfId="18" applyNumberFormat="1" applyFont="1" applyAlignment="1">
      <alignment horizontal="left"/>
    </xf>
    <xf numFmtId="0" fontId="0" fillId="0" borderId="0" xfId="0" applyFont="1" applyAlignment="1">
      <alignment horizontal="right"/>
    </xf>
    <xf numFmtId="164" fontId="29" fillId="0" borderId="0" xfId="18" applyNumberFormat="1" applyFont="1" applyAlignment="1">
      <alignment horizontal="center" wrapText="1"/>
    </xf>
    <xf numFmtId="164" fontId="0" fillId="0" borderId="0" xfId="18" applyNumberFormat="1" applyFont="1"/>
    <xf numFmtId="3" fontId="34" fillId="0" borderId="0" xfId="18" applyNumberFormat="1" applyFont="1" applyAlignment="1" applyProtection="1">
      <alignment horizontal="left" vertical="center"/>
      <protection/>
    </xf>
    <xf numFmtId="3" fontId="0" fillId="0" borderId="0" xfId="0" applyNumberFormat="1" applyFont="1"/>
    <xf numFmtId="3" fontId="0" fillId="0" borderId="0" xfId="0" applyNumberFormat="1" applyFont="1" applyBorder="1"/>
    <xf numFmtId="164" fontId="0" fillId="0" borderId="0" xfId="18" applyNumberFormat="1" applyFont="1" applyAlignment="1">
      <alignment horizontal="right"/>
    </xf>
    <xf numFmtId="164" fontId="0" fillId="0" borderId="0" xfId="18" applyNumberFormat="1" applyFont="1" applyAlignment="1">
      <alignment horizontal="right" vertical="center"/>
    </xf>
    <xf numFmtId="164" fontId="0" fillId="0" borderId="0" xfId="18" applyNumberFormat="1" applyFont="1" applyAlignment="1">
      <alignment horizontal="right"/>
    </xf>
    <xf numFmtId="164" fontId="120" fillId="0" borderId="0" xfId="18" applyNumberFormat="1" applyFont="1" applyFill="1" applyAlignment="1">
      <alignment horizontal="right"/>
    </xf>
    <xf numFmtId="184" fontId="127" fillId="0" borderId="0" xfId="0" applyNumberFormat="1" applyFont="1" applyFill="1" applyAlignment="1" applyProtection="1">
      <alignment horizontal="right" vertical="top" wrapText="1" readingOrder="1"/>
      <protection locked="0"/>
    </xf>
    <xf numFmtId="0" fontId="128" fillId="69" borderId="0" xfId="0" applyFont="1" applyFill="1"/>
    <xf numFmtId="164" fontId="0" fillId="0" borderId="0" xfId="0" applyNumberFormat="1" applyFill="1"/>
    <xf numFmtId="184" fontId="0" fillId="0" borderId="0" xfId="0" applyNumberFormat="1"/>
    <xf numFmtId="164" fontId="130" fillId="0" borderId="0" xfId="18" applyNumberFormat="1" applyFont="1" applyFill="1"/>
    <xf numFmtId="0" fontId="29" fillId="0" borderId="0" xfId="0" applyFont="1" applyAlignment="1">
      <alignment horizontal="center"/>
    </xf>
    <xf numFmtId="37" fontId="131" fillId="0" borderId="0" xfId="0" applyNumberFormat="1" applyFont="1" applyFill="1"/>
    <xf numFmtId="164" fontId="0" fillId="69" borderId="0" xfId="18" applyNumberFormat="1" applyFont="1" applyFill="1"/>
    <xf numFmtId="0" fontId="0" fillId="71" borderId="0" xfId="0" applyFill="1"/>
    <xf numFmtId="164" fontId="0" fillId="71" borderId="0" xfId="18" applyNumberFormat="1" applyFont="1" applyFill="1" applyAlignment="1">
      <alignment horizontal="right"/>
    </xf>
    <xf numFmtId="164" fontId="0" fillId="71" borderId="0" xfId="358" applyNumberFormat="1" applyFill="1"/>
    <xf numFmtId="0" fontId="0" fillId="71" borderId="0" xfId="0" applyFont="1" applyFill="1"/>
    <xf numFmtId="0" fontId="0" fillId="71" borderId="0" xfId="0" applyFill="1" applyAlignment="1" quotePrefix="1">
      <alignment horizontal="left"/>
    </xf>
    <xf numFmtId="37" fontId="0" fillId="71" borderId="0" xfId="0" applyNumberFormat="1" applyFill="1"/>
    <xf numFmtId="164" fontId="0" fillId="71" borderId="0" xfId="358" applyNumberFormat="1" applyFont="1" applyFill="1"/>
    <xf numFmtId="0" fontId="0" fillId="71" borderId="0" xfId="0" applyFont="1" applyFill="1" applyAlignment="1" quotePrefix="1">
      <alignment horizontal="left"/>
    </xf>
    <xf numFmtId="37" fontId="0" fillId="71" borderId="0" xfId="0" applyNumberFormat="1" applyFont="1" applyFill="1"/>
    <xf numFmtId="37" fontId="128" fillId="0" borderId="0" xfId="0" applyNumberFormat="1" applyFont="1"/>
    <xf numFmtId="164" fontId="0" fillId="0" borderId="0" xfId="0" applyNumberFormat="1" applyFont="1" applyFill="1"/>
    <xf numFmtId="43" fontId="0" fillId="0" borderId="0" xfId="18" applyFont="1"/>
    <xf numFmtId="164" fontId="0" fillId="0" borderId="0" xfId="18" applyNumberFormat="1" applyFont="1" applyFill="1"/>
    <xf numFmtId="0" fontId="0" fillId="0" borderId="0" xfId="0" applyFont="1" applyFill="1"/>
    <xf numFmtId="10" fontId="0" fillId="0" borderId="0" xfId="0" applyNumberFormat="1" applyFill="1"/>
    <xf numFmtId="0" fontId="128" fillId="0" borderId="0" xfId="0" applyFont="1" applyFill="1"/>
    <xf numFmtId="10" fontId="0" fillId="70" borderId="0" xfId="15" applyNumberFormat="1" applyFont="1" applyFill="1"/>
    <xf numFmtId="0" fontId="132" fillId="0" borderId="0" xfId="0" applyFont="1" applyFill="1" applyBorder="1"/>
    <xf numFmtId="0" fontId="129" fillId="0" borderId="0" xfId="0" applyFont="1" applyFill="1" applyBorder="1"/>
    <xf numFmtId="164" fontId="129" fillId="0" borderId="0" xfId="18" applyNumberFormat="1" applyFont="1" applyFill="1" applyBorder="1"/>
    <xf numFmtId="164" fontId="129" fillId="0" borderId="0" xfId="18" applyNumberFormat="1" applyFont="1" applyFill="1" applyBorder="1" applyAlignment="1">
      <alignment horizontal="left"/>
    </xf>
    <xf numFmtId="0" fontId="134" fillId="0" borderId="0" xfId="0" applyFont="1" applyAlignment="1">
      <alignment vertical="center"/>
    </xf>
    <xf numFmtId="0" fontId="29" fillId="0" borderId="0" xfId="0" applyFont="1" applyFill="1" applyBorder="1" applyAlignment="1">
      <alignment horizontal="center"/>
    </xf>
    <xf numFmtId="0" fontId="124" fillId="0" borderId="0" xfId="0" applyFont="1" applyFill="1"/>
    <xf numFmtId="164" fontId="0" fillId="0" borderId="0" xfId="18" applyNumberFormat="1" applyFont="1" applyFill="1"/>
    <xf numFmtId="0" fontId="0" fillId="0" borderId="0" xfId="0" applyFont="1" applyFill="1" applyAlignment="1">
      <alignment horizontal="right"/>
    </xf>
    <xf numFmtId="164" fontId="128" fillId="0" borderId="0" xfId="18" applyNumberFormat="1" applyFont="1" applyFill="1"/>
    <xf numFmtId="0" fontId="135" fillId="0" borderId="0" xfId="0" applyFont="1" applyFill="1"/>
    <xf numFmtId="164" fontId="0" fillId="0" borderId="0" xfId="18" applyNumberFormat="1" applyFont="1" applyFill="1" quotePrefix="1"/>
    <xf numFmtId="0" fontId="131" fillId="0" borderId="0" xfId="0" applyFont="1"/>
    <xf numFmtId="1" fontId="29" fillId="0" borderId="0" xfId="0" applyNumberFormat="1" applyFont="1" applyBorder="1" applyAlignment="1">
      <alignment horizontal="center"/>
    </xf>
    <xf numFmtId="0" fontId="29" fillId="0" borderId="0" xfId="0" applyFont="1" applyBorder="1" applyAlignment="1" quotePrefix="1">
      <alignment horizontal="center"/>
    </xf>
    <xf numFmtId="3" fontId="29" fillId="0" borderId="0" xfId="0" applyNumberFormat="1" applyFont="1" applyBorder="1" applyAlignment="1">
      <alignment horizontal="center"/>
    </xf>
    <xf numFmtId="1" fontId="29" fillId="0" borderId="0" xfId="0" applyNumberFormat="1" applyFont="1" applyFill="1" applyBorder="1" applyAlignment="1">
      <alignment horizontal="center"/>
    </xf>
    <xf numFmtId="0" fontId="29" fillId="0" borderId="0" xfId="0" applyFont="1" applyAlignment="1">
      <alignment horizontal="center"/>
    </xf>
    <xf numFmtId="0" fontId="29" fillId="0" borderId="0" xfId="0" applyFont="1" applyAlignment="1">
      <alignment horizontal="center"/>
    </xf>
    <xf numFmtId="164" fontId="133" fillId="18" borderId="0" xfId="18" applyNumberFormat="1" applyFont="1" applyFill="1" applyAlignment="1">
      <alignment horizontal="left" vertical="center"/>
    </xf>
    <xf numFmtId="0" fontId="0" fillId="18" borderId="0" xfId="0" applyFill="1"/>
    <xf numFmtId="164" fontId="125" fillId="18" borderId="0" xfId="18" applyNumberFormat="1" applyFont="1" applyFill="1" applyAlignment="1">
      <alignment horizontal="left" vertical="center"/>
    </xf>
    <xf numFmtId="0" fontId="29" fillId="18" borderId="0" xfId="0" applyFont="1" applyFill="1"/>
    <xf numFmtId="164" fontId="133" fillId="12" borderId="0" xfId="18" applyNumberFormat="1" applyFont="1" applyFill="1" applyAlignment="1">
      <alignment horizontal="left" vertical="center"/>
    </xf>
    <xf numFmtId="0" fontId="0" fillId="12" borderId="0" xfId="0" applyFill="1"/>
    <xf numFmtId="164" fontId="125" fillId="12" borderId="0" xfId="18" applyNumberFormat="1" applyFont="1" applyFill="1" applyAlignment="1">
      <alignment horizontal="left" vertical="center"/>
    </xf>
    <xf numFmtId="0" fontId="29" fillId="0" borderId="0" xfId="0" applyFont="1" applyAlignment="1">
      <alignment horizontal="center"/>
    </xf>
    <xf numFmtId="0" fontId="0" fillId="0" borderId="0" xfId="0" applyFont="1" applyAlignment="1">
      <alignment horizontal="right" wrapText="1"/>
    </xf>
    <xf numFmtId="0" fontId="0" fillId="0" borderId="0" xfId="0" applyFont="1" applyAlignment="1">
      <alignment horizontal="right" vertical="center"/>
    </xf>
    <xf numFmtId="164" fontId="125" fillId="30" borderId="0" xfId="18" applyNumberFormat="1" applyFont="1" applyFill="1" applyAlignment="1">
      <alignment horizontal="left" vertical="center"/>
    </xf>
    <xf numFmtId="0" fontId="0" fillId="30" borderId="0" xfId="0" applyFill="1"/>
    <xf numFmtId="0" fontId="29" fillId="30" borderId="0" xfId="0" applyFont="1" applyFill="1"/>
    <xf numFmtId="164" fontId="125" fillId="26" borderId="0" xfId="18" applyNumberFormat="1" applyFont="1" applyFill="1" applyAlignment="1">
      <alignment horizontal="left" vertical="center"/>
    </xf>
    <xf numFmtId="164" fontId="0" fillId="18" borderId="0" xfId="18" applyNumberFormat="1" applyFont="1" applyFill="1"/>
    <xf numFmtId="164" fontId="0" fillId="12" borderId="0" xfId="18" applyNumberFormat="1" applyFont="1" applyFill="1"/>
    <xf numFmtId="164" fontId="120" fillId="0" borderId="0" xfId="18" applyNumberFormat="1" applyFont="1" applyFill="1" applyAlignment="1" applyProtection="1">
      <alignment horizontal="right" vertical="top" wrapText="1" readingOrder="1"/>
      <protection locked="0"/>
    </xf>
    <xf numFmtId="164" fontId="136" fillId="0" borderId="0" xfId="18" applyNumberFormat="1" applyFont="1" applyFill="1" applyBorder="1"/>
    <xf numFmtId="164" fontId="120" fillId="0" borderId="0" xfId="0" applyNumberFormat="1" applyFont="1" applyFill="1" applyAlignment="1" applyProtection="1">
      <alignment horizontal="right" vertical="top" wrapText="1" readingOrder="1"/>
      <protection locked="0"/>
    </xf>
    <xf numFmtId="185" fontId="136" fillId="0" borderId="0" xfId="1500" applyNumberFormat="1" applyFont="1" applyFill="1" applyBorder="1">
      <alignment/>
      <protection/>
    </xf>
    <xf numFmtId="164" fontId="140" fillId="0" borderId="0" xfId="1491" applyNumberFormat="1" applyFont="1" applyFill="1"/>
    <xf numFmtId="164" fontId="140" fillId="0" borderId="0" xfId="18" applyNumberFormat="1" applyFont="1" applyFill="1" applyAlignment="1">
      <alignment horizontal="right"/>
    </xf>
    <xf numFmtId="188" fontId="0" fillId="0" borderId="0" xfId="0" applyNumberFormat="1"/>
    <xf numFmtId="164" fontId="28" fillId="0" borderId="0" xfId="18" applyNumberFormat="1" applyFont="1" applyFill="1" applyAlignment="1">
      <alignment horizontal="right"/>
    </xf>
    <xf numFmtId="0" fontId="0" fillId="60" borderId="0" xfId="0" applyFill="1"/>
    <xf numFmtId="0" fontId="29" fillId="60" borderId="0" xfId="0" applyFont="1" applyFill="1" applyAlignment="1">
      <alignment horizontal="center"/>
    </xf>
    <xf numFmtId="0" fontId="29" fillId="60" borderId="0" xfId="0" applyFont="1" applyFill="1"/>
    <xf numFmtId="164" fontId="0" fillId="60" borderId="0" xfId="18" applyNumberFormat="1" applyFill="1"/>
    <xf numFmtId="0" fontId="29" fillId="60" borderId="0" xfId="0" applyFont="1" applyFill="1" applyAlignment="1" quotePrefix="1">
      <alignment horizontal="left"/>
    </xf>
    <xf numFmtId="10" fontId="0" fillId="60" borderId="0" xfId="15" applyNumberFormat="1" applyFill="1"/>
    <xf numFmtId="0" fontId="0" fillId="60" borderId="0" xfId="0" applyFill="1" applyAlignment="1" quotePrefix="1">
      <alignment horizontal="left"/>
    </xf>
    <xf numFmtId="164" fontId="29" fillId="60" borderId="0" xfId="18" applyNumberFormat="1" applyFont="1" applyFill="1"/>
    <xf numFmtId="164" fontId="131" fillId="0" borderId="0" xfId="18" applyNumberFormat="1" applyFont="1"/>
    <xf numFmtId="0" fontId="0" fillId="0" borderId="0" xfId="0" applyFont="1" applyAlignment="1">
      <alignment wrapText="1"/>
    </xf>
    <xf numFmtId="164" fontId="0" fillId="18" borderId="0" xfId="0" applyNumberFormat="1" applyFill="1"/>
    <xf numFmtId="164" fontId="1" fillId="0" borderId="0" xfId="18" applyNumberFormat="1" applyFont="1" applyFill="1" applyBorder="1"/>
    <xf numFmtId="14" fontId="29" fillId="16" borderId="0" xfId="0" applyNumberFormat="1" applyFont="1" applyFill="1" applyAlignment="1">
      <alignment horizontal="left"/>
    </xf>
    <xf numFmtId="186" fontId="0" fillId="0" borderId="0" xfId="18" applyNumberFormat="1" applyFont="1"/>
    <xf numFmtId="189" fontId="0" fillId="0" borderId="0" xfId="0" applyNumberFormat="1"/>
    <xf numFmtId="164" fontId="142" fillId="18" borderId="0" xfId="18" applyNumberFormat="1" applyFont="1" applyFill="1" applyAlignment="1">
      <alignment horizontal="left" vertical="center"/>
    </xf>
    <xf numFmtId="164" fontId="0" fillId="0" borderId="0" xfId="358" applyNumberFormat="1" applyFont="1" quotePrefix="1"/>
    <xf numFmtId="164" fontId="0" fillId="0" borderId="0" xfId="18" applyNumberFormat="1" applyFont="1" applyAlignment="1">
      <alignment horizontal="center"/>
    </xf>
    <xf numFmtId="0" fontId="29" fillId="0" borderId="0" xfId="0" applyFont="1" applyBorder="1" applyAlignment="1">
      <alignment horizontal="center"/>
    </xf>
    <xf numFmtId="0" fontId="29" fillId="0" borderId="0" xfId="0" applyFont="1" applyAlignment="1" quotePrefix="1">
      <alignment horizontal="center"/>
    </xf>
    <xf numFmtId="37" fontId="0" fillId="0" borderId="0" xfId="0" applyNumberFormat="1" applyFont="1" applyFill="1"/>
    <xf numFmtId="37" fontId="0" fillId="0" borderId="0" xfId="18" applyNumberFormat="1" applyFont="1" applyFill="1"/>
    <xf numFmtId="3" fontId="0" fillId="0" borderId="0" xfId="18" applyNumberFormat="1" applyFont="1"/>
    <xf numFmtId="3" fontId="0" fillId="0" borderId="0" xfId="0" applyNumberFormat="1" applyFont="1" applyFill="1"/>
    <xf numFmtId="37" fontId="0" fillId="0" borderId="0" xfId="0" applyNumberFormat="1" applyFont="1" applyFill="1" quotePrefix="1"/>
    <xf numFmtId="37" fontId="37" fillId="0" borderId="0" xfId="0" applyNumberFormat="1" applyFont="1" applyFill="1"/>
    <xf numFmtId="0" fontId="0" fillId="0" borderId="0" xfId="0" applyFont="1" applyAlignment="1">
      <alignment horizontal="center"/>
    </xf>
    <xf numFmtId="0" fontId="0" fillId="0" borderId="0" xfId="0" applyFont="1" applyAlignment="1">
      <alignment horizontal="center" vertical="center"/>
    </xf>
    <xf numFmtId="0" fontId="29" fillId="0" borderId="0" xfId="0" applyFont="1" applyAlignment="1">
      <alignment horizontal="center"/>
    </xf>
    <xf numFmtId="0" fontId="116" fillId="0" borderId="0" xfId="0" applyFont="1" applyFill="1" applyBorder="1"/>
    <xf numFmtId="0" fontId="29" fillId="0" borderId="0" xfId="0" applyFont="1" applyAlignment="1">
      <alignment horizontal="center"/>
    </xf>
    <xf numFmtId="1" fontId="0" fillId="0" borderId="0" xfId="0" applyNumberFormat="1" applyFill="1"/>
    <xf numFmtId="164" fontId="143" fillId="0" borderId="0" xfId="18" applyNumberFormat="1" applyFont="1" applyFill="1"/>
    <xf numFmtId="164" fontId="143" fillId="0" borderId="0" xfId="18" applyNumberFormat="1" applyFont="1" applyFill="1" applyAlignment="1">
      <alignment horizontal="right"/>
    </xf>
    <xf numFmtId="0" fontId="143" fillId="0" borderId="0" xfId="0" applyFont="1" applyFill="1"/>
    <xf numFmtId="164" fontId="143" fillId="0" borderId="0" xfId="0" applyNumberFormat="1" applyFont="1" applyFill="1"/>
    <xf numFmtId="164" fontId="125" fillId="0" borderId="0" xfId="18" applyNumberFormat="1" applyFont="1" applyFill="1" applyAlignment="1">
      <alignment horizontal="left" vertical="center"/>
    </xf>
    <xf numFmtId="164" fontId="145" fillId="0" borderId="0" xfId="18" applyNumberFormat="1" applyFont="1" applyFill="1" applyAlignment="1">
      <alignment horizontal="left" vertical="center"/>
    </xf>
    <xf numFmtId="164" fontId="144" fillId="12" borderId="0" xfId="18" applyNumberFormat="1" applyFont="1" applyFill="1" applyAlignment="1">
      <alignment horizontal="left" vertical="center"/>
    </xf>
    <xf numFmtId="0" fontId="143" fillId="0" borderId="0" xfId="0" applyFont="1"/>
    <xf numFmtId="164" fontId="143" fillId="0" borderId="0" xfId="0" applyNumberFormat="1" applyFont="1"/>
    <xf numFmtId="43" fontId="116" fillId="0" borderId="0" xfId="18" applyFont="1" applyFill="1" applyBorder="1"/>
    <xf numFmtId="43" fontId="0" fillId="0" borderId="0" xfId="18" applyNumberFormat="1" applyFont="1" applyFill="1" applyBorder="1"/>
    <xf numFmtId="0" fontId="29" fillId="0" borderId="0" xfId="0" applyFont="1" applyAlignment="1">
      <alignment horizontal="center"/>
    </xf>
    <xf numFmtId="0" fontId="29" fillId="60" borderId="0" xfId="0" applyFont="1" applyFill="1" applyAlignment="1">
      <alignment horizontal="center"/>
    </xf>
    <xf numFmtId="0" fontId="116" fillId="0" borderId="0" xfId="18" applyNumberFormat="1" applyFont="1" applyFill="1" applyBorder="1" applyAlignment="1">
      <alignment horizontal="center"/>
    </xf>
    <xf numFmtId="43" fontId="116" fillId="0" borderId="34" xfId="18" applyFont="1" applyFill="1" applyBorder="1"/>
    <xf numFmtId="43" fontId="116" fillId="0" borderId="45" xfId="18" applyFont="1" applyFill="1" applyBorder="1"/>
    <xf numFmtId="43" fontId="27" fillId="0" borderId="0" xfId="18" applyNumberFormat="1" applyFont="1" applyFill="1" applyBorder="1"/>
    <xf numFmtId="164" fontId="140" fillId="0" borderId="0" xfId="1490" applyNumberFormat="1" applyFont="1" applyFill="1">
      <alignment/>
      <protection/>
    </xf>
    <xf numFmtId="0" fontId="28" fillId="0" borderId="0" xfId="1490" applyNumberFormat="1" applyFont="1" applyFill="1" applyAlignment="1">
      <alignment horizontal="center"/>
      <protection/>
    </xf>
    <xf numFmtId="164" fontId="140" fillId="0" borderId="0" xfId="18" applyNumberFormat="1" applyFont="1" applyFill="1"/>
    <xf numFmtId="164" fontId="147" fillId="0" borderId="0" xfId="18" applyNumberFormat="1" applyFont="1" applyFill="1"/>
    <xf numFmtId="0" fontId="140" fillId="0" borderId="0" xfId="1490" applyFont="1" applyFill="1">
      <alignment/>
      <protection/>
    </xf>
    <xf numFmtId="10" fontId="28" fillId="0" borderId="0" xfId="15" applyNumberFormat="1" applyFont="1" applyFill="1"/>
    <xf numFmtId="164" fontId="141" fillId="27" borderId="0" xfId="18" applyNumberFormat="1" applyFont="1" applyFill="1" applyBorder="1"/>
    <xf numFmtId="164" fontId="1" fillId="0" borderId="0" xfId="18" applyNumberFormat="1" applyFont="1" applyFill="1" applyBorder="1"/>
    <xf numFmtId="0" fontId="122" fillId="0" borderId="0" xfId="0" applyFont="1" applyFill="1"/>
    <xf numFmtId="0" fontId="0" fillId="0" borderId="0" xfId="0" applyNumberFormat="1" applyFill="1"/>
    <xf numFmtId="0" fontId="0" fillId="0" borderId="0" xfId="0" applyFill="1" quotePrefix="1"/>
    <xf numFmtId="164" fontId="148" fillId="0" borderId="0" xfId="18" applyNumberFormat="1" applyFont="1" applyFill="1"/>
    <xf numFmtId="164" fontId="141" fillId="69" borderId="0" xfId="18" applyNumberFormat="1" applyFont="1" applyFill="1" applyBorder="1"/>
    <xf numFmtId="164" fontId="140" fillId="69" borderId="0" xfId="18" applyNumberFormat="1" applyFont="1" applyFill="1" applyBorder="1"/>
    <xf numFmtId="0" fontId="27" fillId="0" borderId="0" xfId="0" applyFont="1" applyFill="1" applyBorder="1" applyAlignment="1">
      <alignment horizontal="left"/>
    </xf>
    <xf numFmtId="3" fontId="128" fillId="0" borderId="0" xfId="0" applyNumberFormat="1" applyFont="1"/>
    <xf numFmtId="0" fontId="29" fillId="0" borderId="0" xfId="0" applyFont="1" applyFill="1" applyAlignment="1" quotePrefix="1">
      <alignment horizontal="center"/>
    </xf>
    <xf numFmtId="0" fontId="29" fillId="0" borderId="0" xfId="0" applyFont="1" applyAlignment="1">
      <alignment horizontal="center"/>
    </xf>
    <xf numFmtId="43" fontId="0" fillId="18" borderId="0" xfId="18" applyNumberFormat="1" applyFont="1" applyFill="1"/>
    <xf numFmtId="0" fontId="29" fillId="0" borderId="0" xfId="0" applyFont="1" applyFill="1" applyBorder="1" applyAlignment="1" quotePrefix="1">
      <alignment horizontal="center"/>
    </xf>
    <xf numFmtId="0" fontId="149" fillId="0" borderId="0" xfId="0" applyFont="1" applyAlignment="1">
      <alignment horizontal="center"/>
    </xf>
    <xf numFmtId="0" fontId="150" fillId="0" borderId="0" xfId="0" applyFont="1"/>
    <xf numFmtId="37" fontId="149" fillId="0" borderId="0" xfId="0" applyNumberFormat="1" applyFont="1" applyAlignment="1">
      <alignment horizontal="left"/>
    </xf>
    <xf numFmtId="37" fontId="149" fillId="0" borderId="0" xfId="0" applyNumberFormat="1" applyFont="1" applyAlignment="1">
      <alignment horizontal="center"/>
    </xf>
    <xf numFmtId="0" fontId="150" fillId="0" borderId="0" xfId="0" applyFont="1" applyAlignment="1">
      <alignment horizontal="center"/>
    </xf>
    <xf numFmtId="37" fontId="150" fillId="0" borderId="0" xfId="0" applyNumberFormat="1" applyFont="1"/>
    <xf numFmtId="0" fontId="150" fillId="0" borderId="0" xfId="0" applyFont="1" applyFill="1"/>
    <xf numFmtId="37" fontId="150" fillId="0" borderId="0" xfId="0" applyNumberFormat="1" applyFont="1" applyFill="1"/>
    <xf numFmtId="164" fontId="150" fillId="0" borderId="0" xfId="18" applyNumberFormat="1" applyFont="1" applyFill="1"/>
    <xf numFmtId="37" fontId="152" fillId="0" borderId="0" xfId="0" applyNumberFormat="1" applyFont="1" applyFill="1"/>
    <xf numFmtId="164" fontId="150" fillId="0" borderId="0" xfId="18" applyNumberFormat="1" applyFont="1"/>
    <xf numFmtId="37" fontId="149" fillId="0" borderId="0" xfId="0" applyNumberFormat="1" applyFont="1"/>
    <xf numFmtId="0" fontId="150" fillId="0" borderId="0" xfId="0" applyFont="1" applyAlignment="1">
      <alignment horizontal="right"/>
    </xf>
    <xf numFmtId="37" fontId="153" fillId="0" borderId="0" xfId="0" applyNumberFormat="1" applyFont="1" applyFill="1"/>
    <xf numFmtId="37" fontId="150" fillId="0" borderId="0" xfId="0" applyNumberFormat="1" applyFont="1" applyFill="1" applyAlignment="1">
      <alignment/>
    </xf>
    <xf numFmtId="37" fontId="152" fillId="0" borderId="0" xfId="0" applyNumberFormat="1" applyFont="1"/>
    <xf numFmtId="164" fontId="150" fillId="0" borderId="0" xfId="18" applyNumberFormat="1" applyFont="1" applyAlignment="1">
      <alignment horizontal="centerContinuous"/>
    </xf>
    <xf numFmtId="37" fontId="149" fillId="0" borderId="0" xfId="0" applyNumberFormat="1" applyFont="1" applyAlignment="1">
      <alignment horizontal="centerContinuous"/>
    </xf>
    <xf numFmtId="37" fontId="150" fillId="0" borderId="0" xfId="0" applyNumberFormat="1" applyFont="1" applyAlignment="1">
      <alignment horizontal="centerContinuous"/>
    </xf>
    <xf numFmtId="37" fontId="149" fillId="0" borderId="0" xfId="0" applyNumberFormat="1" applyFont="1" applyFill="1" applyAlignment="1">
      <alignment horizontal="centerContinuous"/>
    </xf>
    <xf numFmtId="164" fontId="149" fillId="0" borderId="0" xfId="18" applyNumberFormat="1" applyFont="1" applyAlignment="1">
      <alignment horizontal="centerContinuous"/>
    </xf>
    <xf numFmtId="37" fontId="149" fillId="0" borderId="0" xfId="0" applyNumberFormat="1" applyFont="1" applyFill="1"/>
    <xf numFmtId="164" fontId="149" fillId="0" borderId="0" xfId="18" applyNumberFormat="1" applyFont="1"/>
    <xf numFmtId="37" fontId="149" fillId="0" borderId="0" xfId="0" applyNumberFormat="1" applyFont="1" applyAlignment="1" applyProtection="1">
      <alignment horizontal="center"/>
      <protection/>
    </xf>
    <xf numFmtId="37" fontId="149" fillId="0" borderId="0" xfId="0" applyNumberFormat="1" applyFont="1" applyFill="1" applyAlignment="1" applyProtection="1">
      <alignment horizontal="center"/>
      <protection/>
    </xf>
    <xf numFmtId="164" fontId="149" fillId="0" borderId="0" xfId="18" applyNumberFormat="1" applyFont="1" applyAlignment="1" applyProtection="1">
      <alignment horizontal="center"/>
      <protection/>
    </xf>
    <xf numFmtId="164" fontId="149" fillId="0" borderId="0" xfId="18" applyNumberFormat="1" applyFont="1" applyAlignment="1">
      <alignment horizontal="center"/>
    </xf>
    <xf numFmtId="164" fontId="154" fillId="0" borderId="0" xfId="18" applyNumberFormat="1" applyFont="1" applyFill="1" applyAlignment="1" applyProtection="1">
      <alignment horizontal="left" vertical="top" readingOrder="1"/>
      <protection locked="0"/>
    </xf>
    <xf numFmtId="164" fontId="149" fillId="0" borderId="0" xfId="18" applyNumberFormat="1" applyFont="1" applyFill="1" applyAlignment="1" applyProtection="1">
      <alignment horizontal="center"/>
      <protection/>
    </xf>
    <xf numFmtId="37" fontId="149" fillId="0" borderId="0" xfId="0" applyNumberFormat="1" applyFont="1" applyAlignment="1" applyProtection="1">
      <alignment horizontal="left"/>
      <protection/>
    </xf>
    <xf numFmtId="164" fontId="150" fillId="0" borderId="0" xfId="18" applyNumberFormat="1" applyFont="1" applyProtection="1">
      <protection/>
    </xf>
    <xf numFmtId="37" fontId="150" fillId="0" borderId="0" xfId="0" applyNumberFormat="1" applyFont="1" applyAlignment="1">
      <alignment horizontal="center"/>
    </xf>
    <xf numFmtId="37" fontId="150" fillId="0" borderId="0" xfId="0" applyNumberFormat="1" applyFont="1" applyProtection="1">
      <protection/>
    </xf>
    <xf numFmtId="37" fontId="150" fillId="0" borderId="0" xfId="0" applyNumberFormat="1" applyFont="1" applyFill="1" applyProtection="1">
      <protection/>
    </xf>
    <xf numFmtId="37" fontId="150" fillId="0" borderId="0" xfId="18" applyNumberFormat="1" applyFont="1" applyFill="1" applyProtection="1">
      <protection/>
    </xf>
    <xf numFmtId="187" fontId="149" fillId="0" borderId="0" xfId="0" applyNumberFormat="1" applyFont="1" applyAlignment="1" applyProtection="1">
      <alignment horizontal="center"/>
      <protection/>
    </xf>
    <xf numFmtId="37" fontId="150" fillId="0" borderId="0" xfId="0" applyNumberFormat="1" applyFont="1" applyAlignment="1" applyProtection="1">
      <alignment/>
      <protection/>
    </xf>
    <xf numFmtId="187" fontId="150" fillId="0" borderId="0" xfId="0" applyNumberFormat="1" applyFont="1"/>
    <xf numFmtId="164" fontId="149" fillId="0" borderId="0" xfId="18" applyNumberFormat="1" applyFont="1" applyAlignment="1" applyProtection="1">
      <alignment horizontal="left"/>
      <protection/>
    </xf>
    <xf numFmtId="187" fontId="149" fillId="0" borderId="0" xfId="0" applyNumberFormat="1" applyFont="1" applyAlignment="1">
      <alignment horizontal="center"/>
    </xf>
    <xf numFmtId="164" fontId="150" fillId="0" borderId="0" xfId="18" applyNumberFormat="1" applyFont="1" applyFill="1" applyAlignment="1">
      <alignment readingOrder="1"/>
    </xf>
    <xf numFmtId="164" fontId="150" fillId="0" borderId="0" xfId="18" applyNumberFormat="1" applyFont="1" applyFill="1" applyProtection="1">
      <protection/>
    </xf>
    <xf numFmtId="43" fontId="150" fillId="0" borderId="0" xfId="18" applyNumberFormat="1" applyFont="1"/>
    <xf numFmtId="164" fontId="150" fillId="0" borderId="0" xfId="18" applyNumberFormat="1" applyFont="1" applyFill="1" applyAlignment="1" applyProtection="1">
      <alignment horizontal="right" vertical="top" wrapText="1" readingOrder="1"/>
      <protection locked="0"/>
    </xf>
    <xf numFmtId="164" fontId="150" fillId="0" borderId="0" xfId="18" applyNumberFormat="1" applyFont="1" applyAlignment="1">
      <alignment readingOrder="1"/>
    </xf>
    <xf numFmtId="37" fontId="150" fillId="69" borderId="0" xfId="0" applyNumberFormat="1" applyFont="1" applyFill="1" applyProtection="1">
      <protection/>
    </xf>
    <xf numFmtId="37" fontId="150" fillId="0" borderId="0" xfId="0" applyNumberFormat="1" applyFont="1" applyFill="1" applyProtection="1" quotePrefix="1">
      <protection/>
    </xf>
    <xf numFmtId="164" fontId="155" fillId="0" borderId="0" xfId="18" applyNumberFormat="1" applyFont="1" applyFill="1" applyProtection="1">
      <protection/>
    </xf>
    <xf numFmtId="164" fontId="151" fillId="0" borderId="0" xfId="18" applyNumberFormat="1" applyFont="1" applyAlignment="1">
      <alignment readingOrder="1"/>
    </xf>
    <xf numFmtId="37" fontId="150" fillId="0" borderId="0" xfId="0" applyNumberFormat="1" applyFont="1" applyProtection="1" quotePrefix="1">
      <protection/>
    </xf>
    <xf numFmtId="37" fontId="150" fillId="0" borderId="0" xfId="0" applyNumberFormat="1" applyFont="1" applyAlignment="1">
      <alignment horizontal="center" vertical="center"/>
    </xf>
    <xf numFmtId="37" fontId="150" fillId="0" borderId="0" xfId="0" applyNumberFormat="1" applyFont="1" applyAlignment="1" applyProtection="1">
      <alignment horizontal="left"/>
      <protection/>
    </xf>
    <xf numFmtId="37" fontId="149" fillId="0" borderId="0" xfId="0" applyNumberFormat="1" applyFont="1" applyFill="1" applyAlignment="1" applyProtection="1">
      <alignment horizontal="left"/>
      <protection/>
    </xf>
    <xf numFmtId="0" fontId="149" fillId="0" borderId="0" xfId="0" applyFont="1" applyAlignment="1">
      <alignment/>
    </xf>
    <xf numFmtId="0" fontId="149" fillId="0" borderId="0" xfId="0" applyFont="1" applyFill="1" applyAlignment="1">
      <alignment horizontal="center"/>
    </xf>
    <xf numFmtId="37" fontId="149" fillId="0" borderId="0" xfId="0" applyNumberFormat="1" applyFont="1" applyFill="1" applyAlignment="1">
      <alignment horizontal="center"/>
    </xf>
    <xf numFmtId="37" fontId="150" fillId="0" borderId="0" xfId="0" applyNumberFormat="1" applyFont="1" applyFill="1" applyAlignment="1">
      <alignment horizontal="center"/>
    </xf>
    <xf numFmtId="0" fontId="150" fillId="0" borderId="0" xfId="0" applyFont="1" applyFill="1" applyAlignment="1">
      <alignment horizontal="center"/>
    </xf>
    <xf numFmtId="37" fontId="150" fillId="0" borderId="0" xfId="0" applyNumberFormat="1" applyFont="1" applyFill="1" applyAlignment="1">
      <alignment horizontal="right"/>
    </xf>
    <xf numFmtId="0" fontId="149" fillId="0" borderId="0" xfId="0" applyFont="1"/>
    <xf numFmtId="37" fontId="150" fillId="0" borderId="0" xfId="0" applyNumberFormat="1" applyFont="1" applyAlignment="1">
      <alignment/>
    </xf>
    <xf numFmtId="37" fontId="150" fillId="0" borderId="0" xfId="0" applyNumberFormat="1" applyFont="1" applyAlignment="1">
      <alignment horizontal="right"/>
    </xf>
    <xf numFmtId="37" fontId="150" fillId="0" borderId="0" xfId="18" applyNumberFormat="1" applyFont="1" applyProtection="1">
      <protection/>
    </xf>
    <xf numFmtId="39" fontId="150" fillId="0" borderId="0" xfId="0" applyNumberFormat="1" applyFont="1"/>
    <xf numFmtId="3" fontId="150" fillId="0" borderId="0" xfId="0" applyNumberFormat="1" applyFont="1"/>
    <xf numFmtId="10" fontId="120" fillId="0" borderId="0" xfId="15" applyNumberFormat="1" applyFont="1" applyFill="1"/>
    <xf numFmtId="37" fontId="149" fillId="0" borderId="0" xfId="0" applyNumberFormat="1" applyFont="1" applyFill="1" applyAlignment="1">
      <alignment horizontal="left"/>
    </xf>
    <xf numFmtId="0" fontId="150" fillId="0" borderId="0" xfId="0" applyFont="1" applyFill="1" applyAlignment="1">
      <alignment horizontal="right"/>
    </xf>
    <xf numFmtId="190" fontId="150" fillId="0" borderId="0" xfId="0" applyNumberFormat="1" applyFont="1" applyFill="1"/>
    <xf numFmtId="0" fontId="150" fillId="0" borderId="0" xfId="0" applyFont="1" applyBorder="1"/>
    <xf numFmtId="0" fontId="150" fillId="0" borderId="0" xfId="0" applyFont="1" applyBorder="1" applyAlignment="1">
      <alignment horizontal="center"/>
    </xf>
    <xf numFmtId="3" fontId="150" fillId="0" borderId="0" xfId="0" applyNumberFormat="1" applyFont="1" applyBorder="1"/>
    <xf numFmtId="0" fontId="156" fillId="0" borderId="0" xfId="0" applyFont="1" applyFill="1" applyBorder="1" applyAlignment="1" quotePrefix="1">
      <alignment horizontal="center"/>
    </xf>
    <xf numFmtId="3" fontId="156" fillId="0" borderId="0" xfId="0" applyNumberFormat="1" applyFont="1" applyFill="1" applyBorder="1" applyAlignment="1" quotePrefix="1">
      <alignment horizontal="center"/>
    </xf>
    <xf numFmtId="3" fontId="156" fillId="0" borderId="0" xfId="0" applyNumberFormat="1" applyFont="1" applyFill="1" applyBorder="1" applyAlignment="1">
      <alignment horizontal="center"/>
    </xf>
    <xf numFmtId="0" fontId="157" fillId="0" borderId="0" xfId="0" applyFont="1" applyFill="1" applyBorder="1" applyAlignment="1" quotePrefix="1">
      <alignment horizontal="center"/>
    </xf>
    <xf numFmtId="3" fontId="157" fillId="0" borderId="0" xfId="0" applyNumberFormat="1" applyFont="1" applyFill="1" applyBorder="1" applyAlignment="1" quotePrefix="1">
      <alignment horizontal="center"/>
    </xf>
    <xf numFmtId="3" fontId="158" fillId="0" borderId="0" xfId="0" applyNumberFormat="1" applyFont="1" applyFill="1" applyBorder="1" applyAlignment="1">
      <alignment horizontal="center"/>
    </xf>
    <xf numFmtId="0" fontId="159" fillId="0" borderId="0" xfId="0" applyFont="1" applyBorder="1" applyAlignment="1">
      <alignment horizontal="center"/>
    </xf>
    <xf numFmtId="3" fontId="150" fillId="0" borderId="0" xfId="0" applyNumberFormat="1" applyFont="1" applyFill="1" applyBorder="1"/>
    <xf numFmtId="3" fontId="150" fillId="0" borderId="0" xfId="0" applyNumberFormat="1" applyFont="1" applyFill="1" applyBorder="1" applyAlignment="1">
      <alignment horizontal="center"/>
    </xf>
    <xf numFmtId="0" fontId="150" fillId="0" borderId="0" xfId="0" applyFont="1" applyFill="1" applyBorder="1" applyAlignment="1">
      <alignment horizontal="center"/>
    </xf>
    <xf numFmtId="0" fontId="159" fillId="0" borderId="0" xfId="0" applyFont="1" applyBorder="1" applyAlignment="1">
      <alignment horizontal="left"/>
    </xf>
    <xf numFmtId="164" fontId="150" fillId="0" borderId="0" xfId="18" applyNumberFormat="1" applyFont="1" applyFill="1" applyBorder="1"/>
    <xf numFmtId="164" fontId="150" fillId="0" borderId="0" xfId="0" applyNumberFormat="1" applyFont="1"/>
    <xf numFmtId="3" fontId="150" fillId="0" borderId="0" xfId="0" applyNumberFormat="1" applyFont="1" applyBorder="1" applyProtection="1">
      <protection/>
    </xf>
    <xf numFmtId="164" fontId="150" fillId="0" borderId="0" xfId="18" applyNumberFormat="1" applyFont="1" applyBorder="1"/>
    <xf numFmtId="3" fontId="150" fillId="0" borderId="0" xfId="0" applyNumberFormat="1" applyFont="1" applyBorder="1" applyAlignment="1" applyProtection="1">
      <alignment horizontal="center" vertical="center"/>
      <protection/>
    </xf>
    <xf numFmtId="0" fontId="150" fillId="0" borderId="0" xfId="0" applyFont="1" applyFill="1" applyBorder="1"/>
    <xf numFmtId="37" fontId="149" fillId="0" borderId="0" xfId="0" applyNumberFormat="1" applyFont="1" applyAlignment="1" applyProtection="1">
      <alignment horizontal="center"/>
      <protection/>
    </xf>
    <xf numFmtId="37" fontId="149" fillId="0" borderId="0" xfId="0" applyNumberFormat="1" applyFont="1" applyAlignment="1" applyProtection="1">
      <alignment horizontal="center"/>
      <protection/>
    </xf>
    <xf numFmtId="164" fontId="0" fillId="69" borderId="0" xfId="0" applyNumberFormat="1" applyFill="1"/>
    <xf numFmtId="186" fontId="0" fillId="69" borderId="0" xfId="18" applyNumberFormat="1" applyFont="1" applyFill="1"/>
    <xf numFmtId="164" fontId="0" fillId="0" borderId="0" xfId="0" applyNumberFormat="1" applyAlignment="1">
      <alignment horizontal="right" indent="1"/>
    </xf>
    <xf numFmtId="164" fontId="131" fillId="0" borderId="0" xfId="18" applyNumberFormat="1" applyFont="1" applyFill="1"/>
    <xf numFmtId="10" fontId="29" fillId="0" borderId="0" xfId="15" applyNumberFormat="1" applyFont="1" applyAlignment="1">
      <alignment horizontal="center"/>
    </xf>
    <xf numFmtId="37" fontId="131" fillId="0" borderId="0" xfId="0" applyNumberFormat="1" applyFont="1" applyFill="1" applyAlignment="1" quotePrefix="1">
      <alignment horizontal="right"/>
    </xf>
    <xf numFmtId="167" fontId="0" fillId="0" borderId="0" xfId="15" applyNumberFormat="1" applyFont="1" applyFill="1" applyBorder="1"/>
    <xf numFmtId="0" fontId="0" fillId="0" borderId="46" xfId="0" applyFont="1" applyFill="1" applyBorder="1" applyAlignment="1">
      <alignment horizontal="left" indent="3"/>
    </xf>
    <xf numFmtId="0" fontId="116" fillId="0" borderId="46" xfId="0" applyFont="1" applyFill="1" applyBorder="1" applyAlignment="1">
      <alignment horizontal="left" indent="1"/>
    </xf>
    <xf numFmtId="0" fontId="0" fillId="0" borderId="46" xfId="0" applyFont="1" applyFill="1" applyBorder="1" applyAlignment="1">
      <alignment horizontal="left" indent="2"/>
    </xf>
    <xf numFmtId="0" fontId="0" fillId="0" borderId="47" xfId="0" applyFont="1" applyFill="1" applyBorder="1" applyAlignment="1">
      <alignment horizontal="left" indent="3"/>
    </xf>
    <xf numFmtId="0" fontId="0" fillId="0" borderId="0" xfId="0" applyFont="1" applyFill="1" applyBorder="1" applyAlignment="1">
      <alignment horizontal="left" indent="3"/>
    </xf>
    <xf numFmtId="0" fontId="160" fillId="0" borderId="0" xfId="0" applyFont="1" applyAlignment="1">
      <alignment horizontal="left" vertical="center" indent="4"/>
    </xf>
    <xf numFmtId="9" fontId="0" fillId="0" borderId="0" xfId="15" applyNumberFormat="1" applyFont="1"/>
    <xf numFmtId="0" fontId="149" fillId="0" borderId="0" xfId="0" applyFont="1" applyFill="1" applyAlignment="1">
      <alignment horizontal="center"/>
    </xf>
    <xf numFmtId="0" fontId="149" fillId="0" borderId="0" xfId="0" applyFont="1" applyFill="1"/>
    <xf numFmtId="0" fontId="163" fillId="0" borderId="0" xfId="0" applyFont="1" applyFill="1" applyAlignment="1">
      <alignment/>
    </xf>
    <xf numFmtId="0" fontId="132" fillId="0" borderId="40" xfId="0" applyFont="1" applyFill="1" applyBorder="1"/>
    <xf numFmtId="0" fontId="132" fillId="0" borderId="0" xfId="0" applyFont="1" applyFill="1" applyBorder="1" applyAlignment="1">
      <alignment horizontal="left"/>
    </xf>
    <xf numFmtId="164" fontId="132" fillId="0" borderId="0" xfId="18" applyNumberFormat="1" applyFont="1" applyFill="1" applyBorder="1"/>
    <xf numFmtId="0" fontId="0" fillId="0" borderId="0" xfId="0" applyFont="1" applyFill="1" applyBorder="1"/>
    <xf numFmtId="0" fontId="126" fillId="0" borderId="0" xfId="0" applyFont="1" applyFill="1"/>
    <xf numFmtId="0" fontId="126" fillId="0" borderId="0" xfId="0" applyFont="1" applyFill="1" applyBorder="1"/>
    <xf numFmtId="164" fontId="140" fillId="0" borderId="0" xfId="1490" applyNumberFormat="1" applyFont="1" applyFill="1" applyAlignment="1">
      <alignment horizontal="center"/>
      <protection/>
    </xf>
    <xf numFmtId="0" fontId="140" fillId="0" borderId="0" xfId="1490" applyFont="1" applyFill="1" applyAlignment="1">
      <alignment horizontal="center"/>
      <protection/>
    </xf>
    <xf numFmtId="0" fontId="140" fillId="0" borderId="0" xfId="1490" applyNumberFormat="1" applyFont="1" applyFill="1" applyAlignment="1">
      <alignment horizontal="center"/>
      <protection/>
    </xf>
    <xf numFmtId="0" fontId="28" fillId="0" borderId="0" xfId="1490" applyNumberFormat="1" applyFont="1" applyFill="1" applyAlignment="1">
      <alignment horizontal="left"/>
      <protection/>
    </xf>
    <xf numFmtId="164" fontId="147" fillId="0" borderId="0" xfId="18" applyNumberFormat="1" applyFont="1" applyFill="1" applyAlignment="1">
      <alignment horizontal="right"/>
    </xf>
    <xf numFmtId="0" fontId="28" fillId="0" borderId="0" xfId="1490" applyFont="1" applyFill="1">
      <alignment/>
      <protection/>
    </xf>
    <xf numFmtId="164" fontId="147" fillId="0" borderId="0" xfId="18" applyNumberFormat="1" applyFont="1" applyFill="1" quotePrefix="1"/>
    <xf numFmtId="10" fontId="140" fillId="0" borderId="0" xfId="15" applyNumberFormat="1" applyFont="1" applyFill="1"/>
    <xf numFmtId="0" fontId="140" fillId="0" borderId="0" xfId="1490" applyFont="1" applyFill="1" applyAlignment="1">
      <alignment horizontal="right"/>
      <protection/>
    </xf>
    <xf numFmtId="0" fontId="140" fillId="0" borderId="0" xfId="1499" applyFont="1" applyFill="1">
      <alignment/>
      <protection/>
    </xf>
    <xf numFmtId="3" fontId="131" fillId="0" borderId="0" xfId="18" applyNumberFormat="1" applyFont="1" applyAlignment="1" applyProtection="1">
      <alignment vertical="center"/>
      <protection/>
    </xf>
    <xf numFmtId="3" fontId="167" fillId="0" borderId="0" xfId="18" applyNumberFormat="1" applyFont="1" applyAlignment="1" applyProtection="1">
      <alignment horizontal="left" vertical="center"/>
      <protection/>
    </xf>
    <xf numFmtId="3" fontId="146" fillId="0" borderId="0" xfId="18" applyNumberFormat="1" applyFont="1" applyAlignment="1" applyProtection="1">
      <alignment horizontal="left" vertical="center"/>
      <protection/>
    </xf>
    <xf numFmtId="3" fontId="168" fillId="0" borderId="0" xfId="18" applyNumberFormat="1" applyFont="1" applyAlignment="1" applyProtection="1">
      <alignment vertical="center"/>
      <protection/>
    </xf>
    <xf numFmtId="3" fontId="165" fillId="0" borderId="0" xfId="18" applyNumberFormat="1" applyFont="1" applyFill="1" applyAlignment="1" applyProtection="1">
      <alignment horizontal="left" vertical="center"/>
      <protection/>
    </xf>
    <xf numFmtId="3" fontId="166" fillId="0" borderId="0" xfId="18" applyNumberFormat="1" applyFont="1" applyAlignment="1" applyProtection="1">
      <alignment horizontal="left" vertical="center"/>
      <protection/>
    </xf>
    <xf numFmtId="3" fontId="169" fillId="0" borderId="0" xfId="0" applyNumberFormat="1" applyFont="1"/>
    <xf numFmtId="37" fontId="149" fillId="0" borderId="0" xfId="0" applyNumberFormat="1" applyFont="1" applyAlignment="1" applyProtection="1">
      <alignment horizontal="center"/>
      <protection/>
    </xf>
    <xf numFmtId="184" fontId="170" fillId="72" borderId="48" xfId="0" applyNumberFormat="1" applyFont="1" applyFill="1" applyBorder="1" applyAlignment="1">
      <alignment horizontal="right" vertical="center" wrapText="1" readingOrder="1"/>
    </xf>
    <xf numFmtId="164" fontId="150" fillId="0" borderId="0" xfId="18" applyNumberFormat="1" applyFont="1" applyAlignment="1" applyProtection="1">
      <alignment horizontal="center"/>
      <protection/>
    </xf>
    <xf numFmtId="37" fontId="150" fillId="0" borderId="0" xfId="0" applyNumberFormat="1" applyFont="1" applyAlignment="1" applyProtection="1">
      <alignment wrapText="1"/>
      <protection/>
    </xf>
    <xf numFmtId="164" fontId="150" fillId="0" borderId="0" xfId="18" applyNumberFormat="1" applyFont="1"/>
    <xf numFmtId="164" fontId="150" fillId="0" borderId="0" xfId="18" applyNumberFormat="1" applyFont="1" applyFill="1" applyAlignment="1" applyProtection="1">
      <alignment horizontal="center"/>
      <protection/>
    </xf>
    <xf numFmtId="187" fontId="149" fillId="0" borderId="0" xfId="0" applyNumberFormat="1" applyFont="1" applyFill="1" applyAlignment="1" applyProtection="1">
      <alignment horizontal="center"/>
      <protection/>
    </xf>
    <xf numFmtId="0" fontId="29" fillId="0" borderId="0" xfId="0" applyFont="1" applyAlignment="1">
      <alignment horizontal="center"/>
    </xf>
    <xf numFmtId="43" fontId="150" fillId="0" borderId="0" xfId="18" applyNumberFormat="1" applyFont="1" applyProtection="1">
      <protection/>
    </xf>
    <xf numFmtId="0" fontId="122" fillId="0" borderId="0" xfId="0" applyFont="1" applyFill="1" applyBorder="1"/>
    <xf numFmtId="164" fontId="0" fillId="0" borderId="0" xfId="18" applyNumberFormat="1" applyFont="1" applyFill="1" applyBorder="1"/>
    <xf numFmtId="0" fontId="29" fillId="0" borderId="0" xfId="0" applyFont="1" applyFill="1" applyBorder="1"/>
    <xf numFmtId="0" fontId="0" fillId="0" borderId="34" xfId="0" applyFont="1" applyFill="1" applyBorder="1"/>
    <xf numFmtId="43" fontId="0" fillId="0" borderId="0" xfId="18" applyFont="1" applyFill="1" applyBorder="1"/>
    <xf numFmtId="43" fontId="0" fillId="0" borderId="0" xfId="18" applyFont="1" applyFill="1" applyBorder="1"/>
    <xf numFmtId="43" fontId="0" fillId="0" borderId="0" xfId="18" applyFont="1" applyFill="1"/>
    <xf numFmtId="0" fontId="131" fillId="0" borderId="0" xfId="0" applyFont="1" applyFill="1"/>
    <xf numFmtId="164" fontId="36" fillId="0" borderId="0" xfId="1501" applyNumberFormat="1" applyFont="1" applyFill="1" applyBorder="1"/>
    <xf numFmtId="14" fontId="29" fillId="0" borderId="0" xfId="0" applyNumberFormat="1" applyFont="1" applyFill="1" applyAlignment="1">
      <alignment horizontal="left"/>
    </xf>
    <xf numFmtId="3" fontId="119" fillId="0" borderId="0" xfId="0" applyNumberFormat="1" applyFont="1" applyFill="1"/>
    <xf numFmtId="3" fontId="0" fillId="0" borderId="0" xfId="0" applyNumberFormat="1" applyFont="1" applyFill="1" applyAlignment="1">
      <alignment/>
    </xf>
    <xf numFmtId="0" fontId="29" fillId="0" borderId="0" xfId="0" applyFont="1" applyFill="1"/>
    <xf numFmtId="3" fontId="29" fillId="0" borderId="0" xfId="0" applyNumberFormat="1" applyFont="1" applyFill="1"/>
    <xf numFmtId="3" fontId="29" fillId="0" borderId="0" xfId="0" applyNumberFormat="1" applyFont="1" applyFill="1" applyAlignment="1">
      <alignment horizontal="right"/>
    </xf>
    <xf numFmtId="1" fontId="29" fillId="0" borderId="0" xfId="0" applyNumberFormat="1" applyFont="1" applyFill="1" applyAlignment="1">
      <alignment horizontal="center"/>
    </xf>
    <xf numFmtId="3" fontId="29" fillId="0" borderId="0" xfId="0" applyNumberFormat="1" applyFont="1" applyFill="1" applyAlignment="1">
      <alignment horizontal="center"/>
    </xf>
    <xf numFmtId="3" fontId="29" fillId="0" borderId="0" xfId="0" applyNumberFormat="1" applyFont="1" applyFill="1" applyAlignment="1">
      <alignment horizontal="center"/>
    </xf>
    <xf numFmtId="3" fontId="0" fillId="0" borderId="0" xfId="0" applyNumberFormat="1" applyFill="1" applyAlignment="1" quotePrefix="1">
      <alignment horizontal="left"/>
    </xf>
    <xf numFmtId="3" fontId="37" fillId="0" borderId="0" xfId="0" applyNumberFormat="1" applyFont="1" applyFill="1"/>
    <xf numFmtId="3" fontId="29" fillId="0" borderId="0" xfId="0" applyNumberFormat="1" applyFont="1" applyFill="1"/>
    <xf numFmtId="1" fontId="29" fillId="0" borderId="0" xfId="0" applyNumberFormat="1" applyFont="1" applyFill="1" applyAlignment="1">
      <alignment horizontal="left"/>
    </xf>
    <xf numFmtId="3" fontId="0" fillId="0" borderId="0" xfId="0" applyNumberFormat="1" applyFont="1" applyFill="1"/>
    <xf numFmtId="3" fontId="0" fillId="0" borderId="0" xfId="0" applyNumberFormat="1" applyFill="1" applyBorder="1"/>
    <xf numFmtId="9" fontId="0" fillId="0" borderId="0" xfId="0" applyNumberFormat="1" applyFill="1"/>
    <xf numFmtId="3" fontId="118" fillId="0" borderId="0" xfId="0" applyNumberFormat="1" applyFont="1" applyFill="1" applyAlignment="1" applyProtection="1">
      <alignment horizontal="center"/>
      <protection/>
    </xf>
    <xf numFmtId="3" fontId="118" fillId="0" borderId="0" xfId="0" applyNumberFormat="1" applyFont="1" applyFill="1"/>
    <xf numFmtId="3" fontId="0" fillId="0" borderId="0" xfId="0" applyNumberFormat="1" applyFill="1" applyProtection="1">
      <protection/>
    </xf>
    <xf numFmtId="3" fontId="0" fillId="0" borderId="0" xfId="0" applyNumberFormat="1" applyFill="1" applyAlignment="1">
      <alignment horizontal="center"/>
    </xf>
    <xf numFmtId="3" fontId="0" fillId="0" borderId="0" xfId="0" applyNumberFormat="1" applyFill="1" quotePrefix="1"/>
    <xf numFmtId="9" fontId="0" fillId="0" borderId="0" xfId="0" applyNumberFormat="1" applyFont="1"/>
    <xf numFmtId="10" fontId="0" fillId="0" borderId="0" xfId="0" applyNumberFormat="1" applyFont="1"/>
    <xf numFmtId="164" fontId="0" fillId="0" borderId="0" xfId="0" applyNumberFormat="1" applyFont="1"/>
    <xf numFmtId="0" fontId="0" fillId="0" borderId="49" xfId="0" applyFill="1" applyBorder="1"/>
    <xf numFmtId="0" fontId="29" fillId="0" borderId="49" xfId="0" applyFont="1" applyFill="1" applyBorder="1" applyAlignment="1">
      <alignment horizontal="center"/>
    </xf>
    <xf numFmtId="0" fontId="0" fillId="0" borderId="50" xfId="0" applyFill="1" applyBorder="1"/>
    <xf numFmtId="0" fontId="0" fillId="0" borderId="51" xfId="0" applyFill="1" applyBorder="1"/>
    <xf numFmtId="0" fontId="0" fillId="0" borderId="40" xfId="0" applyFill="1" applyBorder="1"/>
    <xf numFmtId="0" fontId="0" fillId="0" borderId="52" xfId="0" applyFill="1" applyBorder="1"/>
    <xf numFmtId="0" fontId="0" fillId="0" borderId="39" xfId="0" applyFill="1" applyBorder="1"/>
    <xf numFmtId="0" fontId="29" fillId="0" borderId="52" xfId="0" applyFont="1" applyFill="1" applyBorder="1" applyAlignment="1">
      <alignment horizontal="center"/>
    </xf>
    <xf numFmtId="0" fontId="29" fillId="0" borderId="39" xfId="0" applyFont="1" applyFill="1" applyBorder="1" applyAlignment="1">
      <alignment horizontal="center"/>
    </xf>
    <xf numFmtId="0" fontId="0" fillId="0" borderId="42" xfId="0" applyFill="1" applyBorder="1"/>
    <xf numFmtId="0" fontId="29" fillId="0" borderId="42" xfId="0" applyFont="1" applyFill="1" applyBorder="1" applyAlignment="1">
      <alignment horizontal="center"/>
    </xf>
    <xf numFmtId="0" fontId="29" fillId="0" borderId="41" xfId="0" applyFont="1" applyFill="1" applyBorder="1" applyAlignment="1">
      <alignment horizontal="center"/>
    </xf>
    <xf numFmtId="0" fontId="29" fillId="0" borderId="30" xfId="0" applyFont="1" applyFill="1" applyBorder="1" applyAlignment="1">
      <alignment horizontal="center"/>
    </xf>
    <xf numFmtId="167" fontId="0" fillId="0" borderId="0" xfId="15" applyNumberFormat="1" applyFont="1" applyFill="1"/>
    <xf numFmtId="0" fontId="0" fillId="0" borderId="53" xfId="0" applyFill="1" applyBorder="1"/>
    <xf numFmtId="37" fontId="0" fillId="0" borderId="49" xfId="0" applyNumberFormat="1" applyFill="1" applyBorder="1"/>
    <xf numFmtId="0" fontId="29" fillId="0" borderId="42" xfId="0" applyFont="1" applyFill="1" applyBorder="1"/>
    <xf numFmtId="37" fontId="29" fillId="0" borderId="49" xfId="0" applyNumberFormat="1" applyFont="1" applyFill="1" applyBorder="1"/>
    <xf numFmtId="37" fontId="135" fillId="0" borderId="0" xfId="0" applyNumberFormat="1" applyFont="1" applyFill="1"/>
    <xf numFmtId="0" fontId="0" fillId="0" borderId="0" xfId="0" applyFill="1" applyAlignment="1">
      <alignment horizontal="right"/>
    </xf>
    <xf numFmtId="0" fontId="164" fillId="0" borderId="0" xfId="0" applyFont="1" applyAlignment="1">
      <alignment horizontal="left" wrapText="1"/>
    </xf>
    <xf numFmtId="0" fontId="149" fillId="0" borderId="0" xfId="0" applyFont="1" applyFill="1" applyAlignment="1">
      <alignment horizontal="center"/>
    </xf>
    <xf numFmtId="0" fontId="149" fillId="0" borderId="0" xfId="0" applyFont="1" applyFill="1" applyAlignment="1" quotePrefix="1">
      <alignment horizontal="center"/>
    </xf>
    <xf numFmtId="0" fontId="149" fillId="0" borderId="0" xfId="0" applyFont="1" applyAlignment="1">
      <alignment horizontal="center"/>
    </xf>
    <xf numFmtId="37" fontId="150" fillId="0" borderId="0" xfId="0" applyNumberFormat="1" applyFont="1" applyAlignment="1" applyProtection="1">
      <alignment horizontal="left" wrapText="1"/>
      <protection/>
    </xf>
    <xf numFmtId="37" fontId="149" fillId="0" borderId="0" xfId="0" applyNumberFormat="1" applyFont="1" applyAlignment="1" applyProtection="1">
      <alignment horizontal="center"/>
      <protection/>
    </xf>
    <xf numFmtId="37" fontId="149" fillId="0" borderId="0" xfId="0" applyNumberFormat="1" applyFont="1" applyAlignment="1" applyProtection="1" quotePrefix="1">
      <alignment horizontal="center"/>
      <protection/>
    </xf>
    <xf numFmtId="0" fontId="149" fillId="0" borderId="0" xfId="0" applyFont="1" applyBorder="1" applyAlignment="1">
      <alignment horizontal="center"/>
    </xf>
    <xf numFmtId="0" fontId="150" fillId="0" borderId="0" xfId="0" applyFont="1" applyBorder="1" applyAlignment="1">
      <alignment horizontal="left" wrapText="1"/>
    </xf>
    <xf numFmtId="0" fontId="0" fillId="0" borderId="0" xfId="0" applyFont="1" applyAlignment="1">
      <alignment horizontal="left" wrapText="1"/>
    </xf>
    <xf numFmtId="0" fontId="29" fillId="0" borderId="0" xfId="0" applyFont="1" applyBorder="1" applyAlignment="1">
      <alignment horizontal="center"/>
    </xf>
    <xf numFmtId="0" fontId="29" fillId="0" borderId="0" xfId="0" applyFont="1" applyAlignment="1">
      <alignment horizontal="center"/>
    </xf>
    <xf numFmtId="0" fontId="29" fillId="0" borderId="0" xfId="0" applyFont="1" applyAlignment="1" quotePrefix="1">
      <alignment horizontal="center"/>
    </xf>
    <xf numFmtId="0" fontId="28" fillId="0" borderId="0" xfId="0" applyFont="1" applyAlignment="1">
      <alignment horizontal="center"/>
    </xf>
    <xf numFmtId="0" fontId="40" fillId="0" borderId="0" xfId="0" applyFont="1" applyAlignment="1">
      <alignment horizontal="center"/>
    </xf>
    <xf numFmtId="0" fontId="29" fillId="0" borderId="51" xfId="0" applyFont="1" applyFill="1" applyBorder="1" applyAlignment="1">
      <alignment horizontal="center"/>
    </xf>
    <xf numFmtId="0" fontId="29" fillId="0" borderId="40" xfId="0" applyFont="1" applyFill="1" applyBorder="1" applyAlignment="1">
      <alignment horizontal="center"/>
    </xf>
    <xf numFmtId="0" fontId="29" fillId="0" borderId="54" xfId="0" applyFont="1" applyFill="1" applyBorder="1" applyAlignment="1">
      <alignment horizontal="center"/>
    </xf>
    <xf numFmtId="0" fontId="29" fillId="0" borderId="39" xfId="0" applyFont="1" applyFill="1" applyBorder="1" applyAlignment="1">
      <alignment horizontal="center"/>
    </xf>
    <xf numFmtId="0" fontId="29" fillId="0" borderId="0" xfId="0" applyFont="1" applyFill="1" applyBorder="1" applyAlignment="1">
      <alignment horizontal="center"/>
    </xf>
    <xf numFmtId="0" fontId="29" fillId="0" borderId="55" xfId="0" applyFont="1" applyFill="1" applyBorder="1" applyAlignment="1">
      <alignment horizontal="center"/>
    </xf>
    <xf numFmtId="0" fontId="29" fillId="0" borderId="41" xfId="0" applyFont="1" applyFill="1" applyBorder="1" applyAlignment="1">
      <alignment horizontal="center"/>
    </xf>
    <xf numFmtId="0" fontId="29" fillId="0" borderId="30" xfId="0" applyFont="1" applyFill="1" applyBorder="1" applyAlignment="1">
      <alignment horizontal="center"/>
    </xf>
    <xf numFmtId="0" fontId="29" fillId="0" borderId="56" xfId="0" applyFont="1" applyFill="1" applyBorder="1" applyAlignment="1">
      <alignment horizontal="center"/>
    </xf>
    <xf numFmtId="0" fontId="29" fillId="60" borderId="0" xfId="0" applyFont="1" applyFill="1" applyAlignment="1" quotePrefix="1">
      <alignment horizontal="center"/>
    </xf>
    <xf numFmtId="0" fontId="29" fillId="60" borderId="0" xfId="0" applyFont="1" applyFill="1" applyAlignment="1">
      <alignment horizontal="center"/>
    </xf>
  </cellXfs>
  <cellStyles count="37411">
    <cellStyle name="Normal" xfId="0"/>
    <cellStyle name="Percent" xfId="15"/>
    <cellStyle name="Currency" xfId="16"/>
    <cellStyle name="Currency [0]" xfId="17"/>
    <cellStyle name="Comma" xfId="18"/>
    <cellStyle name="Comma [0]" xfId="19"/>
    <cellStyle name="_%(SignOnly)" xfId="20"/>
    <cellStyle name="_%(SignSpaceOnly)" xfId="21"/>
    <cellStyle name="_Chelan Debt Forecast 12.19.05" xfId="22"/>
    <cellStyle name="_Comma" xfId="23"/>
    <cellStyle name="_Costs not in AURORA 06GRC" xfId="24"/>
    <cellStyle name="_Costs not in KWI3000 '06Budget" xfId="25"/>
    <cellStyle name="_Currency" xfId="26"/>
    <cellStyle name="_CurrencySpace" xfId="27"/>
    <cellStyle name="_Euro" xfId="28"/>
    <cellStyle name="_Fuel Prices 4-14" xfId="29"/>
    <cellStyle name="_Heading" xfId="30"/>
    <cellStyle name="_Highlight" xfId="31"/>
    <cellStyle name="_Multiple" xfId="32"/>
    <cellStyle name="_MultipleSpace" xfId="33"/>
    <cellStyle name="_Power Cost Value Copy 11.30.05 gas 1.09.06 AURORA at 1.10.06" xfId="34"/>
    <cellStyle name="_Recon to Darrin's 5.11.05 proforma" xfId="35"/>
    <cellStyle name="_SubHeading" xfId="36"/>
    <cellStyle name="_Table" xfId="37"/>
    <cellStyle name="_Table_QC" xfId="38"/>
    <cellStyle name="_TableHead" xfId="39"/>
    <cellStyle name="_TableHead_QC" xfId="40"/>
    <cellStyle name="_TableRowHead" xfId="41"/>
    <cellStyle name="_TableSuperHead" xfId="42"/>
    <cellStyle name="_Value Copy 11 30 05 gas 12 09 05 AURORA at 12 14 05" xfId="43"/>
    <cellStyle name="20% - Accent1" xfId="44"/>
    <cellStyle name="20% - Accent1 2" xfId="45"/>
    <cellStyle name="20% - Accent1 2 2" xfId="46"/>
    <cellStyle name="20% - Accent1 2 2 2" xfId="47"/>
    <cellStyle name="20% - Accent1 2 2 3" xfId="48"/>
    <cellStyle name="20% - Accent1 2 2 4" xfId="49"/>
    <cellStyle name="20% - Accent1 2 3" xfId="50"/>
    <cellStyle name="20% - Accent1 2 4" xfId="51"/>
    <cellStyle name="20% - Accent1 2 5" xfId="52"/>
    <cellStyle name="20% - Accent1 2_QC Sheet" xfId="53"/>
    <cellStyle name="20% - Accent1 3" xfId="54"/>
    <cellStyle name="20% - Accent1 4" xfId="55"/>
    <cellStyle name="20% - Accent2" xfId="56"/>
    <cellStyle name="20% - Accent2 2" xfId="57"/>
    <cellStyle name="20% - Accent2 2 2" xfId="58"/>
    <cellStyle name="20% - Accent2 2 2 2" xfId="59"/>
    <cellStyle name="20% - Accent2 2 2 3" xfId="60"/>
    <cellStyle name="20% - Accent2 2 2 4" xfId="61"/>
    <cellStyle name="20% - Accent2 2 3" xfId="62"/>
    <cellStyle name="20% - Accent2 2 4" xfId="63"/>
    <cellStyle name="20% - Accent2 2 5" xfId="64"/>
    <cellStyle name="20% - Accent2 2_QC Sheet" xfId="65"/>
    <cellStyle name="20% - Accent2 3" xfId="66"/>
    <cellStyle name="20% - Accent2 4" xfId="67"/>
    <cellStyle name="20% - Accent3" xfId="68"/>
    <cellStyle name="20% - Accent3 2" xfId="69"/>
    <cellStyle name="20% - Accent3 2 2" xfId="70"/>
    <cellStyle name="20% - Accent3 2 2 2" xfId="71"/>
    <cellStyle name="20% - Accent3 2 2 3" xfId="72"/>
    <cellStyle name="20% - Accent3 2 2 4" xfId="73"/>
    <cellStyle name="20% - Accent3 2 3" xfId="74"/>
    <cellStyle name="20% - Accent3 2 4" xfId="75"/>
    <cellStyle name="20% - Accent3 2 5" xfId="76"/>
    <cellStyle name="20% - Accent3 2_QC Sheet" xfId="77"/>
    <cellStyle name="20% - Accent3 3" xfId="78"/>
    <cellStyle name="20% - Accent3 4" xfId="79"/>
    <cellStyle name="20% - Accent4" xfId="80"/>
    <cellStyle name="20% - Accent4 2" xfId="81"/>
    <cellStyle name="20% - Accent4 2 2" xfId="82"/>
    <cellStyle name="20% - Accent4 2 2 2" xfId="83"/>
    <cellStyle name="20% - Accent4 2 2 3" xfId="84"/>
    <cellStyle name="20% - Accent4 2 2 4" xfId="85"/>
    <cellStyle name="20% - Accent4 2 3" xfId="86"/>
    <cellStyle name="20% - Accent4 2 4" xfId="87"/>
    <cellStyle name="20% - Accent4 2 5" xfId="88"/>
    <cellStyle name="20% - Accent4 2_QC Sheet" xfId="89"/>
    <cellStyle name="20% - Accent4 3" xfId="90"/>
    <cellStyle name="20% - Accent4 4" xfId="91"/>
    <cellStyle name="20% - Accent5" xfId="92"/>
    <cellStyle name="20% - Accent5 2" xfId="93"/>
    <cellStyle name="20% - Accent5 2 2" xfId="94"/>
    <cellStyle name="20% - Accent5 2 2 2" xfId="95"/>
    <cellStyle name="20% - Accent5 2 2 3" xfId="96"/>
    <cellStyle name="20% - Accent5 2 2 4" xfId="97"/>
    <cellStyle name="20% - Accent5 2 3" xfId="98"/>
    <cellStyle name="20% - Accent5 2 4" xfId="99"/>
    <cellStyle name="20% - Accent5 2 5" xfId="100"/>
    <cellStyle name="20% - Accent5 2_QC Sheet" xfId="101"/>
    <cellStyle name="20% - Accent5 3" xfId="102"/>
    <cellStyle name="20% - Accent5 4" xfId="103"/>
    <cellStyle name="20% - Accent6" xfId="104"/>
    <cellStyle name="20% - Accent6 2" xfId="105"/>
    <cellStyle name="20% - Accent6 2 2" xfId="106"/>
    <cellStyle name="20% - Accent6 2 2 2" xfId="107"/>
    <cellStyle name="20% - Accent6 2 2 3" xfId="108"/>
    <cellStyle name="20% - Accent6 2 2 4" xfId="109"/>
    <cellStyle name="20% - Accent6 2 3" xfId="110"/>
    <cellStyle name="20% - Accent6 2 4" xfId="111"/>
    <cellStyle name="20% - Accent6 2 5" xfId="112"/>
    <cellStyle name="20% - Accent6 2_QC Sheet" xfId="113"/>
    <cellStyle name="20% - Accent6 3" xfId="114"/>
    <cellStyle name="20% - Accent6 4" xfId="115"/>
    <cellStyle name="40% - Accent1" xfId="116"/>
    <cellStyle name="40% - Accent1 2" xfId="117"/>
    <cellStyle name="40% - Accent1 2 2" xfId="118"/>
    <cellStyle name="40% - Accent1 2 2 2" xfId="119"/>
    <cellStyle name="40% - Accent1 2 2 3" xfId="120"/>
    <cellStyle name="40% - Accent1 2 2 4" xfId="121"/>
    <cellStyle name="40% - Accent1 2 3" xfId="122"/>
    <cellStyle name="40% - Accent1 2 4" xfId="123"/>
    <cellStyle name="40% - Accent1 2 5" xfId="124"/>
    <cellStyle name="40% - Accent1 2_QC Sheet" xfId="125"/>
    <cellStyle name="40% - Accent1 3" xfId="126"/>
    <cellStyle name="40% - Accent1 4" xfId="127"/>
    <cellStyle name="40% - Accent2" xfId="128"/>
    <cellStyle name="40% - Accent2 2" xfId="129"/>
    <cellStyle name="40% - Accent2 2 2" xfId="130"/>
    <cellStyle name="40% - Accent2 2 2 2" xfId="131"/>
    <cellStyle name="40% - Accent2 2 2 3" xfId="132"/>
    <cellStyle name="40% - Accent2 2 2 4" xfId="133"/>
    <cellStyle name="40% - Accent2 2 3" xfId="134"/>
    <cellStyle name="40% - Accent2 2 4" xfId="135"/>
    <cellStyle name="40% - Accent2 2 5" xfId="136"/>
    <cellStyle name="40% - Accent2 2_QC Sheet" xfId="137"/>
    <cellStyle name="40% - Accent2 3" xfId="138"/>
    <cellStyle name="40% - Accent2 4" xfId="139"/>
    <cellStyle name="40% - Accent3" xfId="140"/>
    <cellStyle name="40% - Accent3 2" xfId="141"/>
    <cellStyle name="40% - Accent3 2 2" xfId="142"/>
    <cellStyle name="40% - Accent3 2 2 2" xfId="143"/>
    <cellStyle name="40% - Accent3 2 2 3" xfId="144"/>
    <cellStyle name="40% - Accent3 2 2 4" xfId="145"/>
    <cellStyle name="40% - Accent3 2 3" xfId="146"/>
    <cellStyle name="40% - Accent3 2 4" xfId="147"/>
    <cellStyle name="40% - Accent3 2 5" xfId="148"/>
    <cellStyle name="40% - Accent3 2_QC Sheet" xfId="149"/>
    <cellStyle name="40% - Accent3 3" xfId="150"/>
    <cellStyle name="40% - Accent3 4" xfId="151"/>
    <cellStyle name="40% - Accent4" xfId="152"/>
    <cellStyle name="40% - Accent4 2" xfId="153"/>
    <cellStyle name="40% - Accent4 2 2" xfId="154"/>
    <cellStyle name="40% - Accent4 2 2 2" xfId="155"/>
    <cellStyle name="40% - Accent4 2 2 3" xfId="156"/>
    <cellStyle name="40% - Accent4 2 2 4" xfId="157"/>
    <cellStyle name="40% - Accent4 2 3" xfId="158"/>
    <cellStyle name="40% - Accent4 2 4" xfId="159"/>
    <cellStyle name="40% - Accent4 2 5" xfId="160"/>
    <cellStyle name="40% - Accent4 2_QC Sheet" xfId="161"/>
    <cellStyle name="40% - Accent4 3" xfId="162"/>
    <cellStyle name="40% - Accent4 4" xfId="163"/>
    <cellStyle name="40% - Accent5" xfId="164"/>
    <cellStyle name="40% - Accent5 2" xfId="165"/>
    <cellStyle name="40% - Accent5 2 2" xfId="166"/>
    <cellStyle name="40% - Accent5 2 2 2" xfId="167"/>
    <cellStyle name="40% - Accent5 2 2 3" xfId="168"/>
    <cellStyle name="40% - Accent5 2 2 4" xfId="169"/>
    <cellStyle name="40% - Accent5 2 3" xfId="170"/>
    <cellStyle name="40% - Accent5 2 4" xfId="171"/>
    <cellStyle name="40% - Accent5 2 5" xfId="172"/>
    <cellStyle name="40% - Accent5 2_QC Sheet" xfId="173"/>
    <cellStyle name="40% - Accent5 3" xfId="174"/>
    <cellStyle name="40% - Accent5 4" xfId="175"/>
    <cellStyle name="40% - Accent6" xfId="176"/>
    <cellStyle name="40% - Accent6 2" xfId="177"/>
    <cellStyle name="40% - Accent6 2 2" xfId="178"/>
    <cellStyle name="40% - Accent6 2 2 2" xfId="179"/>
    <cellStyle name="40% - Accent6 2 2 3" xfId="180"/>
    <cellStyle name="40% - Accent6 2 2 4" xfId="181"/>
    <cellStyle name="40% - Accent6 2 3" xfId="182"/>
    <cellStyle name="40% - Accent6 2 4" xfId="183"/>
    <cellStyle name="40% - Accent6 2 5" xfId="184"/>
    <cellStyle name="40% - Accent6 2_QC Sheet" xfId="185"/>
    <cellStyle name="40% - Accent6 3" xfId="186"/>
    <cellStyle name="40% - Accent6 4" xfId="187"/>
    <cellStyle name="60% - Accent1" xfId="188"/>
    <cellStyle name="60% - Accent1 2" xfId="189"/>
    <cellStyle name="60% - Accent1 2 2" xfId="190"/>
    <cellStyle name="60% - Accent1 2 2 2" xfId="191"/>
    <cellStyle name="60% - Accent1 2 2 3" xfId="192"/>
    <cellStyle name="60% - Accent1 2 2 4" xfId="193"/>
    <cellStyle name="60% - Accent1 2 3" xfId="194"/>
    <cellStyle name="60% - Accent1 2 4" xfId="195"/>
    <cellStyle name="60% - Accent1 2_QC Sheet" xfId="196"/>
    <cellStyle name="60% - Accent1 3" xfId="197"/>
    <cellStyle name="60% - Accent1 4" xfId="198"/>
    <cellStyle name="60% - Accent2" xfId="199"/>
    <cellStyle name="60% - Accent2 2" xfId="200"/>
    <cellStyle name="60% - Accent2 2 2" xfId="201"/>
    <cellStyle name="60% - Accent2 2 2 2" xfId="202"/>
    <cellStyle name="60% - Accent2 2 2 3" xfId="203"/>
    <cellStyle name="60% - Accent2 2 2 4" xfId="204"/>
    <cellStyle name="60% - Accent2 2 3" xfId="205"/>
    <cellStyle name="60% - Accent2 2 4" xfId="206"/>
    <cellStyle name="60% - Accent2 2_QC Sheet" xfId="207"/>
    <cellStyle name="60% - Accent2 3" xfId="208"/>
    <cellStyle name="60% - Accent2 4" xfId="209"/>
    <cellStyle name="60% - Accent3" xfId="210"/>
    <cellStyle name="60% - Accent3 2" xfId="211"/>
    <cellStyle name="60% - Accent3 2 2" xfId="212"/>
    <cellStyle name="60% - Accent3 2 2 2" xfId="213"/>
    <cellStyle name="60% - Accent3 2 2 3" xfId="214"/>
    <cellStyle name="60% - Accent3 2 2 4" xfId="215"/>
    <cellStyle name="60% - Accent3 2 3" xfId="216"/>
    <cellStyle name="60% - Accent3 2 4" xfId="217"/>
    <cellStyle name="60% - Accent3 2_QC Sheet" xfId="218"/>
    <cellStyle name="60% - Accent3 3" xfId="219"/>
    <cellStyle name="60% - Accent3 4" xfId="220"/>
    <cellStyle name="60% - Accent4" xfId="221"/>
    <cellStyle name="60% - Accent4 2" xfId="222"/>
    <cellStyle name="60% - Accent4 2 2" xfId="223"/>
    <cellStyle name="60% - Accent4 2 2 2" xfId="224"/>
    <cellStyle name="60% - Accent4 2 2 3" xfId="225"/>
    <cellStyle name="60% - Accent4 2 2 4" xfId="226"/>
    <cellStyle name="60% - Accent4 2 3" xfId="227"/>
    <cellStyle name="60% - Accent4 2 4" xfId="228"/>
    <cellStyle name="60% - Accent4 2_QC Sheet" xfId="229"/>
    <cellStyle name="60% - Accent4 3" xfId="230"/>
    <cellStyle name="60% - Accent4 4" xfId="231"/>
    <cellStyle name="60% - Accent5" xfId="232"/>
    <cellStyle name="60% - Accent5 2" xfId="233"/>
    <cellStyle name="60% - Accent5 2 2" xfId="234"/>
    <cellStyle name="60% - Accent5 2 2 2" xfId="235"/>
    <cellStyle name="60% - Accent5 2 2 3" xfId="236"/>
    <cellStyle name="60% - Accent5 2 2 4" xfId="237"/>
    <cellStyle name="60% - Accent5 2 3" xfId="238"/>
    <cellStyle name="60% - Accent5 2 4" xfId="239"/>
    <cellStyle name="60% - Accent5 2_QC Sheet" xfId="240"/>
    <cellStyle name="60% - Accent5 3" xfId="241"/>
    <cellStyle name="60% - Accent5 4" xfId="242"/>
    <cellStyle name="60% - Accent6" xfId="243"/>
    <cellStyle name="60% - Accent6 2" xfId="244"/>
    <cellStyle name="60% - Accent6 2 2" xfId="245"/>
    <cellStyle name="60% - Accent6 2 2 2" xfId="246"/>
    <cellStyle name="60% - Accent6 2 2 3" xfId="247"/>
    <cellStyle name="60% - Accent6 2 2 4" xfId="248"/>
    <cellStyle name="60% - Accent6 2 3" xfId="249"/>
    <cellStyle name="60% - Accent6 2 4" xfId="250"/>
    <cellStyle name="60% - Accent6 2_QC Sheet" xfId="251"/>
    <cellStyle name="60% - Accent6 3" xfId="252"/>
    <cellStyle name="60% - Accent6 4" xfId="253"/>
    <cellStyle name="Accent1" xfId="254"/>
    <cellStyle name="Accent1 2" xfId="255"/>
    <cellStyle name="Accent1 2 2" xfId="256"/>
    <cellStyle name="Accent1 2 2 2" xfId="257"/>
    <cellStyle name="Accent1 2 2 3" xfId="258"/>
    <cellStyle name="Accent1 2 2 4" xfId="259"/>
    <cellStyle name="Accent1 2 3" xfId="260"/>
    <cellStyle name="Accent1 2 4" xfId="261"/>
    <cellStyle name="Accent1 2_QC Sheet" xfId="262"/>
    <cellStyle name="Accent1 3" xfId="263"/>
    <cellStyle name="Accent1 4" xfId="264"/>
    <cellStyle name="Accent2" xfId="265"/>
    <cellStyle name="Accent2 2" xfId="266"/>
    <cellStyle name="Accent2 2 2" xfId="267"/>
    <cellStyle name="Accent2 2 2 2" xfId="268"/>
    <cellStyle name="Accent2 2 2 3" xfId="269"/>
    <cellStyle name="Accent2 2 2 4" xfId="270"/>
    <cellStyle name="Accent2 2 3" xfId="271"/>
    <cellStyle name="Accent2 2 4" xfId="272"/>
    <cellStyle name="Accent2 2_QC Sheet" xfId="273"/>
    <cellStyle name="Accent2 3" xfId="274"/>
    <cellStyle name="Accent2 4" xfId="275"/>
    <cellStyle name="Accent3" xfId="276"/>
    <cellStyle name="Accent3 2" xfId="277"/>
    <cellStyle name="Accent3 2 2" xfId="278"/>
    <cellStyle name="Accent3 2 2 2" xfId="279"/>
    <cellStyle name="Accent3 2 2 3" xfId="280"/>
    <cellStyle name="Accent3 2 2 4" xfId="281"/>
    <cellStyle name="Accent3 2 3" xfId="282"/>
    <cellStyle name="Accent3 2 4" xfId="283"/>
    <cellStyle name="Accent3 2_QC Sheet" xfId="284"/>
    <cellStyle name="Accent3 3" xfId="285"/>
    <cellStyle name="Accent3 4" xfId="286"/>
    <cellStyle name="Accent4" xfId="287"/>
    <cellStyle name="Accent4 2" xfId="288"/>
    <cellStyle name="Accent4 2 2" xfId="289"/>
    <cellStyle name="Accent4 2 2 2" xfId="290"/>
    <cellStyle name="Accent4 2 2 3" xfId="291"/>
    <cellStyle name="Accent4 2 2 4" xfId="292"/>
    <cellStyle name="Accent4 2 3" xfId="293"/>
    <cellStyle name="Accent4 2 4" xfId="294"/>
    <cellStyle name="Accent4 2_QC Sheet" xfId="295"/>
    <cellStyle name="Accent4 3" xfId="296"/>
    <cellStyle name="Accent4 4" xfId="297"/>
    <cellStyle name="Accent5" xfId="298"/>
    <cellStyle name="Accent5 2" xfId="299"/>
    <cellStyle name="Accent5 2 2" xfId="300"/>
    <cellStyle name="Accent5 2 2 2" xfId="301"/>
    <cellStyle name="Accent5 2 2 3" xfId="302"/>
    <cellStyle name="Accent5 2 2 4" xfId="303"/>
    <cellStyle name="Accent5 2 3" xfId="304"/>
    <cellStyle name="Accent5 2 4" xfId="305"/>
    <cellStyle name="Accent5 2_QC Sheet" xfId="306"/>
    <cellStyle name="Accent5 3" xfId="307"/>
    <cellStyle name="Accent5 4" xfId="308"/>
    <cellStyle name="Accent6" xfId="309"/>
    <cellStyle name="Accent6 2" xfId="310"/>
    <cellStyle name="Accent6 2 2" xfId="311"/>
    <cellStyle name="Accent6 2 2 2" xfId="312"/>
    <cellStyle name="Accent6 2 2 3" xfId="313"/>
    <cellStyle name="Accent6 2 2 4" xfId="314"/>
    <cellStyle name="Accent6 2 3" xfId="315"/>
    <cellStyle name="Accent6 2 4" xfId="316"/>
    <cellStyle name="Accent6 2_QC Sheet" xfId="317"/>
    <cellStyle name="Accent6 3" xfId="318"/>
    <cellStyle name="Accent6 4" xfId="319"/>
    <cellStyle name="Adjustable" xfId="320"/>
    <cellStyle name="Bad" xfId="321"/>
    <cellStyle name="Bad 2" xfId="322"/>
    <cellStyle name="Bad 2 2" xfId="323"/>
    <cellStyle name="Bad 2 2 2" xfId="324"/>
    <cellStyle name="Bad 2 2 3" xfId="325"/>
    <cellStyle name="Bad 2 2 4" xfId="326"/>
    <cellStyle name="Bad 2 3" xfId="327"/>
    <cellStyle name="Bad 2 4" xfId="328"/>
    <cellStyle name="Bad 2_QC Sheet" xfId="329"/>
    <cellStyle name="Bad 3" xfId="330"/>
    <cellStyle name="Bad 4" xfId="331"/>
    <cellStyle name="Calc Currency (0)" xfId="332"/>
    <cellStyle name="Calculation" xfId="333"/>
    <cellStyle name="Calculation 2" xfId="334"/>
    <cellStyle name="Calculation 2 2" xfId="335"/>
    <cellStyle name="Calculation 2 2 2" xfId="336"/>
    <cellStyle name="Calculation 2 2 3" xfId="337"/>
    <cellStyle name="Calculation 2 2 4" xfId="338"/>
    <cellStyle name="Calculation 2 3" xfId="339"/>
    <cellStyle name="Calculation 2 4" xfId="340"/>
    <cellStyle name="Calculation 2_QC" xfId="341"/>
    <cellStyle name="Calculation 3" xfId="342"/>
    <cellStyle name="Calculation 4" xfId="343"/>
    <cellStyle name="Check Cell" xfId="344"/>
    <cellStyle name="Check Cell 2" xfId="345"/>
    <cellStyle name="Check Cell 2 2" xfId="346"/>
    <cellStyle name="Check Cell 2 2 2" xfId="347"/>
    <cellStyle name="Check Cell 2 2 3" xfId="348"/>
    <cellStyle name="Check Cell 2 2 4" xfId="349"/>
    <cellStyle name="Check Cell 2 3" xfId="350"/>
    <cellStyle name="Check Cell 2 4" xfId="351"/>
    <cellStyle name="Check Cell 2_QC" xfId="352"/>
    <cellStyle name="Check Cell 3" xfId="353"/>
    <cellStyle name="Check Cell 4" xfId="354"/>
    <cellStyle name="Comma 0" xfId="355"/>
    <cellStyle name="Comma 10" xfId="356"/>
    <cellStyle name="Comma 10 2" xfId="357"/>
    <cellStyle name="Comma 10 2 2" xfId="358"/>
    <cellStyle name="Comma 10 3" xfId="359"/>
    <cellStyle name="Comma 10 4" xfId="360"/>
    <cellStyle name="Comma 11" xfId="361"/>
    <cellStyle name="Comma 11 2" xfId="362"/>
    <cellStyle name="Comma 11 3" xfId="363"/>
    <cellStyle name="Comma 11 3 2" xfId="364"/>
    <cellStyle name="Comma 11 3 3" xfId="365"/>
    <cellStyle name="Comma 12" xfId="366"/>
    <cellStyle name="Comma 13" xfId="367"/>
    <cellStyle name="Comma 13 2" xfId="368"/>
    <cellStyle name="Comma 13 3" xfId="369"/>
    <cellStyle name="Comma 14" xfId="370"/>
    <cellStyle name="Comma 15" xfId="371"/>
    <cellStyle name="Comma 15 2" xfId="372"/>
    <cellStyle name="Comma 16" xfId="373"/>
    <cellStyle name="Comma 16 2" xfId="374"/>
    <cellStyle name="Comma 16 3" xfId="375"/>
    <cellStyle name="Comma 17" xfId="376"/>
    <cellStyle name="Comma 18" xfId="377"/>
    <cellStyle name="Comma 2" xfId="378"/>
    <cellStyle name="Comma 2 2" xfId="379"/>
    <cellStyle name="Comma 2 2 2" xfId="380"/>
    <cellStyle name="Comma 2 2 2 2" xfId="381"/>
    <cellStyle name="Comma 2 2 2 3" xfId="382"/>
    <cellStyle name="Comma 2 3" xfId="383"/>
    <cellStyle name="Comma 2 4" xfId="384"/>
    <cellStyle name="Comma 2 4 2" xfId="385"/>
    <cellStyle name="Comma 2 4 3" xfId="386"/>
    <cellStyle name="Comma 2 5" xfId="387"/>
    <cellStyle name="Comma 2 6" xfId="388"/>
    <cellStyle name="Comma 2_BP-14 Preliminary Capital Forecast NonBudget System_5 2 13" xfId="389"/>
    <cellStyle name="Comma 3" xfId="390"/>
    <cellStyle name="Comma 3 10" xfId="391"/>
    <cellStyle name="Comma 3 11" xfId="392"/>
    <cellStyle name="Comma 3 12" xfId="393"/>
    <cellStyle name="Comma 3 12 2" xfId="394"/>
    <cellStyle name="Comma 3 2" xfId="395"/>
    <cellStyle name="Comma 3 2 2" xfId="396"/>
    <cellStyle name="Comma 3 2 2 2" xfId="397"/>
    <cellStyle name="Comma 3 2 2 2 2" xfId="398"/>
    <cellStyle name="Comma 3 2 2 2 3" xfId="399"/>
    <cellStyle name="Comma 3 2 2 3" xfId="400"/>
    <cellStyle name="Comma 3 2 2 3 2" xfId="401"/>
    <cellStyle name="Comma 3 2 2 3 3" xfId="402"/>
    <cellStyle name="Comma 3 2 2 3 3 2" xfId="403"/>
    <cellStyle name="Comma 3 2 2 3 3 3" xfId="404"/>
    <cellStyle name="Comma 3 2 2 4" xfId="405"/>
    <cellStyle name="Comma 3 2 2 5" xfId="406"/>
    <cellStyle name="Comma 3 2 2 5 2" xfId="407"/>
    <cellStyle name="Comma 3 2 2 5 3" xfId="408"/>
    <cellStyle name="Comma 3 2 2 6" xfId="409"/>
    <cellStyle name="Comma 3 2 2 7" xfId="410"/>
    <cellStyle name="Comma 3 2 2 8" xfId="411"/>
    <cellStyle name="Comma 3 2 3" xfId="412"/>
    <cellStyle name="Comma 3 2 3 2" xfId="413"/>
    <cellStyle name="Comma 3 2 3 3" xfId="414"/>
    <cellStyle name="Comma 3 2 3 4" xfId="415"/>
    <cellStyle name="Comma 3 2 4" xfId="416"/>
    <cellStyle name="Comma 3 2 4 2" xfId="417"/>
    <cellStyle name="Comma 3 2 5" xfId="418"/>
    <cellStyle name="Comma 3 2 5 2" xfId="419"/>
    <cellStyle name="Comma 3 2 5 3" xfId="420"/>
    <cellStyle name="Comma 3 2 5 3 2" xfId="421"/>
    <cellStyle name="Comma 3 2 5 3 3" xfId="422"/>
    <cellStyle name="Comma 3 2 6" xfId="423"/>
    <cellStyle name="Comma 3 2 7" xfId="424"/>
    <cellStyle name="Comma 3 2 8" xfId="425"/>
    <cellStyle name="Comma 3 2 9" xfId="426"/>
    <cellStyle name="Comma 3 3" xfId="427"/>
    <cellStyle name="Comma 3 3 2" xfId="428"/>
    <cellStyle name="Comma 3 3 3" xfId="429"/>
    <cellStyle name="Comma 3 3 4" xfId="430"/>
    <cellStyle name="Comma 3 4" xfId="431"/>
    <cellStyle name="Comma 3 4 2" xfId="432"/>
    <cellStyle name="Comma 3 4 2 2" xfId="433"/>
    <cellStyle name="Comma 3 4 2 3" xfId="434"/>
    <cellStyle name="Comma 3 4 2 3 2" xfId="435"/>
    <cellStyle name="Comma 3 4 2 3 3" xfId="436"/>
    <cellStyle name="Comma 3 4 3" xfId="437"/>
    <cellStyle name="Comma 3 4 3 2" xfId="438"/>
    <cellStyle name="Comma 3 4 3 3" xfId="439"/>
    <cellStyle name="Comma 3 4 4" xfId="440"/>
    <cellStyle name="Comma 3 4 5" xfId="441"/>
    <cellStyle name="Comma 3 5" xfId="442"/>
    <cellStyle name="Comma 3 5 2" xfId="443"/>
    <cellStyle name="Comma 3 5 2 2" xfId="444"/>
    <cellStyle name="Comma 3 5 2 3" xfId="445"/>
    <cellStyle name="Comma 3 5 2 3 2" xfId="446"/>
    <cellStyle name="Comma 3 5 2 3 3" xfId="447"/>
    <cellStyle name="Comma 3 5 3" xfId="448"/>
    <cellStyle name="Comma 3 5 3 2" xfId="449"/>
    <cellStyle name="Comma 3 5 3 3" xfId="450"/>
    <cellStyle name="Comma 3 5 4" xfId="451"/>
    <cellStyle name="Comma 3 5 5" xfId="452"/>
    <cellStyle name="Comma 3 6" xfId="453"/>
    <cellStyle name="Comma 3 6 2" xfId="454"/>
    <cellStyle name="Comma 3 6 2 2" xfId="455"/>
    <cellStyle name="Comma 3 6 2 3" xfId="456"/>
    <cellStyle name="Comma 3 7" xfId="457"/>
    <cellStyle name="Comma 3 8" xfId="458"/>
    <cellStyle name="Comma 3 8 2" xfId="459"/>
    <cellStyle name="Comma 3 9" xfId="460"/>
    <cellStyle name="Comma 3 9 2" xfId="461"/>
    <cellStyle name="Comma 3 9 3" xfId="462"/>
    <cellStyle name="Comma 3 9 3 2" xfId="463"/>
    <cellStyle name="Comma 3 9 3 3" xfId="464"/>
    <cellStyle name="Comma 4" xfId="465"/>
    <cellStyle name="Comma 4 2" xfId="466"/>
    <cellStyle name="Comma 4 2 2" xfId="467"/>
    <cellStyle name="Comma 4 2 2 2" xfId="468"/>
    <cellStyle name="Comma 4 2 2 3" xfId="469"/>
    <cellStyle name="Comma 4 2 3" xfId="470"/>
    <cellStyle name="Comma 4 2 4" xfId="471"/>
    <cellStyle name="Comma 4 2 4 2" xfId="472"/>
    <cellStyle name="Comma 4 2 4 3" xfId="473"/>
    <cellStyle name="Comma 4 2 4 3 2" xfId="474"/>
    <cellStyle name="Comma 4 2 4 3 3" xfId="475"/>
    <cellStyle name="Comma 4 2 5" xfId="476"/>
    <cellStyle name="Comma 4 2 5 2" xfId="477"/>
    <cellStyle name="Comma 4 2 5 3" xfId="478"/>
    <cellStyle name="Comma 4 2 6" xfId="479"/>
    <cellStyle name="Comma 4 2 7" xfId="480"/>
    <cellStyle name="Comma 4 2 8" xfId="481"/>
    <cellStyle name="Comma 5" xfId="482"/>
    <cellStyle name="Comma 5 2" xfId="483"/>
    <cellStyle name="Comma 5 3" xfId="484"/>
    <cellStyle name="Comma 5 4" xfId="485"/>
    <cellStyle name="Comma 6" xfId="486"/>
    <cellStyle name="Comma 6 2" xfId="487"/>
    <cellStyle name="Comma 6 2 2" xfId="488"/>
    <cellStyle name="Comma 6 2 3" xfId="489"/>
    <cellStyle name="Comma 6 2 4" xfId="490"/>
    <cellStyle name="Comma 6 3" xfId="491"/>
    <cellStyle name="Comma 6 3 2" xfId="492"/>
    <cellStyle name="Comma 6 4" xfId="493"/>
    <cellStyle name="Comma 6 4 2" xfId="494"/>
    <cellStyle name="Comma 6 5" xfId="495"/>
    <cellStyle name="Comma 6 6" xfId="496"/>
    <cellStyle name="Comma 6 6 2" xfId="497"/>
    <cellStyle name="Comma 6 6 3" xfId="498"/>
    <cellStyle name="Comma 6 6 3 2" xfId="499"/>
    <cellStyle name="Comma 6 6 3 3" xfId="500"/>
    <cellStyle name="Comma 6 7" xfId="501"/>
    <cellStyle name="Comma 6 7 2" xfId="502"/>
    <cellStyle name="Comma 6 7 3" xfId="503"/>
    <cellStyle name="Comma 6 8" xfId="504"/>
    <cellStyle name="Comma 7" xfId="505"/>
    <cellStyle name="Comma 7 2" xfId="506"/>
    <cellStyle name="Comma 7 3" xfId="507"/>
    <cellStyle name="Comma 7 4" xfId="508"/>
    <cellStyle name="Comma 7 5" xfId="509"/>
    <cellStyle name="Comma 8" xfId="510"/>
    <cellStyle name="Comma 8 2" xfId="511"/>
    <cellStyle name="Comma 8 3" xfId="512"/>
    <cellStyle name="Comma 8 4" xfId="513"/>
    <cellStyle name="Comma 8 5" xfId="514"/>
    <cellStyle name="Comma 9" xfId="515"/>
    <cellStyle name="Comma 9 2" xfId="516"/>
    <cellStyle name="Comma 9 3" xfId="517"/>
    <cellStyle name="Comma0" xfId="518"/>
    <cellStyle name="Comma0 - Style4" xfId="519"/>
    <cellStyle name="Copied" xfId="520"/>
    <cellStyle name="COST1" xfId="521"/>
    <cellStyle name="Curren - Style1" xfId="522"/>
    <cellStyle name="Curren - Style5" xfId="523"/>
    <cellStyle name="Currency 0" xfId="524"/>
    <cellStyle name="Currency 2" xfId="525"/>
    <cellStyle name="Currency 2 2" xfId="526"/>
    <cellStyle name="Currency 2 3" xfId="527"/>
    <cellStyle name="Currency 2 4" xfId="528"/>
    <cellStyle name="Currency 3" xfId="529"/>
    <cellStyle name="Currency 4" xfId="530"/>
    <cellStyle name="Currency 4 2" xfId="531"/>
    <cellStyle name="Currency 4 3" xfId="532"/>
    <cellStyle name="Currency 5" xfId="533"/>
    <cellStyle name="Currency 6" xfId="534"/>
    <cellStyle name="Currency 7" xfId="535"/>
    <cellStyle name="Currency 8" xfId="536"/>
    <cellStyle name="Currency 9" xfId="537"/>
    <cellStyle name="Currency0" xfId="538"/>
    <cellStyle name="Date" xfId="539"/>
    <cellStyle name="Date Aligned" xfId="540"/>
    <cellStyle name="Dotted Line" xfId="541"/>
    <cellStyle name="Entered" xfId="542"/>
    <cellStyle name="Explanatory Text" xfId="543"/>
    <cellStyle name="Explanatory Text 2" xfId="544"/>
    <cellStyle name="Explanatory Text 2 2" xfId="545"/>
    <cellStyle name="Explanatory Text 2 2 2" xfId="546"/>
    <cellStyle name="Explanatory Text 2 2 3" xfId="547"/>
    <cellStyle name="Explanatory Text 2 2 4" xfId="548"/>
    <cellStyle name="Explanatory Text 2 3" xfId="549"/>
    <cellStyle name="Explanatory Text 2 4" xfId="550"/>
    <cellStyle name="Explanatory Text 2_QC Sheet" xfId="551"/>
    <cellStyle name="Explanatory Text 3" xfId="552"/>
    <cellStyle name="Explanatory Text 4" xfId="553"/>
    <cellStyle name="Fixed" xfId="554"/>
    <cellStyle name="Fixed3 - Style3" xfId="555"/>
    <cellStyle name="Footnote" xfId="556"/>
    <cellStyle name="Good" xfId="557"/>
    <cellStyle name="Good 2" xfId="558"/>
    <cellStyle name="Good 2 2" xfId="559"/>
    <cellStyle name="Good 2 2 2" xfId="560"/>
    <cellStyle name="Good 2 2 3" xfId="561"/>
    <cellStyle name="Good 2 2 4" xfId="562"/>
    <cellStyle name="Good 2 3" xfId="563"/>
    <cellStyle name="Good 2 4" xfId="564"/>
    <cellStyle name="Good 2_QC Sheet" xfId="565"/>
    <cellStyle name="Good 3" xfId="566"/>
    <cellStyle name="Good 4" xfId="567"/>
    <cellStyle name="Grey" xfId="568"/>
    <cellStyle name="Hard Percent" xfId="569"/>
    <cellStyle name="Header" xfId="570"/>
    <cellStyle name="Header1" xfId="571"/>
    <cellStyle name="Header2" xfId="572"/>
    <cellStyle name="Heading 1" xfId="573"/>
    <cellStyle name="Heading 1 2" xfId="574"/>
    <cellStyle name="Heading 1 2 2" xfId="575"/>
    <cellStyle name="Heading 1 2 2 2" xfId="576"/>
    <cellStyle name="Heading 1 2 2 3" xfId="577"/>
    <cellStyle name="Heading 1 2 3" xfId="578"/>
    <cellStyle name="Heading 1 2 4" xfId="579"/>
    <cellStyle name="Heading 1 2_QC" xfId="580"/>
    <cellStyle name="Heading 1 3" xfId="581"/>
    <cellStyle name="Heading 1 4" xfId="582"/>
    <cellStyle name="Heading 2" xfId="583"/>
    <cellStyle name="Heading 2 2" xfId="584"/>
    <cellStyle name="Heading 2 2 2" xfId="585"/>
    <cellStyle name="Heading 2 2 2 2" xfId="586"/>
    <cellStyle name="Heading 2 2 2 3" xfId="587"/>
    <cellStyle name="Heading 2 2 3" xfId="588"/>
    <cellStyle name="Heading 2 2 4" xfId="589"/>
    <cellStyle name="Heading 2 2_QC" xfId="590"/>
    <cellStyle name="Heading 2 3" xfId="591"/>
    <cellStyle name="Heading 2 4" xfId="592"/>
    <cellStyle name="Heading 3" xfId="593"/>
    <cellStyle name="Heading 3 2" xfId="594"/>
    <cellStyle name="Heading 3 2 2" xfId="595"/>
    <cellStyle name="Heading 3 2 2 2" xfId="596"/>
    <cellStyle name="Heading 3 2 2 3" xfId="597"/>
    <cellStyle name="Heading 3 2 3" xfId="598"/>
    <cellStyle name="Heading 3 2 4" xfId="599"/>
    <cellStyle name="Heading 3 2_QC" xfId="600"/>
    <cellStyle name="Heading 3 3" xfId="601"/>
    <cellStyle name="Heading 3 4" xfId="602"/>
    <cellStyle name="Heading 4" xfId="603"/>
    <cellStyle name="Heading 4 2" xfId="604"/>
    <cellStyle name="Heading 4 2 2" xfId="605"/>
    <cellStyle name="Heading 4 2 2 2" xfId="606"/>
    <cellStyle name="Heading 4 2 2 3" xfId="607"/>
    <cellStyle name="Heading 4 2 3" xfId="608"/>
    <cellStyle name="Heading 4 2 4" xfId="609"/>
    <cellStyle name="Heading 4 3" xfId="610"/>
    <cellStyle name="Heading 4 4" xfId="611"/>
    <cellStyle name="Heading1" xfId="612"/>
    <cellStyle name="Heading2" xfId="613"/>
    <cellStyle name="Hyperlink 2" xfId="614"/>
    <cellStyle name="Hyperlink 3" xfId="615"/>
    <cellStyle name="Hyperlink 3 2" xfId="616"/>
    <cellStyle name="Hyperlink 3 3" xfId="617"/>
    <cellStyle name="Hyperlink 4" xfId="618"/>
    <cellStyle name="Hyperlink 4 2" xfId="619"/>
    <cellStyle name="Hyperlink 4 3" xfId="620"/>
    <cellStyle name="Hyperlink 5" xfId="621"/>
    <cellStyle name="Hyperlink 5 2" xfId="622"/>
    <cellStyle name="Hyperlink 5 3" xfId="623"/>
    <cellStyle name="Hyperlink 6" xfId="624"/>
    <cellStyle name="Input" xfId="625"/>
    <cellStyle name="Input [yellow]" xfId="626"/>
    <cellStyle name="Input 2" xfId="627"/>
    <cellStyle name="Input 2 2" xfId="628"/>
    <cellStyle name="Input 2 2 2" xfId="629"/>
    <cellStyle name="Input 2 2 3" xfId="630"/>
    <cellStyle name="Input 2 2 4" xfId="631"/>
    <cellStyle name="Input 2 3" xfId="632"/>
    <cellStyle name="Input 2 4" xfId="633"/>
    <cellStyle name="Input 2_QC" xfId="634"/>
    <cellStyle name="Input 3" xfId="635"/>
    <cellStyle name="Input 4" xfId="636"/>
    <cellStyle name="Input 5" xfId="637"/>
    <cellStyle name="Input 6" xfId="638"/>
    <cellStyle name="Input 7" xfId="639"/>
    <cellStyle name="Input 8" xfId="640"/>
    <cellStyle name="Input 9" xfId="641"/>
    <cellStyle name="Input Cells" xfId="642"/>
    <cellStyle name="Lines" xfId="643"/>
    <cellStyle name="Linked Cell" xfId="644"/>
    <cellStyle name="Linked Cell 2" xfId="645"/>
    <cellStyle name="Linked Cell 2 2" xfId="646"/>
    <cellStyle name="Linked Cell 2 2 2" xfId="647"/>
    <cellStyle name="Linked Cell 2 2 3" xfId="648"/>
    <cellStyle name="Linked Cell 2 3" xfId="649"/>
    <cellStyle name="Linked Cell 2_QC" xfId="650"/>
    <cellStyle name="Linked Cell 3" xfId="651"/>
    <cellStyle name="Linked Cell 4" xfId="652"/>
    <cellStyle name="modified border" xfId="653"/>
    <cellStyle name="modified border1" xfId="654"/>
    <cellStyle name="Multiple" xfId="655"/>
    <cellStyle name="Neutral" xfId="656"/>
    <cellStyle name="Neutral 2" xfId="657"/>
    <cellStyle name="Neutral 2 2" xfId="658"/>
    <cellStyle name="Neutral 2 2 2" xfId="659"/>
    <cellStyle name="Neutral 2 2 3" xfId="660"/>
    <cellStyle name="Neutral 2 3" xfId="661"/>
    <cellStyle name="Neutral 2_QC Sheet" xfId="662"/>
    <cellStyle name="Neutral 3" xfId="663"/>
    <cellStyle name="Neutral 4" xfId="664"/>
    <cellStyle name="no dec" xfId="665"/>
    <cellStyle name="Normal - Style1" xfId="666"/>
    <cellStyle name="Normal 10" xfId="667"/>
    <cellStyle name="Normal 10 2" xfId="668"/>
    <cellStyle name="Normal 10 3" xfId="669"/>
    <cellStyle name="Normal 100" xfId="670"/>
    <cellStyle name="Normal 101" xfId="671"/>
    <cellStyle name="Normal 102" xfId="672"/>
    <cellStyle name="Normal 103" xfId="673"/>
    <cellStyle name="Normal 104" xfId="674"/>
    <cellStyle name="Normal 105" xfId="675"/>
    <cellStyle name="Normal 106" xfId="676"/>
    <cellStyle name="Normal 107" xfId="677"/>
    <cellStyle name="Normal 108" xfId="678"/>
    <cellStyle name="Normal 109" xfId="679"/>
    <cellStyle name="Normal 109 2" xfId="680"/>
    <cellStyle name="Normal 11" xfId="681"/>
    <cellStyle name="Normal 11 2" xfId="682"/>
    <cellStyle name="Normal 11 3" xfId="683"/>
    <cellStyle name="Normal 11 3 2" xfId="684"/>
    <cellStyle name="Normal 11 3 3" xfId="685"/>
    <cellStyle name="Normal 110" xfId="686"/>
    <cellStyle name="Normal 110 2" xfId="687"/>
    <cellStyle name="Normal 111" xfId="688"/>
    <cellStyle name="Normal 111 2" xfId="689"/>
    <cellStyle name="Normal 112" xfId="690"/>
    <cellStyle name="Normal 112 2" xfId="691"/>
    <cellStyle name="Normal 113" xfId="692"/>
    <cellStyle name="Normal 113 2" xfId="693"/>
    <cellStyle name="Normal 114" xfId="694"/>
    <cellStyle name="Normal 114 2" xfId="695"/>
    <cellStyle name="Normal 115" xfId="696"/>
    <cellStyle name="Normal 115 2" xfId="697"/>
    <cellStyle name="Normal 116" xfId="698"/>
    <cellStyle name="Normal 117" xfId="699"/>
    <cellStyle name="Normal 118" xfId="700"/>
    <cellStyle name="Normal 119" xfId="701"/>
    <cellStyle name="Normal 12" xfId="702"/>
    <cellStyle name="Normal 120" xfId="703"/>
    <cellStyle name="Normal 121" xfId="704"/>
    <cellStyle name="Normal 122" xfId="705"/>
    <cellStyle name="Normal 123" xfId="706"/>
    <cellStyle name="Normal 124" xfId="707"/>
    <cellStyle name="Normal 125" xfId="708"/>
    <cellStyle name="Normal 126" xfId="709"/>
    <cellStyle name="Normal 127" xfId="710"/>
    <cellStyle name="Normal 128" xfId="711"/>
    <cellStyle name="Normal 129" xfId="712"/>
    <cellStyle name="Normal 13" xfId="713"/>
    <cellStyle name="Normal 13 2" xfId="714"/>
    <cellStyle name="Normal 130" xfId="715"/>
    <cellStyle name="Normal 131" xfId="716"/>
    <cellStyle name="Normal 132" xfId="717"/>
    <cellStyle name="Normal 132 2" xfId="718"/>
    <cellStyle name="Normal 133" xfId="719"/>
    <cellStyle name="Normal 133 2" xfId="720"/>
    <cellStyle name="Normal 134" xfId="721"/>
    <cellStyle name="Normal 134 2" xfId="722"/>
    <cellStyle name="Normal 135" xfId="723"/>
    <cellStyle name="Normal 135 2" xfId="724"/>
    <cellStyle name="Normal 136" xfId="725"/>
    <cellStyle name="Normal 136 2" xfId="726"/>
    <cellStyle name="Normal 137" xfId="727"/>
    <cellStyle name="Normal 137 2" xfId="728"/>
    <cellStyle name="Normal 138" xfId="729"/>
    <cellStyle name="Normal 138 2" xfId="730"/>
    <cellStyle name="Normal 139" xfId="731"/>
    <cellStyle name="Normal 139 2" xfId="732"/>
    <cellStyle name="Normal 14" xfId="733"/>
    <cellStyle name="Normal 140" xfId="734"/>
    <cellStyle name="Normal 140 2" xfId="735"/>
    <cellStyle name="Normal 141" xfId="736"/>
    <cellStyle name="Normal 141 2" xfId="737"/>
    <cellStyle name="Normal 142" xfId="738"/>
    <cellStyle name="Normal 142 2" xfId="739"/>
    <cellStyle name="Normal 143" xfId="740"/>
    <cellStyle name="Normal 143 2" xfId="741"/>
    <cellStyle name="Normal 144" xfId="742"/>
    <cellStyle name="Normal 145" xfId="743"/>
    <cellStyle name="Normal 146" xfId="744"/>
    <cellStyle name="Normal 147" xfId="745"/>
    <cellStyle name="Normal 148" xfId="746"/>
    <cellStyle name="Normal 149" xfId="747"/>
    <cellStyle name="Normal 15" xfId="748"/>
    <cellStyle name="Normal 150" xfId="749"/>
    <cellStyle name="Normal 151" xfId="750"/>
    <cellStyle name="Normal 152" xfId="751"/>
    <cellStyle name="Normal 153" xfId="752"/>
    <cellStyle name="Normal 154" xfId="753"/>
    <cellStyle name="Normal 155" xfId="754"/>
    <cellStyle name="Normal 156" xfId="755"/>
    <cellStyle name="Normal 157" xfId="756"/>
    <cellStyle name="Normal 158" xfId="757"/>
    <cellStyle name="Normal 159" xfId="758"/>
    <cellStyle name="Normal 16" xfId="759"/>
    <cellStyle name="Normal 160" xfId="760"/>
    <cellStyle name="Normal 161" xfId="761"/>
    <cellStyle name="Normal 162" xfId="762"/>
    <cellStyle name="Normal 163" xfId="763"/>
    <cellStyle name="Normal 164" xfId="764"/>
    <cellStyle name="Normal 165" xfId="765"/>
    <cellStyle name="Normal 166" xfId="766"/>
    <cellStyle name="Normal 167" xfId="767"/>
    <cellStyle name="Normal 168" xfId="768"/>
    <cellStyle name="Normal 168 2" xfId="769"/>
    <cellStyle name="Normal 169" xfId="770"/>
    <cellStyle name="Normal 169 2" xfId="771"/>
    <cellStyle name="Normal 17" xfId="772"/>
    <cellStyle name="Normal 170" xfId="773"/>
    <cellStyle name="Normal 170 2" xfId="774"/>
    <cellStyle name="Normal 171" xfId="775"/>
    <cellStyle name="Normal 171 2" xfId="776"/>
    <cellStyle name="Normal 172" xfId="777"/>
    <cellStyle name="Normal 173" xfId="778"/>
    <cellStyle name="Normal 174" xfId="779"/>
    <cellStyle name="Normal 175" xfId="780"/>
    <cellStyle name="Normal 176" xfId="781"/>
    <cellStyle name="Normal 177" xfId="782"/>
    <cellStyle name="Normal 178" xfId="783"/>
    <cellStyle name="Normal 179" xfId="784"/>
    <cellStyle name="Normal 18" xfId="785"/>
    <cellStyle name="Normal 18 2" xfId="786"/>
    <cellStyle name="Normal 18 3" xfId="787"/>
    <cellStyle name="Normal 18 3 2" xfId="788"/>
    <cellStyle name="Normal 18 3 3" xfId="789"/>
    <cellStyle name="Normal 180" xfId="790"/>
    <cellStyle name="Normal 181" xfId="791"/>
    <cellStyle name="Normal 182" xfId="792"/>
    <cellStyle name="Normal 182 2" xfId="793"/>
    <cellStyle name="Normal 182 3" xfId="794"/>
    <cellStyle name="Normal 183" xfId="795"/>
    <cellStyle name="Normal 183 2" xfId="796"/>
    <cellStyle name="Normal 183 3" xfId="797"/>
    <cellStyle name="Normal 184" xfId="798"/>
    <cellStyle name="Normal 184 2" xfId="799"/>
    <cellStyle name="Normal 184 3" xfId="800"/>
    <cellStyle name="Normal 185" xfId="801"/>
    <cellStyle name="Normal 185 2" xfId="802"/>
    <cellStyle name="Normal 185 2 2" xfId="803"/>
    <cellStyle name="Normal 185 2 3" xfId="804"/>
    <cellStyle name="Normal 185 3" xfId="805"/>
    <cellStyle name="Normal 186" xfId="806"/>
    <cellStyle name="Normal 187" xfId="807"/>
    <cellStyle name="Normal 188" xfId="808"/>
    <cellStyle name="Normal 189" xfId="809"/>
    <cellStyle name="Normal 19" xfId="810"/>
    <cellStyle name="Normal 190" xfId="811"/>
    <cellStyle name="Normal 191" xfId="812"/>
    <cellStyle name="Normal 192" xfId="813"/>
    <cellStyle name="Normal 193" xfId="814"/>
    <cellStyle name="Normal 194" xfId="815"/>
    <cellStyle name="Normal 195" xfId="816"/>
    <cellStyle name="Normal 196" xfId="817"/>
    <cellStyle name="Normal 197" xfId="818"/>
    <cellStyle name="Normal 198" xfId="819"/>
    <cellStyle name="Normal 199" xfId="820"/>
    <cellStyle name="Normal 199 2" xfId="821"/>
    <cellStyle name="Normal 199 3" xfId="822"/>
    <cellStyle name="Normal 2" xfId="823"/>
    <cellStyle name="Normal 2 2" xfId="824"/>
    <cellStyle name="Normal 2 3" xfId="825"/>
    <cellStyle name="Normal 2_Federal Interest Calculation Su" xfId="826"/>
    <cellStyle name="Normal 20" xfId="827"/>
    <cellStyle name="Normal 20 2" xfId="828"/>
    <cellStyle name="Normal 20 3" xfId="829"/>
    <cellStyle name="Normal 20 3 2" xfId="830"/>
    <cellStyle name="Normal 20 3 3" xfId="831"/>
    <cellStyle name="Normal 200" xfId="832"/>
    <cellStyle name="Normal 201" xfId="833"/>
    <cellStyle name="Normal 202" xfId="834"/>
    <cellStyle name="Normal 203" xfId="835"/>
    <cellStyle name="Normal 204" xfId="836"/>
    <cellStyle name="Normal 205" xfId="837"/>
    <cellStyle name="Normal 206" xfId="838"/>
    <cellStyle name="Normal 207" xfId="839"/>
    <cellStyle name="Normal 208" xfId="840"/>
    <cellStyle name="Normal 208 2" xfId="841"/>
    <cellStyle name="Normal 209" xfId="842"/>
    <cellStyle name="Normal 209 2" xfId="843"/>
    <cellStyle name="Normal 21" xfId="844"/>
    <cellStyle name="Normal 210" xfId="845"/>
    <cellStyle name="Normal 211" xfId="846"/>
    <cellStyle name="Normal 211 2" xfId="847"/>
    <cellStyle name="Normal 211 3" xfId="848"/>
    <cellStyle name="Normal 212" xfId="849"/>
    <cellStyle name="Normal 212 2" xfId="850"/>
    <cellStyle name="Normal 212 3" xfId="851"/>
    <cellStyle name="Normal 213" xfId="852"/>
    <cellStyle name="Normal 213 2" xfId="853"/>
    <cellStyle name="Normal 213 3" xfId="854"/>
    <cellStyle name="Normal 214" xfId="855"/>
    <cellStyle name="Normal 214 2" xfId="856"/>
    <cellStyle name="Normal 214 3" xfId="857"/>
    <cellStyle name="Normal 215" xfId="858"/>
    <cellStyle name="Normal 215 2" xfId="859"/>
    <cellStyle name="Normal 215 3" xfId="860"/>
    <cellStyle name="Normal 216" xfId="861"/>
    <cellStyle name="Normal 216 2" xfId="862"/>
    <cellStyle name="Normal 217" xfId="863"/>
    <cellStyle name="Normal 217 2" xfId="864"/>
    <cellStyle name="Normal 218" xfId="865"/>
    <cellStyle name="Normal 218 2" xfId="866"/>
    <cellStyle name="Normal 219" xfId="867"/>
    <cellStyle name="Normal 219 2" xfId="868"/>
    <cellStyle name="Normal 22" xfId="869"/>
    <cellStyle name="Normal 220" xfId="870"/>
    <cellStyle name="Normal 221" xfId="871"/>
    <cellStyle name="Normal 221 2" xfId="872"/>
    <cellStyle name="Normal 222" xfId="873"/>
    <cellStyle name="Normal 222 2" xfId="874"/>
    <cellStyle name="Normal 223" xfId="875"/>
    <cellStyle name="Normal 224" xfId="876"/>
    <cellStyle name="Normal 225" xfId="877"/>
    <cellStyle name="Normal 226" xfId="878"/>
    <cellStyle name="Normal 227" xfId="879"/>
    <cellStyle name="Normal 228" xfId="880"/>
    <cellStyle name="Normal 229" xfId="881"/>
    <cellStyle name="Normal 23" xfId="882"/>
    <cellStyle name="Normal 230" xfId="883"/>
    <cellStyle name="Normal 231" xfId="884"/>
    <cellStyle name="Normal 232" xfId="885"/>
    <cellStyle name="Normal 233" xfId="886"/>
    <cellStyle name="Normal 234" xfId="887"/>
    <cellStyle name="Normal 235" xfId="888"/>
    <cellStyle name="Normal 236" xfId="889"/>
    <cellStyle name="Normal 237" xfId="890"/>
    <cellStyle name="Normal 238" xfId="891"/>
    <cellStyle name="Normal 239" xfId="892"/>
    <cellStyle name="Normal 24" xfId="893"/>
    <cellStyle name="Normal 240" xfId="894"/>
    <cellStyle name="Normal 241" xfId="895"/>
    <cellStyle name="Normal 242" xfId="896"/>
    <cellStyle name="Normal 243" xfId="897"/>
    <cellStyle name="Normal 244" xfId="898"/>
    <cellStyle name="Normal 245" xfId="899"/>
    <cellStyle name="Normal 246" xfId="900"/>
    <cellStyle name="Normal 247" xfId="901"/>
    <cellStyle name="Normal 248" xfId="902"/>
    <cellStyle name="Normal 249" xfId="903"/>
    <cellStyle name="Normal 25" xfId="904"/>
    <cellStyle name="Normal 250" xfId="905"/>
    <cellStyle name="Normal 251" xfId="906"/>
    <cellStyle name="Normal 252" xfId="907"/>
    <cellStyle name="Normal 253" xfId="908"/>
    <cellStyle name="Normal 254" xfId="909"/>
    <cellStyle name="Normal 255" xfId="910"/>
    <cellStyle name="Normal 256" xfId="911"/>
    <cellStyle name="Normal 257" xfId="912"/>
    <cellStyle name="Normal 258" xfId="913"/>
    <cellStyle name="Normal 259" xfId="914"/>
    <cellStyle name="Normal 26" xfId="915"/>
    <cellStyle name="Normal 260" xfId="916"/>
    <cellStyle name="Normal 261" xfId="917"/>
    <cellStyle name="Normal 262" xfId="918"/>
    <cellStyle name="Normal 263" xfId="919"/>
    <cellStyle name="Normal 264" xfId="920"/>
    <cellStyle name="Normal 265" xfId="921"/>
    <cellStyle name="Normal 266" xfId="922"/>
    <cellStyle name="Normal 267" xfId="923"/>
    <cellStyle name="Normal 268" xfId="924"/>
    <cellStyle name="Normal 269" xfId="925"/>
    <cellStyle name="Normal 27" xfId="926"/>
    <cellStyle name="Normal 270" xfId="927"/>
    <cellStyle name="Normal 271" xfId="928"/>
    <cellStyle name="Normal 272" xfId="929"/>
    <cellStyle name="Normal 273" xfId="930"/>
    <cellStyle name="Normal 274" xfId="931"/>
    <cellStyle name="Normal 275" xfId="932"/>
    <cellStyle name="Normal 276" xfId="933"/>
    <cellStyle name="Normal 277" xfId="934"/>
    <cellStyle name="Normal 278" xfId="935"/>
    <cellStyle name="Normal 28" xfId="936"/>
    <cellStyle name="Normal 29" xfId="937"/>
    <cellStyle name="Normal 3" xfId="938"/>
    <cellStyle name="Normal 3 2" xfId="939"/>
    <cellStyle name="Normal 3 2 2" xfId="940"/>
    <cellStyle name="Normal 3 2 3" xfId="941"/>
    <cellStyle name="Normal 3 2 4" xfId="942"/>
    <cellStyle name="Normal 3 3" xfId="943"/>
    <cellStyle name="Normal 3 3 2" xfId="944"/>
    <cellStyle name="Normal 3 3 2 2" xfId="945"/>
    <cellStyle name="Normal 3 3 2 3" xfId="946"/>
    <cellStyle name="Normal 3 3 3" xfId="947"/>
    <cellStyle name="Normal 3 3 4" xfId="948"/>
    <cellStyle name="Normal 3_710 CFS; full sustain + full expand (static-like)" xfId="949"/>
    <cellStyle name="Normal 30" xfId="950"/>
    <cellStyle name="Normal 31" xfId="951"/>
    <cellStyle name="Normal 32" xfId="952"/>
    <cellStyle name="Normal 33" xfId="953"/>
    <cellStyle name="Normal 34" xfId="954"/>
    <cellStyle name="Normal 35" xfId="955"/>
    <cellStyle name="Normal 36" xfId="956"/>
    <cellStyle name="Normal 37" xfId="957"/>
    <cellStyle name="Normal 38" xfId="958"/>
    <cellStyle name="Normal 39" xfId="959"/>
    <cellStyle name="Normal 4" xfId="960"/>
    <cellStyle name="Normal 4 10" xfId="961"/>
    <cellStyle name="Normal 4 2" xfId="962"/>
    <cellStyle name="Normal 4 2 2" xfId="963"/>
    <cellStyle name="Normal 4 2 2 2" xfId="964"/>
    <cellStyle name="Normal 4 2 2 2 2" xfId="965"/>
    <cellStyle name="Normal 4 2 2 2 3" xfId="966"/>
    <cellStyle name="Normal 4 2 2 3" xfId="967"/>
    <cellStyle name="Normal 4 2 2 4" xfId="968"/>
    <cellStyle name="Normal 4 2 3" xfId="969"/>
    <cellStyle name="Normal 4 2 3 2" xfId="970"/>
    <cellStyle name="Normal 4 2 3 3" xfId="971"/>
    <cellStyle name="Normal 4 2 4" xfId="972"/>
    <cellStyle name="Normal 4 2 5" xfId="973"/>
    <cellStyle name="Normal 4 2_Federal Interest Calculation Su" xfId="974"/>
    <cellStyle name="Normal 4 3" xfId="975"/>
    <cellStyle name="Normal 4 3 2" xfId="976"/>
    <cellStyle name="Normal 4 3 2 2" xfId="977"/>
    <cellStyle name="Normal 4 3 2 3" xfId="978"/>
    <cellStyle name="Normal 4 3 3" xfId="979"/>
    <cellStyle name="Normal 4 3 4" xfId="980"/>
    <cellStyle name="Normal 4 3 5" xfId="981"/>
    <cellStyle name="Normal 4 3 6" xfId="982"/>
    <cellStyle name="Normal 4 4" xfId="983"/>
    <cellStyle name="Normal 4 4 2" xfId="984"/>
    <cellStyle name="Normal 4 4 2 2" xfId="985"/>
    <cellStyle name="Normal 4 4 2 3" xfId="986"/>
    <cellStyle name="Normal 4 4 3" xfId="987"/>
    <cellStyle name="Normal 4 4 4" xfId="988"/>
    <cellStyle name="Normal 4 5" xfId="989"/>
    <cellStyle name="Normal 4 6" xfId="990"/>
    <cellStyle name="Normal 4 7" xfId="991"/>
    <cellStyle name="Normal 4 8" xfId="992"/>
    <cellStyle name="Normal 4 9" xfId="993"/>
    <cellStyle name="Normal 4_710 CFS; full sustain + full expand (static-like)" xfId="994"/>
    <cellStyle name="Normal 40" xfId="995"/>
    <cellStyle name="Normal 41" xfId="996"/>
    <cellStyle name="Normal 42" xfId="997"/>
    <cellStyle name="Normal 43" xfId="998"/>
    <cellStyle name="Normal 44" xfId="999"/>
    <cellStyle name="Normal 45" xfId="1000"/>
    <cellStyle name="Normal 46" xfId="1001"/>
    <cellStyle name="Normal 47" xfId="1002"/>
    <cellStyle name="Normal 48" xfId="1003"/>
    <cellStyle name="Normal 49" xfId="1004"/>
    <cellStyle name="Normal 49 2" xfId="1005"/>
    <cellStyle name="Normal 49 3" xfId="1006"/>
    <cellStyle name="Normal 49 3 2" xfId="1007"/>
    <cellStyle name="Normal 49 3 3" xfId="1008"/>
    <cellStyle name="Normal 5" xfId="1009"/>
    <cellStyle name="Normal 5 2" xfId="1010"/>
    <cellStyle name="Normal 5 2 2" xfId="1011"/>
    <cellStyle name="Normal 5 2 3" xfId="1012"/>
    <cellStyle name="Normal 5 3" xfId="1013"/>
    <cellStyle name="Normal 5 4" xfId="1014"/>
    <cellStyle name="Normal 50" xfId="1015"/>
    <cellStyle name="Normal 50 2" xfId="1016"/>
    <cellStyle name="Normal 50 3" xfId="1017"/>
    <cellStyle name="Normal 51" xfId="1018"/>
    <cellStyle name="Normal 51 2" xfId="1019"/>
    <cellStyle name="Normal 52" xfId="1020"/>
    <cellStyle name="Normal 52 2" xfId="1021"/>
    <cellStyle name="Normal 53" xfId="1022"/>
    <cellStyle name="Normal 53 2" xfId="1023"/>
    <cellStyle name="Normal 54" xfId="1024"/>
    <cellStyle name="Normal 55" xfId="1025"/>
    <cellStyle name="Normal 55 2" xfId="1026"/>
    <cellStyle name="Normal 56" xfId="1027"/>
    <cellStyle name="Normal 57" xfId="1028"/>
    <cellStyle name="Normal 58" xfId="1029"/>
    <cellStyle name="Normal 59" xfId="1030"/>
    <cellStyle name="Normal 6" xfId="1031"/>
    <cellStyle name="Normal 6 2" xfId="1032"/>
    <cellStyle name="Normal 6 2 2" xfId="1033"/>
    <cellStyle name="Normal 6 2 3" xfId="1034"/>
    <cellStyle name="Normal 6 3" xfId="1035"/>
    <cellStyle name="Normal 6 4" xfId="1036"/>
    <cellStyle name="Normal 60" xfId="1037"/>
    <cellStyle name="Normal 60 2" xfId="1038"/>
    <cellStyle name="Normal 61" xfId="1039"/>
    <cellStyle name="Normal 62" xfId="1040"/>
    <cellStyle name="Normal 63" xfId="1041"/>
    <cellStyle name="Normal 64" xfId="1042"/>
    <cellStyle name="Normal 65" xfId="1043"/>
    <cellStyle name="Normal 66" xfId="1044"/>
    <cellStyle name="Normal 67" xfId="1045"/>
    <cellStyle name="Normal 68" xfId="1046"/>
    <cellStyle name="Normal 69" xfId="1047"/>
    <cellStyle name="Normal 7" xfId="1048"/>
    <cellStyle name="Normal 7 2" xfId="1049"/>
    <cellStyle name="Normal 7 2 2" xfId="1050"/>
    <cellStyle name="Normal 7 2 3" xfId="1051"/>
    <cellStyle name="Normal 7 3" xfId="1052"/>
    <cellStyle name="Normal 7 4" xfId="1053"/>
    <cellStyle name="Normal 70" xfId="1054"/>
    <cellStyle name="Normal 71" xfId="1055"/>
    <cellStyle name="Normal 72" xfId="1056"/>
    <cellStyle name="Normal 73" xfId="1057"/>
    <cellStyle name="Normal 73 2" xfId="1058"/>
    <cellStyle name="Normal 74" xfId="1059"/>
    <cellStyle name="Normal 74 2" xfId="1060"/>
    <cellStyle name="Normal 75" xfId="1061"/>
    <cellStyle name="Normal 75 2" xfId="1062"/>
    <cellStyle name="Normal 75 3" xfId="1063"/>
    <cellStyle name="Normal 76" xfId="1064"/>
    <cellStyle name="Normal 76 2" xfId="1065"/>
    <cellStyle name="Normal 76 3" xfId="1066"/>
    <cellStyle name="Normal 77" xfId="1067"/>
    <cellStyle name="Normal 77 2" xfId="1068"/>
    <cellStyle name="Normal 77 3" xfId="1069"/>
    <cellStyle name="Normal 78" xfId="1070"/>
    <cellStyle name="Normal 78 2" xfId="1071"/>
    <cellStyle name="Normal 79" xfId="1072"/>
    <cellStyle name="Normal 8" xfId="1073"/>
    <cellStyle name="Normal 8 2" xfId="1074"/>
    <cellStyle name="Normal 8 2 2" xfId="1075"/>
    <cellStyle name="Normal 8 2 3" xfId="1076"/>
    <cellStyle name="Normal 8 3" xfId="1077"/>
    <cellStyle name="Normal 8 4" xfId="1078"/>
    <cellStyle name="Normal 80" xfId="1079"/>
    <cellStyle name="Normal 81" xfId="1080"/>
    <cellStyle name="Normal 82" xfId="1081"/>
    <cellStyle name="Normal 83" xfId="1082"/>
    <cellStyle name="Normal 84" xfId="1083"/>
    <cellStyle name="Normal 85" xfId="1084"/>
    <cellStyle name="Normal 86" xfId="1085"/>
    <cellStyle name="Normal 87" xfId="1086"/>
    <cellStyle name="Normal 88" xfId="1087"/>
    <cellStyle name="Normal 89" xfId="1088"/>
    <cellStyle name="Normal 9" xfId="1089"/>
    <cellStyle name="Normal 9 2" xfId="1090"/>
    <cellStyle name="Normal 9 3" xfId="1091"/>
    <cellStyle name="Normal 90" xfId="1092"/>
    <cellStyle name="Normal 91" xfId="1093"/>
    <cellStyle name="Normal 92" xfId="1094"/>
    <cellStyle name="Normal 93" xfId="1095"/>
    <cellStyle name="Normal 94" xfId="1096"/>
    <cellStyle name="Normal 95" xfId="1097"/>
    <cellStyle name="Normal 96" xfId="1098"/>
    <cellStyle name="Normal 97" xfId="1099"/>
    <cellStyle name="Normal 98" xfId="1100"/>
    <cellStyle name="Normal 99" xfId="1101"/>
    <cellStyle name="Note" xfId="1102"/>
    <cellStyle name="Note 2" xfId="1103"/>
    <cellStyle name="Note 2 2" xfId="1104"/>
    <cellStyle name="Note 2 3" xfId="1105"/>
    <cellStyle name="Note 2 4" xfId="1106"/>
    <cellStyle name="Note 2_QC" xfId="1107"/>
    <cellStyle name="Note 3" xfId="1108"/>
    <cellStyle name="Note 3 2" xfId="1109"/>
    <cellStyle name="Note 3 2 2" xfId="1110"/>
    <cellStyle name="Note 3 2 3" xfId="1111"/>
    <cellStyle name="Note 4" xfId="1112"/>
    <cellStyle name="Output" xfId="1113"/>
    <cellStyle name="Output 2" xfId="1114"/>
    <cellStyle name="Output 2 2" xfId="1115"/>
    <cellStyle name="Output 2 2 2" xfId="1116"/>
    <cellStyle name="Output 2 2 3" xfId="1117"/>
    <cellStyle name="Output 2 2 4" xfId="1118"/>
    <cellStyle name="Output 2 3" xfId="1119"/>
    <cellStyle name="Output 2 4" xfId="1120"/>
    <cellStyle name="Output 2_QC" xfId="1121"/>
    <cellStyle name="Output 3" xfId="1122"/>
    <cellStyle name="Output 4" xfId="1123"/>
    <cellStyle name="Page Number" xfId="1124"/>
    <cellStyle name="Percen - Style2" xfId="1125"/>
    <cellStyle name="Percent [2]" xfId="1126"/>
    <cellStyle name="Percent 10" xfId="1127"/>
    <cellStyle name="Percent 10 2" xfId="1128"/>
    <cellStyle name="Percent 10 3" xfId="1129"/>
    <cellStyle name="Percent 100" xfId="1130"/>
    <cellStyle name="Percent 100 2" xfId="1131"/>
    <cellStyle name="Percent 101" xfId="1132"/>
    <cellStyle name="Percent 101 2" xfId="1133"/>
    <cellStyle name="Percent 102" xfId="1134"/>
    <cellStyle name="Percent 102 2" xfId="1135"/>
    <cellStyle name="Percent 103" xfId="1136"/>
    <cellStyle name="Percent 103 2" xfId="1137"/>
    <cellStyle name="Percent 104" xfId="1138"/>
    <cellStyle name="Percent 104 2" xfId="1139"/>
    <cellStyle name="Percent 105" xfId="1140"/>
    <cellStyle name="Percent 105 2" xfId="1141"/>
    <cellStyle name="Percent 106" xfId="1142"/>
    <cellStyle name="Percent 107" xfId="1143"/>
    <cellStyle name="Percent 108" xfId="1144"/>
    <cellStyle name="Percent 109" xfId="1145"/>
    <cellStyle name="Percent 11" xfId="1146"/>
    <cellStyle name="Percent 11 2" xfId="1147"/>
    <cellStyle name="Percent 11 3" xfId="1148"/>
    <cellStyle name="Percent 110" xfId="1149"/>
    <cellStyle name="Percent 111" xfId="1150"/>
    <cellStyle name="Percent 112" xfId="1151"/>
    <cellStyle name="Percent 113" xfId="1152"/>
    <cellStyle name="Percent 114" xfId="1153"/>
    <cellStyle name="Percent 115" xfId="1154"/>
    <cellStyle name="Percent 116" xfId="1155"/>
    <cellStyle name="Percent 117" xfId="1156"/>
    <cellStyle name="Percent 118" xfId="1157"/>
    <cellStyle name="Percent 119" xfId="1158"/>
    <cellStyle name="Percent 12" xfId="1159"/>
    <cellStyle name="Percent 120" xfId="1160"/>
    <cellStyle name="Percent 121" xfId="1161"/>
    <cellStyle name="Percent 122" xfId="1162"/>
    <cellStyle name="Percent 123" xfId="1163"/>
    <cellStyle name="Percent 124" xfId="1164"/>
    <cellStyle name="Percent 125" xfId="1165"/>
    <cellStyle name="Percent 126" xfId="1166"/>
    <cellStyle name="Percent 127" xfId="1167"/>
    <cellStyle name="Percent 128" xfId="1168"/>
    <cellStyle name="Percent 129" xfId="1169"/>
    <cellStyle name="Percent 13" xfId="1170"/>
    <cellStyle name="Percent 13 2" xfId="1171"/>
    <cellStyle name="Percent 130" xfId="1172"/>
    <cellStyle name="Percent 131" xfId="1173"/>
    <cellStyle name="Percent 132" xfId="1174"/>
    <cellStyle name="Percent 132 2" xfId="1175"/>
    <cellStyle name="Percent 133" xfId="1176"/>
    <cellStyle name="Percent 133 2" xfId="1177"/>
    <cellStyle name="Percent 134" xfId="1178"/>
    <cellStyle name="Percent 134 2" xfId="1179"/>
    <cellStyle name="Percent 135" xfId="1180"/>
    <cellStyle name="Percent 135 2" xfId="1181"/>
    <cellStyle name="Percent 135 3" xfId="1182"/>
    <cellStyle name="Percent 135 3 2" xfId="1183"/>
    <cellStyle name="Percent 135 3 3" xfId="1184"/>
    <cellStyle name="Percent 136" xfId="1185"/>
    <cellStyle name="Percent 137" xfId="1186"/>
    <cellStyle name="Percent 138" xfId="1187"/>
    <cellStyle name="Percent 139" xfId="1188"/>
    <cellStyle name="Percent 14" xfId="1189"/>
    <cellStyle name="Percent 140" xfId="1190"/>
    <cellStyle name="Percent 141" xfId="1191"/>
    <cellStyle name="Percent 142" xfId="1192"/>
    <cellStyle name="Percent 143" xfId="1193"/>
    <cellStyle name="Percent 144" xfId="1194"/>
    <cellStyle name="Percent 145" xfId="1195"/>
    <cellStyle name="Percent 145 2" xfId="1196"/>
    <cellStyle name="Percent 145 2 2" xfId="1197"/>
    <cellStyle name="Percent 145 3" xfId="1198"/>
    <cellStyle name="Percent 145 4" xfId="1199"/>
    <cellStyle name="Percent 145 4 2" xfId="1200"/>
    <cellStyle name="Percent 145 4 3" xfId="1201"/>
    <cellStyle name="Percent 146" xfId="1202"/>
    <cellStyle name="Percent 147" xfId="1203"/>
    <cellStyle name="Percent 147 2" xfId="1204"/>
    <cellStyle name="Percent 148" xfId="1205"/>
    <cellStyle name="Percent 148 2" xfId="1206"/>
    <cellStyle name="Percent 149" xfId="1207"/>
    <cellStyle name="Percent 149 2" xfId="1208"/>
    <cellStyle name="Percent 15" xfId="1209"/>
    <cellStyle name="Percent 150" xfId="1210"/>
    <cellStyle name="Percent 150 2" xfId="1211"/>
    <cellStyle name="Percent 151" xfId="1212"/>
    <cellStyle name="Percent 152" xfId="1213"/>
    <cellStyle name="Percent 153" xfId="1214"/>
    <cellStyle name="Percent 154" xfId="1215"/>
    <cellStyle name="Percent 155" xfId="1216"/>
    <cellStyle name="Percent 156" xfId="1217"/>
    <cellStyle name="Percent 157" xfId="1218"/>
    <cellStyle name="Percent 158" xfId="1219"/>
    <cellStyle name="Percent 159" xfId="1220"/>
    <cellStyle name="Percent 16" xfId="1221"/>
    <cellStyle name="Percent 160" xfId="1222"/>
    <cellStyle name="Percent 161" xfId="1223"/>
    <cellStyle name="Percent 162" xfId="1224"/>
    <cellStyle name="Percent 163" xfId="1225"/>
    <cellStyle name="Percent 164" xfId="1226"/>
    <cellStyle name="Percent 165" xfId="1227"/>
    <cellStyle name="Percent 166" xfId="1228"/>
    <cellStyle name="Percent 166 2" xfId="1229"/>
    <cellStyle name="Percent 167" xfId="1230"/>
    <cellStyle name="Percent 168" xfId="1231"/>
    <cellStyle name="Percent 168 2" xfId="1232"/>
    <cellStyle name="Percent 169" xfId="1233"/>
    <cellStyle name="Percent 169 2" xfId="1234"/>
    <cellStyle name="Percent 17" xfId="1235"/>
    <cellStyle name="Percent 170" xfId="1236"/>
    <cellStyle name="Percent 171" xfId="1237"/>
    <cellStyle name="Percent 172" xfId="1238"/>
    <cellStyle name="Percent 173" xfId="1239"/>
    <cellStyle name="Percent 174" xfId="1240"/>
    <cellStyle name="Percent 175" xfId="1241"/>
    <cellStyle name="Percent 176" xfId="1242"/>
    <cellStyle name="Percent 177" xfId="1243"/>
    <cellStyle name="Percent 178" xfId="1244"/>
    <cellStyle name="Percent 179" xfId="1245"/>
    <cellStyle name="Percent 18" xfId="1246"/>
    <cellStyle name="Percent 18 2" xfId="1247"/>
    <cellStyle name="Percent 18 3" xfId="1248"/>
    <cellStyle name="Percent 18 3 2" xfId="1249"/>
    <cellStyle name="Percent 18 3 3" xfId="1250"/>
    <cellStyle name="Percent 18 3 3 2" xfId="1251"/>
    <cellStyle name="Percent 18 3 3 3" xfId="1252"/>
    <cellStyle name="Percent 180" xfId="1253"/>
    <cellStyle name="Percent 181" xfId="1254"/>
    <cellStyle name="Percent 182" xfId="1255"/>
    <cellStyle name="Percent 183" xfId="1256"/>
    <cellStyle name="Percent 184" xfId="1257"/>
    <cellStyle name="Percent 185" xfId="1258"/>
    <cellStyle name="Percent 186" xfId="1259"/>
    <cellStyle name="Percent 187" xfId="1260"/>
    <cellStyle name="Percent 188" xfId="1261"/>
    <cellStyle name="Percent 189" xfId="1262"/>
    <cellStyle name="Percent 19" xfId="1263"/>
    <cellStyle name="Percent 190" xfId="1264"/>
    <cellStyle name="Percent 191" xfId="1265"/>
    <cellStyle name="Percent 192" xfId="1266"/>
    <cellStyle name="Percent 2" xfId="1267"/>
    <cellStyle name="Percent 2 2" xfId="1268"/>
    <cellStyle name="Percent 2 2 2" xfId="1269"/>
    <cellStyle name="Percent 2 2 2 2" xfId="1270"/>
    <cellStyle name="Percent 2 2 2 2 2" xfId="1271"/>
    <cellStyle name="Percent 2 2 2 2 3" xfId="1272"/>
    <cellStyle name="Percent 2 2 2 2 3 2" xfId="1273"/>
    <cellStyle name="Percent 2 2 2 2 3 3" xfId="1274"/>
    <cellStyle name="Percent 2 2 2 3" xfId="1275"/>
    <cellStyle name="Percent 2 2 2 4" xfId="1276"/>
    <cellStyle name="Percent 2 2 2 4 2" xfId="1277"/>
    <cellStyle name="Percent 2 2 2 4 3" xfId="1278"/>
    <cellStyle name="Percent 2 2 2 5" xfId="1279"/>
    <cellStyle name="Percent 2 2 3" xfId="1280"/>
    <cellStyle name="Percent 2 2 3 2" xfId="1281"/>
    <cellStyle name="Percent 2 2 4" xfId="1282"/>
    <cellStyle name="Percent 2 2 4 2" xfId="1283"/>
    <cellStyle name="Percent 2 2 5" xfId="1284"/>
    <cellStyle name="Percent 2 2 5 2" xfId="1285"/>
    <cellStyle name="Percent 2 2 5 3" xfId="1286"/>
    <cellStyle name="Percent 2 2 5 3 2" xfId="1287"/>
    <cellStyle name="Percent 2 2 5 3 3" xfId="1288"/>
    <cellStyle name="Percent 2 2 6" xfId="1289"/>
    <cellStyle name="Percent 2 3" xfId="1290"/>
    <cellStyle name="Percent 20" xfId="1291"/>
    <cellStyle name="Percent 20 2" xfId="1292"/>
    <cellStyle name="Percent 20 3" xfId="1293"/>
    <cellStyle name="Percent 20 3 2" xfId="1294"/>
    <cellStyle name="Percent 20 3 3" xfId="1295"/>
    <cellStyle name="Percent 20 3 3 2" xfId="1296"/>
    <cellStyle name="Percent 20 3 3 3" xfId="1297"/>
    <cellStyle name="Percent 21" xfId="1298"/>
    <cellStyle name="Percent 22" xfId="1299"/>
    <cellStyle name="Percent 23" xfId="1300"/>
    <cellStyle name="Percent 24" xfId="1301"/>
    <cellStyle name="Percent 25" xfId="1302"/>
    <cellStyle name="Percent 26" xfId="1303"/>
    <cellStyle name="Percent 27" xfId="1304"/>
    <cellStyle name="Percent 28" xfId="1305"/>
    <cellStyle name="Percent 29" xfId="1306"/>
    <cellStyle name="Percent 3" xfId="1307"/>
    <cellStyle name="Percent 3 2" xfId="1308"/>
    <cellStyle name="Percent 3 2 2" xfId="1309"/>
    <cellStyle name="Percent 3 2 3" xfId="1310"/>
    <cellStyle name="Percent 3 2 4" xfId="1311"/>
    <cellStyle name="Percent 3 2 4 2" xfId="1312"/>
    <cellStyle name="Percent 3 2 4 3" xfId="1313"/>
    <cellStyle name="Percent 3 2 5" xfId="1314"/>
    <cellStyle name="Percent 3 3" xfId="1315"/>
    <cellStyle name="Percent 30" xfId="1316"/>
    <cellStyle name="Percent 31" xfId="1317"/>
    <cellStyle name="Percent 32" xfId="1318"/>
    <cellStyle name="Percent 33" xfId="1319"/>
    <cellStyle name="Percent 34" xfId="1320"/>
    <cellStyle name="Percent 35" xfId="1321"/>
    <cellStyle name="Percent 35 2" xfId="1322"/>
    <cellStyle name="Percent 35 3" xfId="1323"/>
    <cellStyle name="Percent 36" xfId="1324"/>
    <cellStyle name="Percent 36 2" xfId="1325"/>
    <cellStyle name="Percent 36 3" xfId="1326"/>
    <cellStyle name="Percent 37" xfId="1327"/>
    <cellStyle name="Percent 37 2" xfId="1328"/>
    <cellStyle name="Percent 38" xfId="1329"/>
    <cellStyle name="Percent 39" xfId="1330"/>
    <cellStyle name="Percent 4" xfId="1331"/>
    <cellStyle name="Percent 4 2" xfId="1332"/>
    <cellStyle name="Percent 40" xfId="1333"/>
    <cellStyle name="Percent 40 2" xfId="1334"/>
    <cellStyle name="Percent 41" xfId="1335"/>
    <cellStyle name="Percent 42" xfId="1336"/>
    <cellStyle name="Percent 43" xfId="1337"/>
    <cellStyle name="Percent 44" xfId="1338"/>
    <cellStyle name="Percent 45" xfId="1339"/>
    <cellStyle name="Percent 45 2" xfId="1340"/>
    <cellStyle name="Percent 46" xfId="1341"/>
    <cellStyle name="Percent 47" xfId="1342"/>
    <cellStyle name="Percent 48" xfId="1343"/>
    <cellStyle name="Percent 49" xfId="1344"/>
    <cellStyle name="Percent 5" xfId="1345"/>
    <cellStyle name="Percent 50" xfId="1346"/>
    <cellStyle name="Percent 51" xfId="1347"/>
    <cellStyle name="Percent 52" xfId="1348"/>
    <cellStyle name="Percent 52 2" xfId="1349"/>
    <cellStyle name="Percent 53" xfId="1350"/>
    <cellStyle name="Percent 53 2" xfId="1351"/>
    <cellStyle name="Percent 54" xfId="1352"/>
    <cellStyle name="Percent 54 2" xfId="1353"/>
    <cellStyle name="Percent 55" xfId="1354"/>
    <cellStyle name="Percent 55 2" xfId="1355"/>
    <cellStyle name="Percent 56" xfId="1356"/>
    <cellStyle name="Percent 57" xfId="1357"/>
    <cellStyle name="Percent 58" xfId="1358"/>
    <cellStyle name="Percent 59" xfId="1359"/>
    <cellStyle name="Percent 6" xfId="1360"/>
    <cellStyle name="Percent 60" xfId="1361"/>
    <cellStyle name="Percent 61" xfId="1362"/>
    <cellStyle name="Percent 62" xfId="1363"/>
    <cellStyle name="Percent 63" xfId="1364"/>
    <cellStyle name="Percent 64" xfId="1365"/>
    <cellStyle name="Percent 65" xfId="1366"/>
    <cellStyle name="Percent 66" xfId="1367"/>
    <cellStyle name="Percent 67" xfId="1368"/>
    <cellStyle name="Percent 68" xfId="1369"/>
    <cellStyle name="Percent 69" xfId="1370"/>
    <cellStyle name="Percent 7" xfId="1371"/>
    <cellStyle name="Percent 70" xfId="1372"/>
    <cellStyle name="Percent 71" xfId="1373"/>
    <cellStyle name="Percent 72" xfId="1374"/>
    <cellStyle name="Percent 72 2" xfId="1375"/>
    <cellStyle name="Percent 73" xfId="1376"/>
    <cellStyle name="Percent 73 2" xfId="1377"/>
    <cellStyle name="Percent 74" xfId="1378"/>
    <cellStyle name="Percent 74 2" xfId="1379"/>
    <cellStyle name="Percent 75" xfId="1380"/>
    <cellStyle name="Percent 75 2" xfId="1381"/>
    <cellStyle name="Percent 76" xfId="1382"/>
    <cellStyle name="Percent 76 2" xfId="1383"/>
    <cellStyle name="Percent 77" xfId="1384"/>
    <cellStyle name="Percent 77 2" xfId="1385"/>
    <cellStyle name="Percent 78" xfId="1386"/>
    <cellStyle name="Percent 78 2" xfId="1387"/>
    <cellStyle name="Percent 79" xfId="1388"/>
    <cellStyle name="Percent 8" xfId="1389"/>
    <cellStyle name="Percent 80" xfId="1390"/>
    <cellStyle name="Percent 81" xfId="1391"/>
    <cellStyle name="Percent 82" xfId="1392"/>
    <cellStyle name="Percent 83" xfId="1393"/>
    <cellStyle name="Percent 84" xfId="1394"/>
    <cellStyle name="Percent 85" xfId="1395"/>
    <cellStyle name="Percent 86" xfId="1396"/>
    <cellStyle name="Percent 87" xfId="1397"/>
    <cellStyle name="Percent 88" xfId="1398"/>
    <cellStyle name="Percent 89" xfId="1399"/>
    <cellStyle name="Percent 9" xfId="1400"/>
    <cellStyle name="Percent 9 2" xfId="1401"/>
    <cellStyle name="Percent 9 3" xfId="1402"/>
    <cellStyle name="Percent 90" xfId="1403"/>
    <cellStyle name="Percent 91" xfId="1404"/>
    <cellStyle name="Percent 92" xfId="1405"/>
    <cellStyle name="Percent 93" xfId="1406"/>
    <cellStyle name="Percent 94" xfId="1407"/>
    <cellStyle name="Percent 94 2" xfId="1408"/>
    <cellStyle name="Percent 95" xfId="1409"/>
    <cellStyle name="Percent 95 2" xfId="1410"/>
    <cellStyle name="Percent 96" xfId="1411"/>
    <cellStyle name="Percent 96 2" xfId="1412"/>
    <cellStyle name="Percent 97" xfId="1413"/>
    <cellStyle name="Percent 97 2" xfId="1414"/>
    <cellStyle name="Percent 98" xfId="1415"/>
    <cellStyle name="Percent 98 2" xfId="1416"/>
    <cellStyle name="Percent 99" xfId="1417"/>
    <cellStyle name="Percent 99 2" xfId="1418"/>
    <cellStyle name="PSChar" xfId="1419"/>
    <cellStyle name="PSChar 2" xfId="1420"/>
    <cellStyle name="PSChar 3" xfId="1421"/>
    <cellStyle name="PSDate" xfId="1422"/>
    <cellStyle name="PSDate 2" xfId="1423"/>
    <cellStyle name="PSDate 3" xfId="1424"/>
    <cellStyle name="PSDec" xfId="1425"/>
    <cellStyle name="PSDec 2" xfId="1426"/>
    <cellStyle name="PSDec 3" xfId="1427"/>
    <cellStyle name="PSHeading" xfId="1428"/>
    <cellStyle name="PSHeading 2" xfId="1429"/>
    <cellStyle name="PSHeading 3" xfId="1430"/>
    <cellStyle name="PSInt" xfId="1431"/>
    <cellStyle name="PSInt 2" xfId="1432"/>
    <cellStyle name="PSInt 3" xfId="1433"/>
    <cellStyle name="PSSpacer" xfId="1434"/>
    <cellStyle name="PSSpacer 2" xfId="1435"/>
    <cellStyle name="PSSpacer 3" xfId="1436"/>
    <cellStyle name="Rate" xfId="1437"/>
    <cellStyle name="Reference" xfId="1438"/>
    <cellStyle name="RevList" xfId="1439"/>
    <cellStyle name="round100" xfId="1440"/>
    <cellStyle name="SectionBreak" xfId="1441"/>
    <cellStyle name="shade" xfId="1442"/>
    <cellStyle name="StmtTtl1" xfId="1443"/>
    <cellStyle name="StmtTtl2" xfId="1444"/>
    <cellStyle name="STYL1 - Style1" xfId="1445"/>
    <cellStyle name="Style 1" xfId="1446"/>
    <cellStyle name="Subtotal" xfId="1447"/>
    <cellStyle name="Table Head" xfId="1448"/>
    <cellStyle name="Table Head Aligned" xfId="1449"/>
    <cellStyle name="Table Head Blue" xfId="1450"/>
    <cellStyle name="Table Head Green" xfId="1451"/>
    <cellStyle name="Table Heading" xfId="1452"/>
    <cellStyle name="Table Title" xfId="1453"/>
    <cellStyle name="Table Units" xfId="1454"/>
    <cellStyle name="Title" xfId="1455"/>
    <cellStyle name="Title 2" xfId="1456"/>
    <cellStyle name="Title 2 2" xfId="1457"/>
    <cellStyle name="Title 2 2 2" xfId="1458"/>
    <cellStyle name="Title 2 2 3" xfId="1459"/>
    <cellStyle name="Title 2 2 4" xfId="1460"/>
    <cellStyle name="Title 2 3" xfId="1461"/>
    <cellStyle name="Title 2 4" xfId="1462"/>
    <cellStyle name="Title 2 5" xfId="1463"/>
    <cellStyle name="Title 3" xfId="1464"/>
    <cellStyle name="Title 4" xfId="1465"/>
    <cellStyle name="Title: Minor" xfId="1466"/>
    <cellStyle name="Title: Worksheet" xfId="1467"/>
    <cellStyle name="Total" xfId="1468"/>
    <cellStyle name="Total 2" xfId="1469"/>
    <cellStyle name="Total 2 2" xfId="1470"/>
    <cellStyle name="Total 2 2 2" xfId="1471"/>
    <cellStyle name="Total 2 2 3" xfId="1472"/>
    <cellStyle name="Total 2 2 4" xfId="1473"/>
    <cellStyle name="Total 2 3" xfId="1474"/>
    <cellStyle name="Total 2 4" xfId="1475"/>
    <cellStyle name="Total 2 5" xfId="1476"/>
    <cellStyle name="Total 2_QC" xfId="1477"/>
    <cellStyle name="Total 3" xfId="1478"/>
    <cellStyle name="Total 4" xfId="1479"/>
    <cellStyle name="v" xfId="1480"/>
    <cellStyle name="Warning Text" xfId="1481"/>
    <cellStyle name="Warning Text 2" xfId="1482"/>
    <cellStyle name="Warning Text 2 2" xfId="1483"/>
    <cellStyle name="Warning Text 2 2 2" xfId="1484"/>
    <cellStyle name="Warning Text 2 3" xfId="1485"/>
    <cellStyle name="Warning Text 2 4" xfId="1486"/>
    <cellStyle name="Warning Text 2 5" xfId="1487"/>
    <cellStyle name="Warning Text 3" xfId="1488"/>
    <cellStyle name="Warning Text 4" xfId="1489"/>
    <cellStyle name="Normal 279" xfId="1490"/>
    <cellStyle name="Comma 19" xfId="1491"/>
    <cellStyle name="Percent 193" xfId="1492"/>
    <cellStyle name="Normal 280" xfId="1493"/>
    <cellStyle name="Comma 20" xfId="1494"/>
    <cellStyle name="Normal 281" xfId="1495"/>
    <cellStyle name="Comma 21" xfId="1496"/>
    <cellStyle name="Normal 282" xfId="1497"/>
    <cellStyle name="Comma 22" xfId="1498"/>
    <cellStyle name="Normal 279 2" xfId="1499"/>
    <cellStyle name="Normal 288" xfId="1500"/>
    <cellStyle name="Comma 2 7" xfId="1501"/>
    <cellStyle name="Normal 2 4" xfId="1502"/>
    <cellStyle name="Normal 401" xfId="1503"/>
    <cellStyle name="Currency 27" xfId="1504"/>
    <cellStyle name="Heading 1 11" xfId="1505"/>
    <cellStyle name="Heading 2 11" xfId="1506"/>
    <cellStyle name="Heading 3 11" xfId="1507"/>
    <cellStyle name="Good 10" xfId="1508"/>
    <cellStyle name="Bad 10" xfId="1509"/>
    <cellStyle name="Neutral 11" xfId="1510"/>
    <cellStyle name="Input 27" xfId="1511"/>
    <cellStyle name="Output 17" xfId="1512"/>
    <cellStyle name="Calculation 15" xfId="1513"/>
    <cellStyle name="Linked Cell 11" xfId="1514"/>
    <cellStyle name="Check Cell 12" xfId="1515"/>
    <cellStyle name="Explanatory Text 10" xfId="1516"/>
    <cellStyle name="Total 17" xfId="1517"/>
    <cellStyle name="Accent1 12" xfId="1518"/>
    <cellStyle name="20% - Accent1 18" xfId="1519"/>
    <cellStyle name="40% - Accent1 18" xfId="1520"/>
    <cellStyle name="60% - Accent1 12" xfId="1521"/>
    <cellStyle name="Accent2 10" xfId="1522"/>
    <cellStyle name="20% - Accent2 18" xfId="1523"/>
    <cellStyle name="40% - Accent2 16" xfId="1524"/>
    <cellStyle name="60% - Accent2 10" xfId="1525"/>
    <cellStyle name="Accent3 10" xfId="1526"/>
    <cellStyle name="20% - Accent3 18" xfId="1527"/>
    <cellStyle name="40% - Accent3 18" xfId="1528"/>
    <cellStyle name="60% - Accent3 12" xfId="1529"/>
    <cellStyle name="Accent4 12" xfId="1530"/>
    <cellStyle name="20% - Accent4 18" xfId="1531"/>
    <cellStyle name="40% - Accent4 18" xfId="1532"/>
    <cellStyle name="60% - Accent4 12" xfId="1533"/>
    <cellStyle name="Accent5 10" xfId="1534"/>
    <cellStyle name="20% - Accent5 16" xfId="1535"/>
    <cellStyle name="40% - Accent5 16" xfId="1536"/>
    <cellStyle name="60% - Accent5 10" xfId="1537"/>
    <cellStyle name="Accent6 10" xfId="1538"/>
    <cellStyle name="20% - Accent6 16" xfId="1539"/>
    <cellStyle name="40% - Accent6 18" xfId="1540"/>
    <cellStyle name="60% - Accent6 12" xfId="1541"/>
    <cellStyle name="Normal 13 8" xfId="1542"/>
    <cellStyle name="Comma 6 16" xfId="1543"/>
    <cellStyle name="Note 2 20" xfId="1544"/>
    <cellStyle name="Normal 2 11" xfId="1545"/>
    <cellStyle name="Comma 2 13" xfId="1546"/>
    <cellStyle name="Normal 3 8" xfId="1547"/>
    <cellStyle name="Comma 3 20" xfId="1548"/>
    <cellStyle name="Normal 4 14" xfId="1549"/>
    <cellStyle name="Comma 4 6" xfId="1550"/>
    <cellStyle name="Percent 2 9" xfId="1551"/>
    <cellStyle name="Comma 5 9" xfId="1552"/>
    <cellStyle name="Normal 10 14" xfId="1553"/>
    <cellStyle name="Normal 2 2 2" xfId="1554"/>
    <cellStyle name="Normal 2 2 7" xfId="1555"/>
    <cellStyle name="Normal 2 7" xfId="1556"/>
    <cellStyle name="Hyperlink 3 7" xfId="1557"/>
    <cellStyle name="Normal 2 6" xfId="1558"/>
    <cellStyle name="Normal 8 13" xfId="1559"/>
    <cellStyle name="Normal 5 7" xfId="1560"/>
    <cellStyle name="Normal 2 5" xfId="1561"/>
    <cellStyle name="Normal 7 2 6" xfId="1562"/>
    <cellStyle name="Normal 4 2 9" xfId="1563"/>
    <cellStyle name="Normal 2 4 5" xfId="1564"/>
    <cellStyle name="Normal 7 6" xfId="1565"/>
    <cellStyle name="Normal 4 3 13" xfId="1566"/>
    <cellStyle name="Normal 2 3 2" xfId="1567"/>
    <cellStyle name="Normal 9 2 4" xfId="1568"/>
    <cellStyle name="Normal 6 2 6" xfId="1569"/>
    <cellStyle name="Normal 3 3 8" xfId="1570"/>
    <cellStyle name="Normal 2 3 4" xfId="1571"/>
    <cellStyle name="Normal 9 6" xfId="1572"/>
    <cellStyle name="Normal 6 7" xfId="1573"/>
    <cellStyle name="Normal 3 2 7" xfId="1574"/>
    <cellStyle name="Normal 2 2 3" xfId="1575"/>
    <cellStyle name="Normal 8 2 7" xfId="1576"/>
    <cellStyle name="Normal 5 2 5" xfId="1577"/>
    <cellStyle name="Normal 3 4" xfId="1578"/>
    <cellStyle name="Normal 11 16" xfId="1579"/>
    <cellStyle name="Normal 12 10" xfId="1580"/>
    <cellStyle name="Normal 2 8" xfId="1581"/>
    <cellStyle name="Comma 2 2 8" xfId="1582"/>
    <cellStyle name="Currency 2 9" xfId="1583"/>
    <cellStyle name="Currency 3 8" xfId="1584"/>
    <cellStyle name="Currency 4 9" xfId="1585"/>
    <cellStyle name="Currency 5 6" xfId="1586"/>
    <cellStyle name="Percent 3 10" xfId="1587"/>
    <cellStyle name="Percent 4 9" xfId="1588"/>
    <cellStyle name="Normal 14 12" xfId="1589"/>
    <cellStyle name="Comma 7 8" xfId="1590"/>
    <cellStyle name="Note 3 16" xfId="1591"/>
    <cellStyle name="20% - Accent1 2 9" xfId="1592"/>
    <cellStyle name="40% - Accent1 2 9" xfId="1593"/>
    <cellStyle name="20% - Accent2 2 9" xfId="1594"/>
    <cellStyle name="40% - Accent2 2 9" xfId="1595"/>
    <cellStyle name="20% - Accent3 2 9" xfId="1596"/>
    <cellStyle name="40% - Accent3 2 9" xfId="1597"/>
    <cellStyle name="20% - Accent4 2 9" xfId="1598"/>
    <cellStyle name="40% - Accent4 2 9" xfId="1599"/>
    <cellStyle name="20% - Accent5 2 9" xfId="1600"/>
    <cellStyle name="40% - Accent5 2 9" xfId="1601"/>
    <cellStyle name="20% - Accent6 2 9" xfId="1602"/>
    <cellStyle name="40% - Accent6 2 9" xfId="1603"/>
    <cellStyle name="Normal 3 4 2" xfId="1604"/>
    <cellStyle name="Output 4 4 2 2 4" xfId="1605"/>
    <cellStyle name="_Chelan Debt Forecast 12.19.05 3" xfId="1606"/>
    <cellStyle name="_Costs not in AURORA 06GRC 3" xfId="1607"/>
    <cellStyle name="_Costs not in KWI3000 '06Budget 3" xfId="1608"/>
    <cellStyle name="_Fuel Prices 4-14 3" xfId="1609"/>
    <cellStyle name="_Power Cost Value Copy 11.30.05 gas 1.09.06 AURORA at 1.10.06 3" xfId="1610"/>
    <cellStyle name="_Recon to Darrin's 5.11.05 proforma 3" xfId="1611"/>
    <cellStyle name="_Value Copy 11 30 05 gas 12 09 05 AURORA at 12 14 05 3" xfId="1612"/>
    <cellStyle name="20% - Accent1 2 7" xfId="1613"/>
    <cellStyle name="20% - Accent1 4 8" xfId="1614"/>
    <cellStyle name="20% - Accent2 2 7" xfId="1615"/>
    <cellStyle name="20% - Accent2 4 8" xfId="1616"/>
    <cellStyle name="20% - Accent3 2 7" xfId="1617"/>
    <cellStyle name="20% - Accent3 4 8" xfId="1618"/>
    <cellStyle name="20% - Accent4 2 7" xfId="1619"/>
    <cellStyle name="20% - Accent4 4 8" xfId="1620"/>
    <cellStyle name="20% - Accent5 2 7" xfId="1621"/>
    <cellStyle name="20% - Accent5 4 8" xfId="1622"/>
    <cellStyle name="20% - Accent6 2 7" xfId="1623"/>
    <cellStyle name="20% - Accent6 4 8" xfId="1624"/>
    <cellStyle name="40% - Accent1 2 7" xfId="1625"/>
    <cellStyle name="40% - Accent1 4 8" xfId="1626"/>
    <cellStyle name="40% - Accent2 2 7" xfId="1627"/>
    <cellStyle name="40% - Accent2 4 8" xfId="1628"/>
    <cellStyle name="40% - Accent3 2 7" xfId="1629"/>
    <cellStyle name="40% - Accent3 4 8" xfId="1630"/>
    <cellStyle name="40% - Accent4 2 7" xfId="1631"/>
    <cellStyle name="40% - Accent4 4 8" xfId="1632"/>
    <cellStyle name="40% - Accent5 2 7" xfId="1633"/>
    <cellStyle name="40% - Accent5 4 8" xfId="1634"/>
    <cellStyle name="40% - Accent6 2 7" xfId="1635"/>
    <cellStyle name="40% - Accent6 4 8" xfId="1636"/>
    <cellStyle name="Comma 10 2 2 3" xfId="1637"/>
    <cellStyle name="Comma 10 3 3" xfId="1638"/>
    <cellStyle name="Comma 15 4" xfId="1639"/>
    <cellStyle name="Comma 15 2 3" xfId="1640"/>
    <cellStyle name="Comma 16 5" xfId="1641"/>
    <cellStyle name="Comma 16 3 3" xfId="1642"/>
    <cellStyle name="Comma 18 3" xfId="1643"/>
    <cellStyle name="Comma 2 9" xfId="1644"/>
    <cellStyle name="Comma 2 2 6" xfId="1645"/>
    <cellStyle name="Comma 2 4 5" xfId="1646"/>
    <cellStyle name="Comma 2 4 2 3" xfId="1647"/>
    <cellStyle name="Comma 2 4 3 3" xfId="1648"/>
    <cellStyle name="Comma 3 16" xfId="1649"/>
    <cellStyle name="Comma 3 12 4" xfId="1650"/>
    <cellStyle name="Comma 3 12 2 3" xfId="1651"/>
    <cellStyle name="Comma 3 2 2 9" xfId="1652"/>
    <cellStyle name="Comma 3 2 2 2 4" xfId="1653"/>
    <cellStyle name="Comma 3 2 2 2 2 3" xfId="1654"/>
    <cellStyle name="Comma 3 2 2 7 3" xfId="1655"/>
    <cellStyle name="Comma 3 2 3 6" xfId="1656"/>
    <cellStyle name="Comma 3 2 3 2 3" xfId="1657"/>
    <cellStyle name="Comma 3 3 6" xfId="1658"/>
    <cellStyle name="Comma 3 3 2 3" xfId="1659"/>
    <cellStyle name="Comma 3 3 4 3" xfId="1660"/>
    <cellStyle name="Comma 3 5 6" xfId="1661"/>
    <cellStyle name="Comma 3 5 4 3" xfId="1662"/>
    <cellStyle name="Comma 4 5" xfId="1663"/>
    <cellStyle name="Comma 4 2 9" xfId="1664"/>
    <cellStyle name="Comma 4 2 2 4" xfId="1665"/>
    <cellStyle name="Comma 4 2 2 2 3" xfId="1666"/>
    <cellStyle name="Comma 4 2 3 3" xfId="1667"/>
    <cellStyle name="Comma 4 2 7 3" xfId="1668"/>
    <cellStyle name="Comma 5 8" xfId="1669"/>
    <cellStyle name="Comma 5 2 3" xfId="1670"/>
    <cellStyle name="Comma 5 3 4" xfId="1671"/>
    <cellStyle name="Comma 6 14" xfId="1672"/>
    <cellStyle name="Comma 6 2 6" xfId="1673"/>
    <cellStyle name="Comma 6 2 3 3" xfId="1674"/>
    <cellStyle name="Comma 6 8 3" xfId="1675"/>
    <cellStyle name="Comma 7 6" xfId="1676"/>
    <cellStyle name="Comma 7 2 3" xfId="1677"/>
    <cellStyle name="Comma 7 4 3" xfId="1678"/>
    <cellStyle name="Comma 7 5 3" xfId="1679"/>
    <cellStyle name="Comma 8 9" xfId="1680"/>
    <cellStyle name="Comma 8 3 3" xfId="1681"/>
    <cellStyle name="Comma 8 4 3" xfId="1682"/>
    <cellStyle name="Comma 8 5 3" xfId="1683"/>
    <cellStyle name="Comma 9 5" xfId="1684"/>
    <cellStyle name="Comma 9 2 3" xfId="1685"/>
    <cellStyle name="Comma0 16" xfId="1686"/>
    <cellStyle name="Currency 2 7" xfId="1687"/>
    <cellStyle name="Currency 2 3 3" xfId="1688"/>
    <cellStyle name="Currency 3 5" xfId="1689"/>
    <cellStyle name="Currency 4 7" xfId="1690"/>
    <cellStyle name="Currency 4 2 3" xfId="1691"/>
    <cellStyle name="Currency 5 4" xfId="1692"/>
    <cellStyle name="Currency 7 9" xfId="1693"/>
    <cellStyle name="Currency 8 5" xfId="1694"/>
    <cellStyle name="Currency 9 3" xfId="1695"/>
    <cellStyle name="Currency0 3" xfId="1696"/>
    <cellStyle name="Entered 3" xfId="1697"/>
    <cellStyle name="Header2 5" xfId="1698"/>
    <cellStyle name="Note 9 2 2 2 4" xfId="1699"/>
    <cellStyle name="Hyperlink 3 6" xfId="1700"/>
    <cellStyle name="Input [yellow] 6" xfId="1701"/>
    <cellStyle name="Normal 10 12" xfId="1702"/>
    <cellStyle name="Normal 10 2 3" xfId="1703"/>
    <cellStyle name="Normal 10 3 7" xfId="1704"/>
    <cellStyle name="Normal 100 3" xfId="1705"/>
    <cellStyle name="Normal 101 3" xfId="1706"/>
    <cellStyle name="Normal 102 3" xfId="1707"/>
    <cellStyle name="Normal 103 3" xfId="1708"/>
    <cellStyle name="Normal 104 3" xfId="1709"/>
    <cellStyle name="Normal 105 3" xfId="1710"/>
    <cellStyle name="Normal 106 3" xfId="1711"/>
    <cellStyle name="Normal 107 3" xfId="1712"/>
    <cellStyle name="Normal 108 3" xfId="1713"/>
    <cellStyle name="Normal 109 4" xfId="1714"/>
    <cellStyle name="Normal 109 2 3" xfId="1715"/>
    <cellStyle name="Normal 11 13" xfId="1716"/>
    <cellStyle name="Normal 11 3 3 7" xfId="1717"/>
    <cellStyle name="Normal 110 4" xfId="1718"/>
    <cellStyle name="Normal 110 2 3" xfId="1719"/>
    <cellStyle name="Normal 111 4" xfId="1720"/>
    <cellStyle name="Normal 111 2 3" xfId="1721"/>
    <cellStyle name="Normal 112 4" xfId="1722"/>
    <cellStyle name="Normal 112 2 3" xfId="1723"/>
    <cellStyle name="Normal 113 4" xfId="1724"/>
    <cellStyle name="Normal 113 2 3" xfId="1725"/>
    <cellStyle name="Normal 114 4" xfId="1726"/>
    <cellStyle name="Normal 114 2 3" xfId="1727"/>
    <cellStyle name="Normal 115 4" xfId="1728"/>
    <cellStyle name="Normal 115 2 3" xfId="1729"/>
    <cellStyle name="Normal 116 3" xfId="1730"/>
    <cellStyle name="Normal 117 3" xfId="1731"/>
    <cellStyle name="Normal 118 3" xfId="1732"/>
    <cellStyle name="Normal 119 3" xfId="1733"/>
    <cellStyle name="Normal 12 4" xfId="1734"/>
    <cellStyle name="Normal 120 3" xfId="1735"/>
    <cellStyle name="Normal 121 3" xfId="1736"/>
    <cellStyle name="Normal 122 3" xfId="1737"/>
    <cellStyle name="Normal 123 3" xfId="1738"/>
    <cellStyle name="Normal 124 3" xfId="1739"/>
    <cellStyle name="Normal 125 3" xfId="1740"/>
    <cellStyle name="Normal 126 3" xfId="1741"/>
    <cellStyle name="Normal 127 3" xfId="1742"/>
    <cellStyle name="Normal 128 3" xfId="1743"/>
    <cellStyle name="Normal 129 3" xfId="1744"/>
    <cellStyle name="Normal 13 6" xfId="1745"/>
    <cellStyle name="Normal 13 2 3" xfId="1746"/>
    <cellStyle name="Normal 130 3" xfId="1747"/>
    <cellStyle name="Normal 131 3" xfId="1748"/>
    <cellStyle name="Normal 132 4" xfId="1749"/>
    <cellStyle name="Normal 132 2 3" xfId="1750"/>
    <cellStyle name="Normal 133 4" xfId="1751"/>
    <cellStyle name="Normal 133 2 3" xfId="1752"/>
    <cellStyle name="Normal 134 4" xfId="1753"/>
    <cellStyle name="Normal 134 2 3" xfId="1754"/>
    <cellStyle name="Normal 135 4" xfId="1755"/>
    <cellStyle name="Normal 135 2 3" xfId="1756"/>
    <cellStyle name="Normal 136 4" xfId="1757"/>
    <cellStyle name="Normal 136 2 3" xfId="1758"/>
    <cellStyle name="Normal 137 4" xfId="1759"/>
    <cellStyle name="Normal 137 2 3" xfId="1760"/>
    <cellStyle name="Normal 138 4" xfId="1761"/>
    <cellStyle name="Normal 138 2 3" xfId="1762"/>
    <cellStyle name="Normal 139 4" xfId="1763"/>
    <cellStyle name="Normal 139 2 3" xfId="1764"/>
    <cellStyle name="Normal 14 9" xfId="1765"/>
    <cellStyle name="Normal 140 4" xfId="1766"/>
    <cellStyle name="Normal 140 2 3" xfId="1767"/>
    <cellStyle name="Normal 141 4" xfId="1768"/>
    <cellStyle name="Normal 141 2 3" xfId="1769"/>
    <cellStyle name="Normal 142 4" xfId="1770"/>
    <cellStyle name="Normal 142 2 3" xfId="1771"/>
    <cellStyle name="Normal 143 4" xfId="1772"/>
    <cellStyle name="Normal 143 2 3" xfId="1773"/>
    <cellStyle name="Normal 144 3" xfId="1774"/>
    <cellStyle name="Normal 145 3" xfId="1775"/>
    <cellStyle name="Normal 146 3" xfId="1776"/>
    <cellStyle name="Normal 147 3" xfId="1777"/>
    <cellStyle name="Normal 148 3" xfId="1778"/>
    <cellStyle name="Normal 149 3" xfId="1779"/>
    <cellStyle name="Normal 15 3" xfId="1780"/>
    <cellStyle name="Normal 150 3" xfId="1781"/>
    <cellStyle name="Normal 151 3" xfId="1782"/>
    <cellStyle name="Normal 152 3" xfId="1783"/>
    <cellStyle name="Normal 153 3" xfId="1784"/>
    <cellStyle name="Normal 154 3" xfId="1785"/>
    <cellStyle name="Normal 155 3" xfId="1786"/>
    <cellStyle name="Normal 156 3" xfId="1787"/>
    <cellStyle name="Normal 157 3" xfId="1788"/>
    <cellStyle name="Normal 158 3" xfId="1789"/>
    <cellStyle name="Normal 159 3" xfId="1790"/>
    <cellStyle name="Normal 16 3" xfId="1791"/>
    <cellStyle name="Normal 160 3" xfId="1792"/>
    <cellStyle name="Normal 161 3" xfId="1793"/>
    <cellStyle name="Normal 162 3" xfId="1794"/>
    <cellStyle name="Normal 163 3" xfId="1795"/>
    <cellStyle name="Normal 164 3" xfId="1796"/>
    <cellStyle name="Normal 165 3" xfId="1797"/>
    <cellStyle name="Normal 166 3" xfId="1798"/>
    <cellStyle name="Normal 167 3" xfId="1799"/>
    <cellStyle name="Normal 168 4" xfId="1800"/>
    <cellStyle name="Normal 168 2 3" xfId="1801"/>
    <cellStyle name="Normal 169 4" xfId="1802"/>
    <cellStyle name="Normal 169 2 3" xfId="1803"/>
    <cellStyle name="Normal 17 3" xfId="1804"/>
    <cellStyle name="Normal 170 4" xfId="1805"/>
    <cellStyle name="Normal 170 2 3" xfId="1806"/>
    <cellStyle name="Normal 171 4" xfId="1807"/>
    <cellStyle name="Normal 171 2 3" xfId="1808"/>
    <cellStyle name="Normal 172 3" xfId="1809"/>
    <cellStyle name="Normal 173 3" xfId="1810"/>
    <cellStyle name="Normal 174 3" xfId="1811"/>
    <cellStyle name="Normal 175 3" xfId="1812"/>
    <cellStyle name="Normal 176 3" xfId="1813"/>
    <cellStyle name="Normal 177 3" xfId="1814"/>
    <cellStyle name="Normal 178 3" xfId="1815"/>
    <cellStyle name="Normal 179 3" xfId="1816"/>
    <cellStyle name="Normal 18 3 3 7" xfId="1817"/>
    <cellStyle name="Normal 180 3" xfId="1818"/>
    <cellStyle name="Normal 181 3" xfId="1819"/>
    <cellStyle name="Normal 182 3 7" xfId="1820"/>
    <cellStyle name="Normal 183 3 7" xfId="1821"/>
    <cellStyle name="Normal 184 3 7" xfId="1822"/>
    <cellStyle name="Normal 185 5" xfId="1823"/>
    <cellStyle name="Normal 185 2 3 7" xfId="1824"/>
    <cellStyle name="Normal 185 3 3" xfId="1825"/>
    <cellStyle name="Normal 186 3" xfId="1826"/>
    <cellStyle name="Normal 187 3" xfId="1827"/>
    <cellStyle name="Normal 188 3" xfId="1828"/>
    <cellStyle name="Normal 189 3" xfId="1829"/>
    <cellStyle name="Normal 19 3" xfId="1830"/>
    <cellStyle name="Normal 190 3" xfId="1831"/>
    <cellStyle name="Normal 191 3" xfId="1832"/>
    <cellStyle name="Normal 192 3" xfId="1833"/>
    <cellStyle name="Normal 193 3" xfId="1834"/>
    <cellStyle name="Normal 194 3" xfId="1835"/>
    <cellStyle name="Normal 195 3" xfId="1836"/>
    <cellStyle name="Normal 196 3" xfId="1837"/>
    <cellStyle name="Normal 197 3" xfId="1838"/>
    <cellStyle name="Normal 198 3" xfId="1839"/>
    <cellStyle name="Normal 199 3 7" xfId="1840"/>
    <cellStyle name="Output 5 3 2 2 4" xfId="1841"/>
    <cellStyle name="Total 10 2 2 4" xfId="1842"/>
    <cellStyle name="Total 5 3 2 2 4" xfId="1843"/>
    <cellStyle name="Normal 20 3 3 7" xfId="1844"/>
    <cellStyle name="Normal 200 3" xfId="1845"/>
    <cellStyle name="Normal 201 3" xfId="1846"/>
    <cellStyle name="Normal 202 3" xfId="1847"/>
    <cellStyle name="Normal 203 3" xfId="1848"/>
    <cellStyle name="Normal 204 3" xfId="1849"/>
    <cellStyle name="Normal 205 3" xfId="1850"/>
    <cellStyle name="Normal 206 3" xfId="1851"/>
    <cellStyle name="Normal 207 3" xfId="1852"/>
    <cellStyle name="Normal 208 4" xfId="1853"/>
    <cellStyle name="Normal 208 2 3" xfId="1854"/>
    <cellStyle name="Normal 209 4" xfId="1855"/>
    <cellStyle name="Normal 209 2 3" xfId="1856"/>
    <cellStyle name="Normal 21 3" xfId="1857"/>
    <cellStyle name="Normal 210 3" xfId="1858"/>
    <cellStyle name="Normal 211 5" xfId="1859"/>
    <cellStyle name="Normal 211 2 3" xfId="1860"/>
    <cellStyle name="Normal 211 3 3" xfId="1861"/>
    <cellStyle name="Normal 212 5" xfId="1862"/>
    <cellStyle name="Normal 212 2 3" xfId="1863"/>
    <cellStyle name="Normal 212 3 3" xfId="1864"/>
    <cellStyle name="Normal 213 5" xfId="1865"/>
    <cellStyle name="Normal 213 2 3" xfId="1866"/>
    <cellStyle name="Normal 213 3 3" xfId="1867"/>
    <cellStyle name="Normal 214 5" xfId="1868"/>
    <cellStyle name="Normal 214 2 3" xfId="1869"/>
    <cellStyle name="Normal 214 3 3" xfId="1870"/>
    <cellStyle name="Normal 215 5" xfId="1871"/>
    <cellStyle name="Normal 215 2 3" xfId="1872"/>
    <cellStyle name="Normal 215 3 3" xfId="1873"/>
    <cellStyle name="Normal 216 4" xfId="1874"/>
    <cellStyle name="Normal 216 2 3" xfId="1875"/>
    <cellStyle name="Normal 217 4" xfId="1876"/>
    <cellStyle name="Normal 217 2 3" xfId="1877"/>
    <cellStyle name="Normal 218 4" xfId="1878"/>
    <cellStyle name="Normal 218 2 3" xfId="1879"/>
    <cellStyle name="Normal 219 4" xfId="1880"/>
    <cellStyle name="Normal 219 2 3" xfId="1881"/>
    <cellStyle name="Normal 22 3" xfId="1882"/>
    <cellStyle name="Normal 220 3" xfId="1883"/>
    <cellStyle name="Normal 221 4" xfId="1884"/>
    <cellStyle name="Normal 221 2 7" xfId="1885"/>
    <cellStyle name="Normal 222 4" xfId="1886"/>
    <cellStyle name="Normal 222 2 7" xfId="1887"/>
    <cellStyle name="Normal 223 3" xfId="1888"/>
    <cellStyle name="Normal 224 4" xfId="1889"/>
    <cellStyle name="Normal 225 4" xfId="1890"/>
    <cellStyle name="Normal 226 4" xfId="1891"/>
    <cellStyle name="Normal 227 4" xfId="1892"/>
    <cellStyle name="Normal 228 4" xfId="1893"/>
    <cellStyle name="Normal 229 4" xfId="1894"/>
    <cellStyle name="Normal 23 3" xfId="1895"/>
    <cellStyle name="Normal 230 3" xfId="1896"/>
    <cellStyle name="Normal 231 3" xfId="1897"/>
    <cellStyle name="Normal 232 3" xfId="1898"/>
    <cellStyle name="Normal 233 3" xfId="1899"/>
    <cellStyle name="Normal 234 3" xfId="1900"/>
    <cellStyle name="Normal 235 3" xfId="1901"/>
    <cellStyle name="Normal 236 3" xfId="1902"/>
    <cellStyle name="Normal 237 3" xfId="1903"/>
    <cellStyle name="Normal 238 3" xfId="1904"/>
    <cellStyle name="Normal 239 3" xfId="1905"/>
    <cellStyle name="Normal 24 3" xfId="1906"/>
    <cellStyle name="Normal 240 3" xfId="1907"/>
    <cellStyle name="Normal 241 3" xfId="1908"/>
    <cellStyle name="Normal 242 3" xfId="1909"/>
    <cellStyle name="Normal 243 3" xfId="1910"/>
    <cellStyle name="Normal 244 3" xfId="1911"/>
    <cellStyle name="Normal 245 3" xfId="1912"/>
    <cellStyle name="Normal 246 3" xfId="1913"/>
    <cellStyle name="Normal 247 3" xfId="1914"/>
    <cellStyle name="Normal 248 3" xfId="1915"/>
    <cellStyle name="Normal 249 3" xfId="1916"/>
    <cellStyle name="Normal 25 3" xfId="1917"/>
    <cellStyle name="Normal 250 3" xfId="1918"/>
    <cellStyle name="Normal 251 3" xfId="1919"/>
    <cellStyle name="Normal 252 3" xfId="1920"/>
    <cellStyle name="Normal 253 3" xfId="1921"/>
    <cellStyle name="Normal 254 3" xfId="1922"/>
    <cellStyle name="Normal 255 3" xfId="1923"/>
    <cellStyle name="Normal 256 3" xfId="1924"/>
    <cellStyle name="Normal 257 3" xfId="1925"/>
    <cellStyle name="Normal 258 3" xfId="1926"/>
    <cellStyle name="Normal 259 3" xfId="1927"/>
    <cellStyle name="Normal 26 3" xfId="1928"/>
    <cellStyle name="Normal 260 3" xfId="1929"/>
    <cellStyle name="Normal 261 3" xfId="1930"/>
    <cellStyle name="Normal 262 3" xfId="1931"/>
    <cellStyle name="Normal 263 3" xfId="1932"/>
    <cellStyle name="Normal 264 7" xfId="1933"/>
    <cellStyle name="Normal 265 3" xfId="1934"/>
    <cellStyle name="Normal 266 3" xfId="1935"/>
    <cellStyle name="Normal 267 3" xfId="1936"/>
    <cellStyle name="Normal 268 3" xfId="1937"/>
    <cellStyle name="Normal 269 3" xfId="1938"/>
    <cellStyle name="Normal 27 3" xfId="1939"/>
    <cellStyle name="Normal 270 3" xfId="1940"/>
    <cellStyle name="Normal 271 3" xfId="1941"/>
    <cellStyle name="Normal 272 3" xfId="1942"/>
    <cellStyle name="Normal 273 3" xfId="1943"/>
    <cellStyle name="Normal 274 3" xfId="1944"/>
    <cellStyle name="Normal 275 3" xfId="1945"/>
    <cellStyle name="Normal 276 3" xfId="1946"/>
    <cellStyle name="Normal 277 3" xfId="1947"/>
    <cellStyle name="Normal 278 3" xfId="1948"/>
    <cellStyle name="Normal 28 3" xfId="1949"/>
    <cellStyle name="Normal 29 3" xfId="1950"/>
    <cellStyle name="Input 3 3 5 4" xfId="1951"/>
    <cellStyle name="Normal 3 2 6" xfId="1952"/>
    <cellStyle name="Normal 3 3 6" xfId="1953"/>
    <cellStyle name="Normal 3 3 2 3 7" xfId="1954"/>
    <cellStyle name="Normal 3 3 3 3" xfId="1955"/>
    <cellStyle name="Normal 30 3" xfId="1956"/>
    <cellStyle name="Normal 31 3" xfId="1957"/>
    <cellStyle name="Normal 32 3" xfId="1958"/>
    <cellStyle name="Normal 33 3" xfId="1959"/>
    <cellStyle name="Normal 34 3" xfId="1960"/>
    <cellStyle name="Normal 35 3" xfId="1961"/>
    <cellStyle name="Normal 36 3" xfId="1962"/>
    <cellStyle name="Normal 37 3" xfId="1963"/>
    <cellStyle name="Normal 38 3" xfId="1964"/>
    <cellStyle name="Normal 39 3" xfId="1965"/>
    <cellStyle name="Input 18 2 2 4" xfId="1966"/>
    <cellStyle name="Normal 4 10 3" xfId="1967"/>
    <cellStyle name="Normal 4 2 8" xfId="1968"/>
    <cellStyle name="Normal 4 2 2 2 3 7" xfId="1969"/>
    <cellStyle name="Normal 4 2 2 4 7" xfId="1970"/>
    <cellStyle name="Normal 4 2 3 3 7" xfId="1971"/>
    <cellStyle name="Normal 4 2 5 7" xfId="1972"/>
    <cellStyle name="Normal 4 3 10" xfId="1973"/>
    <cellStyle name="Normal 4 3 2 3 7" xfId="1974"/>
    <cellStyle name="Normal 4 3 5 7" xfId="1975"/>
    <cellStyle name="Normal 4 3 6 7" xfId="1976"/>
    <cellStyle name="Normal 4 4 7" xfId="1977"/>
    <cellStyle name="Normal 4 4 2 3 7" xfId="1978"/>
    <cellStyle name="Normal 4 4 3 3" xfId="1979"/>
    <cellStyle name="Normal 4 4 4 7" xfId="1980"/>
    <cellStyle name="Normal 4 5 3" xfId="1981"/>
    <cellStyle name="Normal 4 6 4" xfId="1982"/>
    <cellStyle name="Normal 4 7 7" xfId="1983"/>
    <cellStyle name="Normal 4 8 3" xfId="1984"/>
    <cellStyle name="Normal 4 9 3" xfId="1985"/>
    <cellStyle name="Normal 40 3" xfId="1986"/>
    <cellStyle name="Normal 41 3" xfId="1987"/>
    <cellStyle name="Normal 42 3" xfId="1988"/>
    <cellStyle name="Normal 43 7" xfId="1989"/>
    <cellStyle name="Normal 44 7" xfId="1990"/>
    <cellStyle name="Normal 45 3" xfId="1991"/>
    <cellStyle name="Normal 46 3" xfId="1992"/>
    <cellStyle name="Normal 47 3" xfId="1993"/>
    <cellStyle name="Normal 48 3" xfId="1994"/>
    <cellStyle name="Normal 49 3 3 7" xfId="1995"/>
    <cellStyle name="Calculation 12 2 2 4" xfId="1996"/>
    <cellStyle name="Normal 5 2 4" xfId="1997"/>
    <cellStyle name="Normal 5 2 3 7" xfId="1998"/>
    <cellStyle name="Normal 5 3 3" xfId="1999"/>
    <cellStyle name="Normal 5 4 7" xfId="2000"/>
    <cellStyle name="Normal 50 5" xfId="2001"/>
    <cellStyle name="Normal 50 2 4" xfId="2002"/>
    <cellStyle name="Normal 50 3 3" xfId="2003"/>
    <cellStyle name="Normal 51 5" xfId="2004"/>
    <cellStyle name="Normal 51 2 3" xfId="2005"/>
    <cellStyle name="Normal 52 5" xfId="2006"/>
    <cellStyle name="Normal 52 2 3" xfId="2007"/>
    <cellStyle name="Normal 53 4" xfId="2008"/>
    <cellStyle name="Normal 53 2 3" xfId="2009"/>
    <cellStyle name="Normal 54 3" xfId="2010"/>
    <cellStyle name="Normal 55 4" xfId="2011"/>
    <cellStyle name="Normal 55 2 3" xfId="2012"/>
    <cellStyle name="Normal 56 3" xfId="2013"/>
    <cellStyle name="Normal 57 3" xfId="2014"/>
    <cellStyle name="Normal 58 3" xfId="2015"/>
    <cellStyle name="Normal 59 3" xfId="2016"/>
    <cellStyle name="Note 13 2 2 4" xfId="2017"/>
    <cellStyle name="Normal 6 2 5" xfId="2018"/>
    <cellStyle name="Normal 6 2 3 7" xfId="2019"/>
    <cellStyle name="Normal 6 3 3" xfId="2020"/>
    <cellStyle name="Normal 6 4 7" xfId="2021"/>
    <cellStyle name="Normal 60 4" xfId="2022"/>
    <cellStyle name="Normal 60 2 3" xfId="2023"/>
    <cellStyle name="Normal 61 3" xfId="2024"/>
    <cellStyle name="Normal 62 3" xfId="2025"/>
    <cellStyle name="Normal 63 3" xfId="2026"/>
    <cellStyle name="Normal 64 3" xfId="2027"/>
    <cellStyle name="Normal 65 3" xfId="2028"/>
    <cellStyle name="Normal 66 3" xfId="2029"/>
    <cellStyle name="Normal 67 3" xfId="2030"/>
    <cellStyle name="Normal 68 3" xfId="2031"/>
    <cellStyle name="Normal 69 3" xfId="2032"/>
    <cellStyle name="Total 13 2 2 4" xfId="2033"/>
    <cellStyle name="Normal 7 2 5" xfId="2034"/>
    <cellStyle name="Normal 7 2 3 7" xfId="2035"/>
    <cellStyle name="Normal 7 3 3" xfId="2036"/>
    <cellStyle name="Normal 7 4 7" xfId="2037"/>
    <cellStyle name="Normal 70 3" xfId="2038"/>
    <cellStyle name="Normal 71 3" xfId="2039"/>
    <cellStyle name="Normal 72 3" xfId="2040"/>
    <cellStyle name="Normal 73 4" xfId="2041"/>
    <cellStyle name="Normal 73 2 3" xfId="2042"/>
    <cellStyle name="Normal 74 4" xfId="2043"/>
    <cellStyle name="Normal 74 2 3" xfId="2044"/>
    <cellStyle name="Normal 75 5" xfId="2045"/>
    <cellStyle name="Normal 75 2 3" xfId="2046"/>
    <cellStyle name="Normal 75 3 3" xfId="2047"/>
    <cellStyle name="Normal 76 5" xfId="2048"/>
    <cellStyle name="Normal 76 2 3" xfId="2049"/>
    <cellStyle name="Normal 76 3 3" xfId="2050"/>
    <cellStyle name="Normal 77 5" xfId="2051"/>
    <cellStyle name="Normal 77 2 3" xfId="2052"/>
    <cellStyle name="Normal 77 3 3" xfId="2053"/>
    <cellStyle name="Normal 78 4" xfId="2054"/>
    <cellStyle name="Normal 78 2 3" xfId="2055"/>
    <cellStyle name="Normal 79 3" xfId="2056"/>
    <cellStyle name="Calculation 3 4 2 2 4" xfId="2057"/>
    <cellStyle name="Normal 8 2 6" xfId="2058"/>
    <cellStyle name="Normal 8 2 3 7" xfId="2059"/>
    <cellStyle name="Normal 8 3 3" xfId="2060"/>
    <cellStyle name="Normal 8 4 7" xfId="2061"/>
    <cellStyle name="Normal 80 3" xfId="2062"/>
    <cellStyle name="Normal 81 3" xfId="2063"/>
    <cellStyle name="Normal 82 3" xfId="2064"/>
    <cellStyle name="Normal 83 3" xfId="2065"/>
    <cellStyle name="Normal 84 3" xfId="2066"/>
    <cellStyle name="Normal 85 3" xfId="2067"/>
    <cellStyle name="Normal 86 3" xfId="2068"/>
    <cellStyle name="Normal 87 3" xfId="2069"/>
    <cellStyle name="Normal 88 3" xfId="2070"/>
    <cellStyle name="Normal 89 3" xfId="2071"/>
    <cellStyle name="Calculation 5 3 2 2 4" xfId="2072"/>
    <cellStyle name="Input 3 4 2 2 4" xfId="2073"/>
    <cellStyle name="Normal 9 3 7" xfId="2074"/>
    <cellStyle name="Normal 90 3" xfId="2075"/>
    <cellStyle name="Normal 91 3" xfId="2076"/>
    <cellStyle name="Normal 92 3" xfId="2077"/>
    <cellStyle name="Normal 93 3" xfId="2078"/>
    <cellStyle name="Normal 94 3" xfId="2079"/>
    <cellStyle name="Normal 95 3" xfId="2080"/>
    <cellStyle name="Normal 96 3" xfId="2081"/>
    <cellStyle name="Normal 97 3" xfId="2082"/>
    <cellStyle name="Normal 98 3" xfId="2083"/>
    <cellStyle name="Normal 99 3" xfId="2084"/>
    <cellStyle name="Note 2 15" xfId="2085"/>
    <cellStyle name="Note 2 2 14" xfId="2086"/>
    <cellStyle name="Note 2 3 9" xfId="2087"/>
    <cellStyle name="Note 2 4 9" xfId="2088"/>
    <cellStyle name="Note 3 11" xfId="2089"/>
    <cellStyle name="Note 4 14" xfId="2090"/>
    <cellStyle name="Percent [2] 3" xfId="2091"/>
    <cellStyle name="Percent 10 6" xfId="2092"/>
    <cellStyle name="Percent 10 2 3" xfId="2093"/>
    <cellStyle name="Percent 10 3 3" xfId="2094"/>
    <cellStyle name="Percent 100 4" xfId="2095"/>
    <cellStyle name="Percent 100 2 3" xfId="2096"/>
    <cellStyle name="Percent 101 4" xfId="2097"/>
    <cellStyle name="Percent 101 2 3" xfId="2098"/>
    <cellStyle name="Percent 102 4" xfId="2099"/>
    <cellStyle name="Percent 102 2 3" xfId="2100"/>
    <cellStyle name="Percent 103 4" xfId="2101"/>
    <cellStyle name="Percent 103 2 3" xfId="2102"/>
    <cellStyle name="Percent 104 4" xfId="2103"/>
    <cellStyle name="Percent 104 2 3" xfId="2104"/>
    <cellStyle name="Percent 105 4" xfId="2105"/>
    <cellStyle name="Percent 105 2 3" xfId="2106"/>
    <cellStyle name="Percent 106 3" xfId="2107"/>
    <cellStyle name="Percent 107 3" xfId="2108"/>
    <cellStyle name="Percent 108 3" xfId="2109"/>
    <cellStyle name="Percent 109 3" xfId="2110"/>
    <cellStyle name="Percent 11 5" xfId="2111"/>
    <cellStyle name="Percent 11 2 3" xfId="2112"/>
    <cellStyle name="Percent 11 3 3" xfId="2113"/>
    <cellStyle name="Percent 110 3" xfId="2114"/>
    <cellStyle name="Percent 111 3" xfId="2115"/>
    <cellStyle name="Percent 112 3" xfId="2116"/>
    <cellStyle name="Percent 113 3" xfId="2117"/>
    <cellStyle name="Percent 116 3" xfId="2118"/>
    <cellStyle name="Percent 117 3" xfId="2119"/>
    <cellStyle name="Percent 118 3" xfId="2120"/>
    <cellStyle name="Percent 119 3" xfId="2121"/>
    <cellStyle name="Percent 12 4" xfId="2122"/>
    <cellStyle name="Percent 120 3" xfId="2123"/>
    <cellStyle name="Percent 121 3" xfId="2124"/>
    <cellStyle name="Percent 122 3" xfId="2125"/>
    <cellStyle name="Percent 123 3" xfId="2126"/>
    <cellStyle name="Percent 124 3" xfId="2127"/>
    <cellStyle name="Percent 125 3" xfId="2128"/>
    <cellStyle name="Percent 126 3" xfId="2129"/>
    <cellStyle name="Percent 127 3" xfId="2130"/>
    <cellStyle name="Percent 128 3" xfId="2131"/>
    <cellStyle name="Percent 129 3" xfId="2132"/>
    <cellStyle name="Percent 13 4" xfId="2133"/>
    <cellStyle name="Percent 13 2 3" xfId="2134"/>
    <cellStyle name="Percent 130 3" xfId="2135"/>
    <cellStyle name="Percent 131 3" xfId="2136"/>
    <cellStyle name="Percent 132 4" xfId="2137"/>
    <cellStyle name="Percent 132 2 3" xfId="2138"/>
    <cellStyle name="Percent 133 4" xfId="2139"/>
    <cellStyle name="Percent 133 2 3" xfId="2140"/>
    <cellStyle name="Percent 134 4" xfId="2141"/>
    <cellStyle name="Percent 134 2 3" xfId="2142"/>
    <cellStyle name="Percent 136 3" xfId="2143"/>
    <cellStyle name="Percent 137 3" xfId="2144"/>
    <cellStyle name="Percent 138 3" xfId="2145"/>
    <cellStyle name="Percent 139 3" xfId="2146"/>
    <cellStyle name="Percent 14 4" xfId="2147"/>
    <cellStyle name="Percent 140 3" xfId="2148"/>
    <cellStyle name="Percent 141 3" xfId="2149"/>
    <cellStyle name="Percent 145 6" xfId="2150"/>
    <cellStyle name="Percent 145 3 3" xfId="2151"/>
    <cellStyle name="Percent 146 3" xfId="2152"/>
    <cellStyle name="Percent 15 3" xfId="2153"/>
    <cellStyle name="Percent 151 3" xfId="2154"/>
    <cellStyle name="Percent 152 3" xfId="2155"/>
    <cellStyle name="Percent 153 3" xfId="2156"/>
    <cellStyle name="Percent 154 3" xfId="2157"/>
    <cellStyle name="Percent 155 3" xfId="2158"/>
    <cellStyle name="Percent 156 3" xfId="2159"/>
    <cellStyle name="Percent 157 3" xfId="2160"/>
    <cellStyle name="Percent 158 3" xfId="2161"/>
    <cellStyle name="Percent 159 3" xfId="2162"/>
    <cellStyle name="Percent 16 3" xfId="2163"/>
    <cellStyle name="Percent 160 3" xfId="2164"/>
    <cellStyle name="Percent 161 3" xfId="2165"/>
    <cellStyle name="Percent 162 3" xfId="2166"/>
    <cellStyle name="Percent 164 3" xfId="2167"/>
    <cellStyle name="Percent 166 4" xfId="2168"/>
    <cellStyle name="Percent 166 2 3" xfId="2169"/>
    <cellStyle name="Percent 167 3" xfId="2170"/>
    <cellStyle name="Percent 168 4" xfId="2171"/>
    <cellStyle name="Percent 168 2 3" xfId="2172"/>
    <cellStyle name="Percent 169 4" xfId="2173"/>
    <cellStyle name="Percent 169 2 3" xfId="2174"/>
    <cellStyle name="Percent 17 3" xfId="2175"/>
    <cellStyle name="Percent 170 3" xfId="2176"/>
    <cellStyle name="Percent 171 3" xfId="2177"/>
    <cellStyle name="Percent 172 3" xfId="2178"/>
    <cellStyle name="Percent 173 3" xfId="2179"/>
    <cellStyle name="Percent 174 3" xfId="2180"/>
    <cellStyle name="Percent 175 3" xfId="2181"/>
    <cellStyle name="Percent 176 3" xfId="2182"/>
    <cellStyle name="Percent 177 3" xfId="2183"/>
    <cellStyle name="Percent 178 3" xfId="2184"/>
    <cellStyle name="Percent 179 3" xfId="2185"/>
    <cellStyle name="Percent 180 3" xfId="2186"/>
    <cellStyle name="Percent 181 3" xfId="2187"/>
    <cellStyle name="Percent 182 3" xfId="2188"/>
    <cellStyle name="Percent 184 3" xfId="2189"/>
    <cellStyle name="Percent 185 3" xfId="2190"/>
    <cellStyle name="Percent 186 3" xfId="2191"/>
    <cellStyle name="Percent 187 3" xfId="2192"/>
    <cellStyle name="Percent 188 3" xfId="2193"/>
    <cellStyle name="Percent 189 3" xfId="2194"/>
    <cellStyle name="Percent 19 3" xfId="2195"/>
    <cellStyle name="Percent 190 3" xfId="2196"/>
    <cellStyle name="Percent 191 3" xfId="2197"/>
    <cellStyle name="Percent 192 3" xfId="2198"/>
    <cellStyle name="Percent 2 6" xfId="2199"/>
    <cellStyle name="Percent 2 3 4" xfId="2200"/>
    <cellStyle name="Percent 21 3" xfId="2201"/>
    <cellStyle name="Percent 22 3" xfId="2202"/>
    <cellStyle name="Percent 23 3" xfId="2203"/>
    <cellStyle name="Percent 24 3" xfId="2204"/>
    <cellStyle name="Percent 25 3" xfId="2205"/>
    <cellStyle name="Percent 26 3" xfId="2206"/>
    <cellStyle name="Percent 27 3" xfId="2207"/>
    <cellStyle name="Percent 28 3" xfId="2208"/>
    <cellStyle name="Percent 29 3" xfId="2209"/>
    <cellStyle name="Percent 3 7" xfId="2210"/>
    <cellStyle name="Percent 3 2 7" xfId="2211"/>
    <cellStyle name="Percent 3 2 2 3" xfId="2212"/>
    <cellStyle name="Percent 3 2 3 3" xfId="2213"/>
    <cellStyle name="Percent 30 4" xfId="2214"/>
    <cellStyle name="Percent 31 4" xfId="2215"/>
    <cellStyle name="Percent 32 4" xfId="2216"/>
    <cellStyle name="Percent 33 4" xfId="2217"/>
    <cellStyle name="Percent 34 3" xfId="2218"/>
    <cellStyle name="Percent 35 5" xfId="2219"/>
    <cellStyle name="Percent 35 2 3" xfId="2220"/>
    <cellStyle name="Percent 35 3 3" xfId="2221"/>
    <cellStyle name="Percent 36 5" xfId="2222"/>
    <cellStyle name="Percent 36 2 3" xfId="2223"/>
    <cellStyle name="Percent 36 3 3" xfId="2224"/>
    <cellStyle name="Percent 37 4" xfId="2225"/>
    <cellStyle name="Percent 37 2 3" xfId="2226"/>
    <cellStyle name="Percent 38 3" xfId="2227"/>
    <cellStyle name="Percent 39 3" xfId="2228"/>
    <cellStyle name="Percent 4 7" xfId="2229"/>
    <cellStyle name="Percent 40 4" xfId="2230"/>
    <cellStyle name="Percent 40 2 3" xfId="2231"/>
    <cellStyle name="Percent 41 3" xfId="2232"/>
    <cellStyle name="Percent 42 3" xfId="2233"/>
    <cellStyle name="Percent 43 3" xfId="2234"/>
    <cellStyle name="Percent 44 3" xfId="2235"/>
    <cellStyle name="Percent 45 4" xfId="2236"/>
    <cellStyle name="Percent 45 2 3" xfId="2237"/>
    <cellStyle name="Percent 46 3" xfId="2238"/>
    <cellStyle name="Percent 47 3" xfId="2239"/>
    <cellStyle name="Percent 48 3" xfId="2240"/>
    <cellStyle name="Percent 49 3" xfId="2241"/>
    <cellStyle name="Percent 5 4" xfId="2242"/>
    <cellStyle name="Percent 50 3" xfId="2243"/>
    <cellStyle name="Percent 51 3" xfId="2244"/>
    <cellStyle name="Percent 52 4" xfId="2245"/>
    <cellStyle name="Percent 52 2 3" xfId="2246"/>
    <cellStyle name="Percent 53 4" xfId="2247"/>
    <cellStyle name="Percent 53 2 3" xfId="2248"/>
    <cellStyle name="Percent 54 4" xfId="2249"/>
    <cellStyle name="Percent 54 2 3" xfId="2250"/>
    <cellStyle name="Percent 55 4" xfId="2251"/>
    <cellStyle name="Percent 55 2 3" xfId="2252"/>
    <cellStyle name="Percent 56 3" xfId="2253"/>
    <cellStyle name="Percent 57 3" xfId="2254"/>
    <cellStyle name="Percent 58 3" xfId="2255"/>
    <cellStyle name="Percent 59 3" xfId="2256"/>
    <cellStyle name="Percent 6 5" xfId="2257"/>
    <cellStyle name="Percent 60 3" xfId="2258"/>
    <cellStyle name="Percent 61 3" xfId="2259"/>
    <cellStyle name="Percent 62 3" xfId="2260"/>
    <cellStyle name="Percent 63 3" xfId="2261"/>
    <cellStyle name="Percent 64 3" xfId="2262"/>
    <cellStyle name="Percent 65 3" xfId="2263"/>
    <cellStyle name="Percent 66 3" xfId="2264"/>
    <cellStyle name="Percent 67 3" xfId="2265"/>
    <cellStyle name="Percent 68 3" xfId="2266"/>
    <cellStyle name="Percent 69 3" xfId="2267"/>
    <cellStyle name="Percent 7 4" xfId="2268"/>
    <cellStyle name="Percent 70 3" xfId="2269"/>
    <cellStyle name="Percent 71 3" xfId="2270"/>
    <cellStyle name="Percent 72 4" xfId="2271"/>
    <cellStyle name="Percent 72 2 3" xfId="2272"/>
    <cellStyle name="Percent 73 4" xfId="2273"/>
    <cellStyle name="Percent 73 2 3" xfId="2274"/>
    <cellStyle name="Percent 74 4" xfId="2275"/>
    <cellStyle name="Percent 74 2 3" xfId="2276"/>
    <cellStyle name="Percent 75 4" xfId="2277"/>
    <cellStyle name="Percent 75 2 3" xfId="2278"/>
    <cellStyle name="Percent 76 4" xfId="2279"/>
    <cellStyle name="Percent 76 2 3" xfId="2280"/>
    <cellStyle name="Percent 77 4" xfId="2281"/>
    <cellStyle name="Percent 77 2 3" xfId="2282"/>
    <cellStyle name="Percent 78 4" xfId="2283"/>
    <cellStyle name="Percent 78 2 3" xfId="2284"/>
    <cellStyle name="Percent 79 3" xfId="2285"/>
    <cellStyle name="Percent 8 3" xfId="2286"/>
    <cellStyle name="Percent 80 3" xfId="2287"/>
    <cellStyle name="Percent 81 3" xfId="2288"/>
    <cellStyle name="Percent 82 3" xfId="2289"/>
    <cellStyle name="Percent 83 3" xfId="2290"/>
    <cellStyle name="Percent 84 3" xfId="2291"/>
    <cellStyle name="Percent 85 3" xfId="2292"/>
    <cellStyle name="Percent 86 3" xfId="2293"/>
    <cellStyle name="Percent 87 3" xfId="2294"/>
    <cellStyle name="Percent 88 3" xfId="2295"/>
    <cellStyle name="Percent 89 3" xfId="2296"/>
    <cellStyle name="Percent 9 6" xfId="2297"/>
    <cellStyle name="Percent 9 2 3" xfId="2298"/>
    <cellStyle name="Percent 9 3 3" xfId="2299"/>
    <cellStyle name="Percent 90 3" xfId="2300"/>
    <cellStyle name="Percent 91 3" xfId="2301"/>
    <cellStyle name="Percent 92 3" xfId="2302"/>
    <cellStyle name="Percent 93 3" xfId="2303"/>
    <cellStyle name="Percent 94 4" xfId="2304"/>
    <cellStyle name="Percent 94 2 3" xfId="2305"/>
    <cellStyle name="Percent 95 4" xfId="2306"/>
    <cellStyle name="Percent 95 2 3" xfId="2307"/>
    <cellStyle name="Percent 96 4" xfId="2308"/>
    <cellStyle name="Percent 96 2 3" xfId="2309"/>
    <cellStyle name="Percent 97 4" xfId="2310"/>
    <cellStyle name="Percent 97 2 3" xfId="2311"/>
    <cellStyle name="Percent 98 4" xfId="2312"/>
    <cellStyle name="Percent 98 2 3" xfId="2313"/>
    <cellStyle name="Percent 99 4" xfId="2314"/>
    <cellStyle name="Percent 99 2 3" xfId="2315"/>
    <cellStyle name="Note 4 5 2 2 4" xfId="2316"/>
    <cellStyle name="Note 5 4 2 2 4" xfId="2317"/>
    <cellStyle name="Note 6 4 2 2 4" xfId="2318"/>
    <cellStyle name="Note 7 4 2 2 4" xfId="2319"/>
    <cellStyle name="Note 8 3 2 2 4" xfId="2320"/>
    <cellStyle name="Output 3 5 2 2 4" xfId="2321"/>
    <cellStyle name="round100 3" xfId="2322"/>
    <cellStyle name="shade 3" xfId="2323"/>
    <cellStyle name="Style 1 3" xfId="2324"/>
    <cellStyle name="v 4" xfId="2325"/>
    <cellStyle name="Comma 19 7" xfId="2326"/>
    <cellStyle name="_Chelan Debt Forecast 12.19.05 2" xfId="2327"/>
    <cellStyle name="_Costs not in AURORA 06GRC 2" xfId="2328"/>
    <cellStyle name="_Costs not in KWI3000 '06Budget 2" xfId="2329"/>
    <cellStyle name="_Fuel Prices 4-14 2" xfId="2330"/>
    <cellStyle name="_Power Cost Value Copy 11.30.05 gas 1.09.06 AURORA at 1.10.06 2" xfId="2331"/>
    <cellStyle name="_Recon to Darrin's 5.11.05 proforma 2" xfId="2332"/>
    <cellStyle name="_Value Copy 11 30 05 gas 12 09 05 AURORA at 12 14 05 2" xfId="2333"/>
    <cellStyle name="20% - Accent1 2 6" xfId="2334"/>
    <cellStyle name="20% - Accent2 2 6" xfId="2335"/>
    <cellStyle name="20% - Accent3 2 6" xfId="2336"/>
    <cellStyle name="20% - Accent4 2 6" xfId="2337"/>
    <cellStyle name="20% - Accent5 2 6" xfId="2338"/>
    <cellStyle name="20% - Accent6 2 6" xfId="2339"/>
    <cellStyle name="40% - Accent1 2 6" xfId="2340"/>
    <cellStyle name="40% - Accent2 2 6" xfId="2341"/>
    <cellStyle name="40% - Accent3 2 6" xfId="2342"/>
    <cellStyle name="40% - Accent4 2 6" xfId="2343"/>
    <cellStyle name="40% - Accent5 2 6" xfId="2344"/>
    <cellStyle name="40% - Accent6 2 6" xfId="2345"/>
    <cellStyle name="60% - Accent1 2 5" xfId="2346"/>
    <cellStyle name="60% - Accent2 2 5" xfId="2347"/>
    <cellStyle name="60% - Accent3 2 5" xfId="2348"/>
    <cellStyle name="60% - Accent4 2 5" xfId="2349"/>
    <cellStyle name="60% - Accent5 2 5" xfId="2350"/>
    <cellStyle name="60% - Accent6 2 5" xfId="2351"/>
    <cellStyle name="Accent1 2 5" xfId="2352"/>
    <cellStyle name="Accent2 2 5" xfId="2353"/>
    <cellStyle name="Accent3 2 5" xfId="2354"/>
    <cellStyle name="Accent4 2 5" xfId="2355"/>
    <cellStyle name="Accent5 2 5" xfId="2356"/>
    <cellStyle name="Accent6 2 5" xfId="2357"/>
    <cellStyle name="Bad 2 5" xfId="2358"/>
    <cellStyle name="Calculation 2 5" xfId="2359"/>
    <cellStyle name="Check Cell 2 5" xfId="2360"/>
    <cellStyle name="Comma 10 2 2 2" xfId="2361"/>
    <cellStyle name="Comma 10 2 3" xfId="2362"/>
    <cellStyle name="Comma 10 2 4" xfId="2363"/>
    <cellStyle name="Comma 10 3 2" xfId="2364"/>
    <cellStyle name="Comma 10 5" xfId="2365"/>
    <cellStyle name="Comma 10 6" xfId="2366"/>
    <cellStyle name="Comma 15 2 2" xfId="2367"/>
    <cellStyle name="Comma 15 3" xfId="2368"/>
    <cellStyle name="Comma 15 3 2" xfId="2369"/>
    <cellStyle name="Comma 16 3 2" xfId="2370"/>
    <cellStyle name="Comma 16 4" xfId="2371"/>
    <cellStyle name="Comma 18 2" xfId="2372"/>
    <cellStyle name="Comma 2 2 3" xfId="2373"/>
    <cellStyle name="Comma 2 3 2" xfId="2374"/>
    <cellStyle name="Comma 2 4 2 2" xfId="2375"/>
    <cellStyle name="Comma 2 4 3 2" xfId="2376"/>
    <cellStyle name="Comma 2 4 4" xfId="2377"/>
    <cellStyle name="Comma 3 12 2 2" xfId="2378"/>
    <cellStyle name="Comma 3 12 3" xfId="2379"/>
    <cellStyle name="Comma 3 13" xfId="2380"/>
    <cellStyle name="Comma 3 14" xfId="2381"/>
    <cellStyle name="Comma 3 2 2 2 2 2" xfId="2382"/>
    <cellStyle name="Comma 3 2 2 7 2" xfId="2383"/>
    <cellStyle name="Comma 3 2 2 8 2" xfId="2384"/>
    <cellStyle name="Comma 3 2 3 2 2" xfId="2385"/>
    <cellStyle name="Comma 3 2 3 5" xfId="2386"/>
    <cellStyle name="Comma 3 3 2 2" xfId="2387"/>
    <cellStyle name="Comma 3 3 4 2" xfId="2388"/>
    <cellStyle name="Comma 3 4 5 2" xfId="2389"/>
    <cellStyle name="Comma 3 5 4 2" xfId="2390"/>
    <cellStyle name="Comma 3 5 5 2" xfId="2391"/>
    <cellStyle name="Comma 3 6 3" xfId="2392"/>
    <cellStyle name="Comma 4 2 2 2 2" xfId="2393"/>
    <cellStyle name="Comma 4 2 3 2" xfId="2394"/>
    <cellStyle name="Comma 4 2 7 2" xfId="2395"/>
    <cellStyle name="Comma 4 2 8 2" xfId="2396"/>
    <cellStyle name="Comma 4 3" xfId="2397"/>
    <cellStyle name="Comma 5 2 2" xfId="2398"/>
    <cellStyle name="Comma 5 3 2" xfId="2399"/>
    <cellStyle name="Comma 5 5" xfId="2400"/>
    <cellStyle name="Comma 6 10" xfId="2401"/>
    <cellStyle name="Comma 6 11" xfId="2402"/>
    <cellStyle name="Comma 6 2 3 2" xfId="2403"/>
    <cellStyle name="Comma 6 2 5" xfId="2404"/>
    <cellStyle name="Comma 6 3 3" xfId="2405"/>
    <cellStyle name="Comma 6 3 3 2" xfId="2406"/>
    <cellStyle name="Comma 6 8 2" xfId="2407"/>
    <cellStyle name="Comma 6 9" xfId="2408"/>
    <cellStyle name="Comma 7 2 2" xfId="2409"/>
    <cellStyle name="Comma 7 4 2" xfId="2410"/>
    <cellStyle name="Comma 7 5 2" xfId="2411"/>
    <cellStyle name="Comma 8 3 2" xfId="2412"/>
    <cellStyle name="Comma 8 4 2" xfId="2413"/>
    <cellStyle name="Comma 8 5 2" xfId="2414"/>
    <cellStyle name="Comma 8 6" xfId="2415"/>
    <cellStyle name="Comma 9 2 2" xfId="2416"/>
    <cellStyle name="Comma 9 4" xfId="2417"/>
    <cellStyle name="Comma0 2" xfId="2418"/>
    <cellStyle name="Comma0 3" xfId="2419"/>
    <cellStyle name="Comma0 4" xfId="2420"/>
    <cellStyle name="Currency 2 3 2" xfId="2421"/>
    <cellStyle name="Currency 2 5" xfId="2422"/>
    <cellStyle name="Currency 3 2" xfId="2423"/>
    <cellStyle name="Currency 4 2 2" xfId="2424"/>
    <cellStyle name="Currency 4 4" xfId="2425"/>
    <cellStyle name="Currency 7 2" xfId="2426"/>
    <cellStyle name="Currency 7 2 2" xfId="2427"/>
    <cellStyle name="Currency 8 2" xfId="2428"/>
    <cellStyle name="Currency 9 2" xfId="2429"/>
    <cellStyle name="Currency0 2" xfId="2430"/>
    <cellStyle name="Date 2" xfId="2431"/>
    <cellStyle name="Entered 2" xfId="2432"/>
    <cellStyle name="Explanatory Text 2 5" xfId="2433"/>
    <cellStyle name="Good 2 5" xfId="2434"/>
    <cellStyle name="Grey 2" xfId="2435"/>
    <cellStyle name="Heading 1 2 5" xfId="2436"/>
    <cellStyle name="Heading 2 2 5" xfId="2437"/>
    <cellStyle name="Heading 3 2 5" xfId="2438"/>
    <cellStyle name="Heading 4 2 5" xfId="2439"/>
    <cellStyle name="Input [yellow] 2" xfId="2440"/>
    <cellStyle name="Input 2 5" xfId="2441"/>
    <cellStyle name="Lines 2" xfId="2442"/>
    <cellStyle name="Linked Cell 2 4" xfId="2443"/>
    <cellStyle name="Neutral 2 4" xfId="2444"/>
    <cellStyle name="Normal 10 2 2" xfId="2445"/>
    <cellStyle name="Normal 10 4" xfId="2446"/>
    <cellStyle name="Normal 100 2" xfId="2447"/>
    <cellStyle name="Normal 101 2" xfId="2448"/>
    <cellStyle name="Normal 102 2" xfId="2449"/>
    <cellStyle name="Normal 103 2" xfId="2450"/>
    <cellStyle name="Normal 104 2" xfId="2451"/>
    <cellStyle name="Normal 105 2" xfId="2452"/>
    <cellStyle name="Normal 106 2" xfId="2453"/>
    <cellStyle name="Normal 107 2" xfId="2454"/>
    <cellStyle name="Normal 108 2" xfId="2455"/>
    <cellStyle name="Normal 109 2 2" xfId="2456"/>
    <cellStyle name="Normal 109 3" xfId="2457"/>
    <cellStyle name="Normal 11 4" xfId="2458"/>
    <cellStyle name="Normal 110 2 2" xfId="2459"/>
    <cellStyle name="Normal 110 3" xfId="2460"/>
    <cellStyle name="Normal 111 2 2" xfId="2461"/>
    <cellStyle name="Normal 111 3" xfId="2462"/>
    <cellStyle name="Normal 112 2 2" xfId="2463"/>
    <cellStyle name="Normal 112 3" xfId="2464"/>
    <cellStyle name="Normal 113 2 2" xfId="2465"/>
    <cellStyle name="Normal 113 3" xfId="2466"/>
    <cellStyle name="Normal 114 2 2" xfId="2467"/>
    <cellStyle name="Normal 114 3" xfId="2468"/>
    <cellStyle name="Normal 115 2 2" xfId="2469"/>
    <cellStyle name="Normal 115 3" xfId="2470"/>
    <cellStyle name="Normal 116 2" xfId="2471"/>
    <cellStyle name="Normal 117 2" xfId="2472"/>
    <cellStyle name="Normal 118 2" xfId="2473"/>
    <cellStyle name="Normal 119 2" xfId="2474"/>
    <cellStyle name="Normal 12 2" xfId="2475"/>
    <cellStyle name="Normal 120 2" xfId="2476"/>
    <cellStyle name="Normal 121 2" xfId="2477"/>
    <cellStyle name="Normal 122 2" xfId="2478"/>
    <cellStyle name="Normal 123 2" xfId="2479"/>
    <cellStyle name="Normal 124 2" xfId="2480"/>
    <cellStyle name="Normal 125 2" xfId="2481"/>
    <cellStyle name="Normal 126 2" xfId="2482"/>
    <cellStyle name="Normal 127 2" xfId="2483"/>
    <cellStyle name="Normal 128 2" xfId="2484"/>
    <cellStyle name="Normal 129 2" xfId="2485"/>
    <cellStyle name="Normal 13 2 2" xfId="2486"/>
    <cellStyle name="Normal 13 3" xfId="2487"/>
    <cellStyle name="Normal 130 2" xfId="2488"/>
    <cellStyle name="Normal 131 2" xfId="2489"/>
    <cellStyle name="Normal 132 2 2" xfId="2490"/>
    <cellStyle name="Normal 132 3" xfId="2491"/>
    <cellStyle name="Normal 133 2 2" xfId="2492"/>
    <cellStyle name="Normal 133 3" xfId="2493"/>
    <cellStyle name="Normal 134 2 2" xfId="2494"/>
    <cellStyle name="Normal 134 3" xfId="2495"/>
    <cellStyle name="Normal 135 2 2" xfId="2496"/>
    <cellStyle name="Normal 135 3" xfId="2497"/>
    <cellStyle name="Normal 136 2 2" xfId="2498"/>
    <cellStyle name="Normal 136 3" xfId="2499"/>
    <cellStyle name="Normal 137 2 2" xfId="2500"/>
    <cellStyle name="Normal 137 3" xfId="2501"/>
    <cellStyle name="Normal 138 2 2" xfId="2502"/>
    <cellStyle name="Normal 138 3" xfId="2503"/>
    <cellStyle name="Normal 139 2 2" xfId="2504"/>
    <cellStyle name="Normal 139 3" xfId="2505"/>
    <cellStyle name="Normal 14 2" xfId="2506"/>
    <cellStyle name="Normal 140 2 2" xfId="2507"/>
    <cellStyle name="Normal 140 3" xfId="2508"/>
    <cellStyle name="Normal 141 2 2" xfId="2509"/>
    <cellStyle name="Normal 141 3" xfId="2510"/>
    <cellStyle name="Normal 142 2 2" xfId="2511"/>
    <cellStyle name="Normal 142 3" xfId="2512"/>
    <cellStyle name="Normal 143 2 2" xfId="2513"/>
    <cellStyle name="Normal 143 3" xfId="2514"/>
    <cellStyle name="Normal 144 2" xfId="2515"/>
    <cellStyle name="Normal 145 2" xfId="2516"/>
    <cellStyle name="Normal 146 2" xfId="2517"/>
    <cellStyle name="Normal 147 2" xfId="2518"/>
    <cellStyle name="Normal 148 2" xfId="2519"/>
    <cellStyle name="Normal 149 2" xfId="2520"/>
    <cellStyle name="Normal 15 2" xfId="2521"/>
    <cellStyle name="Normal 150 2" xfId="2522"/>
    <cellStyle name="Normal 151 2" xfId="2523"/>
    <cellStyle name="Normal 152 2" xfId="2524"/>
    <cellStyle name="Normal 153 2" xfId="2525"/>
    <cellStyle name="Normal 154 2" xfId="2526"/>
    <cellStyle name="Normal 155 2" xfId="2527"/>
    <cellStyle name="Normal 156 2" xfId="2528"/>
    <cellStyle name="Normal 157 2" xfId="2529"/>
    <cellStyle name="Normal 158 2" xfId="2530"/>
    <cellStyle name="Normal 159 2" xfId="2531"/>
    <cellStyle name="Normal 16 2" xfId="2532"/>
    <cellStyle name="Normal 160 2" xfId="2533"/>
    <cellStyle name="Normal 161 2" xfId="2534"/>
    <cellStyle name="Normal 162 2" xfId="2535"/>
    <cellStyle name="Normal 163 2" xfId="2536"/>
    <cellStyle name="Normal 164 2" xfId="2537"/>
    <cellStyle name="Normal 165 2" xfId="2538"/>
    <cellStyle name="Normal 166 2" xfId="2539"/>
    <cellStyle name="Normal 167 2" xfId="2540"/>
    <cellStyle name="Normal 168 2 2" xfId="2541"/>
    <cellStyle name="Normal 168 3" xfId="2542"/>
    <cellStyle name="Normal 169 2 2" xfId="2543"/>
    <cellStyle name="Normal 169 3" xfId="2544"/>
    <cellStyle name="Normal 17 2" xfId="2545"/>
    <cellStyle name="Normal 170 2 2" xfId="2546"/>
    <cellStyle name="Normal 170 3" xfId="2547"/>
    <cellStyle name="Normal 171 2 2" xfId="2548"/>
    <cellStyle name="Normal 171 3" xfId="2549"/>
    <cellStyle name="Normal 172 2" xfId="2550"/>
    <cellStyle name="Normal 173 2" xfId="2551"/>
    <cellStyle name="Normal 174 2" xfId="2552"/>
    <cellStyle name="Normal 175 2" xfId="2553"/>
    <cellStyle name="Normal 176 2" xfId="2554"/>
    <cellStyle name="Normal 177 2" xfId="2555"/>
    <cellStyle name="Normal 178 2" xfId="2556"/>
    <cellStyle name="Normal 179 2" xfId="2557"/>
    <cellStyle name="Normal 18 4" xfId="2558"/>
    <cellStyle name="Normal 180 2" xfId="2559"/>
    <cellStyle name="Normal 181 2" xfId="2560"/>
    <cellStyle name="Normal 185 3 2" xfId="2561"/>
    <cellStyle name="Normal 185 4" xfId="2562"/>
    <cellStyle name="Normal 186 2" xfId="2563"/>
    <cellStyle name="Normal 187 2" xfId="2564"/>
    <cellStyle name="Normal 188 2" xfId="2565"/>
    <cellStyle name="Normal 189 2" xfId="2566"/>
    <cellStyle name="Normal 19 2" xfId="2567"/>
    <cellStyle name="Normal 190 2" xfId="2568"/>
    <cellStyle name="Normal 191 2" xfId="2569"/>
    <cellStyle name="Normal 192 2" xfId="2570"/>
    <cellStyle name="Normal 193 2" xfId="2571"/>
    <cellStyle name="Normal 194 2" xfId="2572"/>
    <cellStyle name="Normal 195 2" xfId="2573"/>
    <cellStyle name="Normal 196 2" xfId="2574"/>
    <cellStyle name="Normal 197 2" xfId="2575"/>
    <cellStyle name="Normal 198 2" xfId="2576"/>
    <cellStyle name="Total 11 2 2 4" xfId="2577"/>
    <cellStyle name="Note 2 5 3 3 4" xfId="2578"/>
    <cellStyle name="Normal 2 4 3" xfId="2579"/>
    <cellStyle name="Normal 20 4" xfId="2580"/>
    <cellStyle name="Normal 200 2" xfId="2581"/>
    <cellStyle name="Normal 201 2" xfId="2582"/>
    <cellStyle name="Normal 202 2" xfId="2583"/>
    <cellStyle name="Normal 203 2" xfId="2584"/>
    <cellStyle name="Normal 204 2" xfId="2585"/>
    <cellStyle name="Normal 205 2" xfId="2586"/>
    <cellStyle name="Normal 206 2" xfId="2587"/>
    <cellStyle name="Normal 207 2" xfId="2588"/>
    <cellStyle name="Normal 208 2 2" xfId="2589"/>
    <cellStyle name="Normal 208 3" xfId="2590"/>
    <cellStyle name="Normal 209 2 2" xfId="2591"/>
    <cellStyle name="Normal 209 3" xfId="2592"/>
    <cellStyle name="Normal 21 2" xfId="2593"/>
    <cellStyle name="Normal 210 2" xfId="2594"/>
    <cellStyle name="Normal 211 2 2" xfId="2595"/>
    <cellStyle name="Normal 211 3 2" xfId="2596"/>
    <cellStyle name="Normal 211 4" xfId="2597"/>
    <cellStyle name="Normal 212 2 2" xfId="2598"/>
    <cellStyle name="Normal 212 3 2" xfId="2599"/>
    <cellStyle name="Normal 212 4" xfId="2600"/>
    <cellStyle name="Normal 213 2 2" xfId="2601"/>
    <cellStyle name="Normal 213 3 2" xfId="2602"/>
    <cellStyle name="Normal 213 4" xfId="2603"/>
    <cellStyle name="Normal 214 2 2" xfId="2604"/>
    <cellStyle name="Normal 214 3 2" xfId="2605"/>
    <cellStyle name="Normal 214 4" xfId="2606"/>
    <cellStyle name="Normal 215 2 2" xfId="2607"/>
    <cellStyle name="Normal 215 3 2" xfId="2608"/>
    <cellStyle name="Normal 215 4" xfId="2609"/>
    <cellStyle name="Normal 216 2 2" xfId="2610"/>
    <cellStyle name="Normal 216 3" xfId="2611"/>
    <cellStyle name="Normal 217 2 2" xfId="2612"/>
    <cellStyle name="Normal 217 3" xfId="2613"/>
    <cellStyle name="Normal 218 2 2" xfId="2614"/>
    <cellStyle name="Normal 218 3" xfId="2615"/>
    <cellStyle name="Normal 219 2 2" xfId="2616"/>
    <cellStyle name="Normal 219 3" xfId="2617"/>
    <cellStyle name="Normal 22 2" xfId="2618"/>
    <cellStyle name="Normal 220 2" xfId="2619"/>
    <cellStyle name="Normal 221 3" xfId="2620"/>
    <cellStyle name="Normal 222 3" xfId="2621"/>
    <cellStyle name="Normal 223 2" xfId="2622"/>
    <cellStyle name="Normal 224 2" xfId="2623"/>
    <cellStyle name="Normal 224 2 2" xfId="2624"/>
    <cellStyle name="Normal 225 2" xfId="2625"/>
    <cellStyle name="Normal 225 2 2" xfId="2626"/>
    <cellStyle name="Normal 226 2" xfId="2627"/>
    <cellStyle name="Normal 226 2 2" xfId="2628"/>
    <cellStyle name="Normal 227 2" xfId="2629"/>
    <cellStyle name="Normal 227 2 2" xfId="2630"/>
    <cellStyle name="Normal 228 2" xfId="2631"/>
    <cellStyle name="Normal 228 2 2" xfId="2632"/>
    <cellStyle name="Normal 229 2" xfId="2633"/>
    <cellStyle name="Normal 229 2 2" xfId="2634"/>
    <cellStyle name="Normal 23 2" xfId="2635"/>
    <cellStyle name="Normal 230 2" xfId="2636"/>
    <cellStyle name="Normal 231 2" xfId="2637"/>
    <cellStyle name="Normal 232 2" xfId="2638"/>
    <cellStyle name="Normal 232 2 2" xfId="2639"/>
    <cellStyle name="Normal 233 2" xfId="2640"/>
    <cellStyle name="Normal 233 2 2" xfId="2641"/>
    <cellStyle name="Normal 234 2" xfId="2642"/>
    <cellStyle name="Normal 234 2 2" xfId="2643"/>
    <cellStyle name="Normal 235 2" xfId="2644"/>
    <cellStyle name="Normal 236 2" xfId="2645"/>
    <cellStyle name="Normal 237 2" xfId="2646"/>
    <cellStyle name="Normal 238 2" xfId="2647"/>
    <cellStyle name="Normal 239 2" xfId="2648"/>
    <cellStyle name="Normal 24 2" xfId="2649"/>
    <cellStyle name="Normal 240 2" xfId="2650"/>
    <cellStyle name="Normal 241 2" xfId="2651"/>
    <cellStyle name="Normal 242 2" xfId="2652"/>
    <cellStyle name="Normal 243 2" xfId="2653"/>
    <cellStyle name="Normal 244 2" xfId="2654"/>
    <cellStyle name="Normal 245 2" xfId="2655"/>
    <cellStyle name="Normal 246 2" xfId="2656"/>
    <cellStyle name="Normal 247 2" xfId="2657"/>
    <cellStyle name="Normal 248 2" xfId="2658"/>
    <cellStyle name="Normal 249 2" xfId="2659"/>
    <cellStyle name="Normal 25 2" xfId="2660"/>
    <cellStyle name="Normal 250 2" xfId="2661"/>
    <cellStyle name="Normal 251 2" xfId="2662"/>
    <cellStyle name="Normal 252 2" xfId="2663"/>
    <cellStyle name="Normal 253 2" xfId="2664"/>
    <cellStyle name="Normal 254 2" xfId="2665"/>
    <cellStyle name="Normal 255 2" xfId="2666"/>
    <cellStyle name="Normal 256 2" xfId="2667"/>
    <cellStyle name="Normal 257 2" xfId="2668"/>
    <cellStyle name="Normal 258 2" xfId="2669"/>
    <cellStyle name="Normal 259 2" xfId="2670"/>
    <cellStyle name="Normal 26 2" xfId="2671"/>
    <cellStyle name="Normal 260 2" xfId="2672"/>
    <cellStyle name="Normal 261 2" xfId="2673"/>
    <cellStyle name="Normal 262 2" xfId="2674"/>
    <cellStyle name="Normal 263 2" xfId="2675"/>
    <cellStyle name="Normal 265 2" xfId="2676"/>
    <cellStyle name="Normal 266 2" xfId="2677"/>
    <cellStyle name="Normal 267 2" xfId="2678"/>
    <cellStyle name="Normal 268 2" xfId="2679"/>
    <cellStyle name="Normal 269 2" xfId="2680"/>
    <cellStyle name="Normal 27 2" xfId="2681"/>
    <cellStyle name="Normal 270 2" xfId="2682"/>
    <cellStyle name="Normal 271 2" xfId="2683"/>
    <cellStyle name="Normal 272 2" xfId="2684"/>
    <cellStyle name="Normal 273 2" xfId="2685"/>
    <cellStyle name="Normal 274 2" xfId="2686"/>
    <cellStyle name="Normal 275 2" xfId="2687"/>
    <cellStyle name="Normal 276 2" xfId="2688"/>
    <cellStyle name="Normal 277 2" xfId="2689"/>
    <cellStyle name="Normal 278 2" xfId="2690"/>
    <cellStyle name="Normal 279 3" xfId="2691"/>
    <cellStyle name="Normal 279 2 2" xfId="2692"/>
    <cellStyle name="Normal 28 2" xfId="2693"/>
    <cellStyle name="Normal 280 2" xfId="2694"/>
    <cellStyle name="Normal 281 2" xfId="2695"/>
    <cellStyle name="Normal 282 2" xfId="2696"/>
    <cellStyle name="Normal 283" xfId="2697"/>
    <cellStyle name="Normal 284" xfId="2698"/>
    <cellStyle name="Normal 285" xfId="2699"/>
    <cellStyle name="Normal 286" xfId="2700"/>
    <cellStyle name="Normal 287" xfId="2701"/>
    <cellStyle name="Normal 288 2" xfId="2702"/>
    <cellStyle name="Normal 289" xfId="2703"/>
    <cellStyle name="Normal 29 2" xfId="2704"/>
    <cellStyle name="Normal 290" xfId="2705"/>
    <cellStyle name="Normal 290 2" xfId="2706"/>
    <cellStyle name="Normal 291" xfId="2707"/>
    <cellStyle name="Normal 291 2" xfId="2708"/>
    <cellStyle name="Normal 292" xfId="2709"/>
    <cellStyle name="Normal 293" xfId="2710"/>
    <cellStyle name="Normal 294" xfId="2711"/>
    <cellStyle name="Normal 295" xfId="2712"/>
    <cellStyle name="Normal 296" xfId="2713"/>
    <cellStyle name="Normal 297" xfId="2714"/>
    <cellStyle name="Normal 298" xfId="2715"/>
    <cellStyle name="Normal 299" xfId="2716"/>
    <cellStyle name="Normal 299 2" xfId="2717"/>
    <cellStyle name="Normal 3 3 3 2" xfId="2718"/>
    <cellStyle name="Normal 3 3 5" xfId="2719"/>
    <cellStyle name="Normal 3 4 8" xfId="2720"/>
    <cellStyle name="Normal 3 4 2 2" xfId="2721"/>
    <cellStyle name="Normal 3 4 3" xfId="2722"/>
    <cellStyle name="Normal 3 5" xfId="2723"/>
    <cellStyle name="Normal 30 2" xfId="2724"/>
    <cellStyle name="Normal 300" xfId="2725"/>
    <cellStyle name="Normal 301" xfId="2726"/>
    <cellStyle name="Normal 302" xfId="2727"/>
    <cellStyle name="Normal 303" xfId="2728"/>
    <cellStyle name="Normal 304" xfId="2729"/>
    <cellStyle name="Normal 305" xfId="2730"/>
    <cellStyle name="Normal 306" xfId="2731"/>
    <cellStyle name="Normal 307" xfId="2732"/>
    <cellStyle name="Normal 308" xfId="2733"/>
    <cellStyle name="Normal 309" xfId="2734"/>
    <cellStyle name="Normal 309 2" xfId="2735"/>
    <cellStyle name="Normal 31 2" xfId="2736"/>
    <cellStyle name="Normal 310" xfId="2737"/>
    <cellStyle name="Normal 311" xfId="2738"/>
    <cellStyle name="Normal 312" xfId="2739"/>
    <cellStyle name="Normal 312 2" xfId="2740"/>
    <cellStyle name="Normal 313" xfId="2741"/>
    <cellStyle name="Normal 313 2" xfId="2742"/>
    <cellStyle name="Normal 314" xfId="2743"/>
    <cellStyle name="Normal 314 2" xfId="2744"/>
    <cellStyle name="Normal 315" xfId="2745"/>
    <cellStyle name="Normal 315 2" xfId="2746"/>
    <cellStyle name="Normal 316" xfId="2747"/>
    <cellStyle name="Normal 316 2" xfId="2748"/>
    <cellStyle name="Normal 317" xfId="2749"/>
    <cellStyle name="Normal 317 2" xfId="2750"/>
    <cellStyle name="Normal 318" xfId="2751"/>
    <cellStyle name="Normal 318 2" xfId="2752"/>
    <cellStyle name="Normal 319" xfId="2753"/>
    <cellStyle name="Normal 319 2" xfId="2754"/>
    <cellStyle name="Normal 32 2" xfId="2755"/>
    <cellStyle name="Normal 320" xfId="2756"/>
    <cellStyle name="Normal 321" xfId="2757"/>
    <cellStyle name="Normal 322" xfId="2758"/>
    <cellStyle name="Normal 322 2" xfId="2759"/>
    <cellStyle name="Normal 323" xfId="2760"/>
    <cellStyle name="Normal 323 2" xfId="2761"/>
    <cellStyle name="Normal 324" xfId="2762"/>
    <cellStyle name="Normal 324 2" xfId="2763"/>
    <cellStyle name="Normal 325" xfId="2764"/>
    <cellStyle name="Normal 325 2" xfId="2765"/>
    <cellStyle name="Normal 326" xfId="2766"/>
    <cellStyle name="Normal 326 2" xfId="2767"/>
    <cellStyle name="Normal 327" xfId="2768"/>
    <cellStyle name="Normal 327 2" xfId="2769"/>
    <cellStyle name="Normal 328" xfId="2770"/>
    <cellStyle name="Normal 328 2" xfId="2771"/>
    <cellStyle name="Normal 329" xfId="2772"/>
    <cellStyle name="Normal 329 2" xfId="2773"/>
    <cellStyle name="Normal 33 2" xfId="2774"/>
    <cellStyle name="Normal 330" xfId="2775"/>
    <cellStyle name="Normal 330 2" xfId="2776"/>
    <cellStyle name="Normal 331" xfId="2777"/>
    <cellStyle name="Normal 331 2" xfId="2778"/>
    <cellStyle name="Normal 332" xfId="2779"/>
    <cellStyle name="Normal 332 2" xfId="2780"/>
    <cellStyle name="Normal 333" xfId="2781"/>
    <cellStyle name="Normal 333 2" xfId="2782"/>
    <cellStyle name="Normal 334" xfId="2783"/>
    <cellStyle name="Normal 334 2" xfId="2784"/>
    <cellStyle name="Normal 335" xfId="2785"/>
    <cellStyle name="Normal 335 2" xfId="2786"/>
    <cellStyle name="Normal 336" xfId="2787"/>
    <cellStyle name="Normal 337" xfId="2788"/>
    <cellStyle name="Normal 338" xfId="2789"/>
    <cellStyle name="Normal 339" xfId="2790"/>
    <cellStyle name="Normal 34 2" xfId="2791"/>
    <cellStyle name="Normal 340" xfId="2792"/>
    <cellStyle name="Normal 341" xfId="2793"/>
    <cellStyle name="Normal 342" xfId="2794"/>
    <cellStyle name="Normal 343" xfId="2795"/>
    <cellStyle name="Normal 344" xfId="2796"/>
    <cellStyle name="Normal 35 2" xfId="2797"/>
    <cellStyle name="Normal 36 2" xfId="2798"/>
    <cellStyle name="Normal 37 2" xfId="2799"/>
    <cellStyle name="Normal 38 2" xfId="2800"/>
    <cellStyle name="Normal 39 2" xfId="2801"/>
    <cellStyle name="Normal 4 10 2" xfId="2802"/>
    <cellStyle name="Normal 4 11" xfId="2803"/>
    <cellStyle name="Normal 4 11 2" xfId="2804"/>
    <cellStyle name="Normal 4 4 3 2" xfId="2805"/>
    <cellStyle name="Normal 4 5 2" xfId="2806"/>
    <cellStyle name="Normal 4 6 2" xfId="2807"/>
    <cellStyle name="Normal 4 6 3" xfId="2808"/>
    <cellStyle name="Normal 4 8 2" xfId="2809"/>
    <cellStyle name="Normal 4 9 2" xfId="2810"/>
    <cellStyle name="Normal 40 2" xfId="2811"/>
    <cellStyle name="Normal 41 2" xfId="2812"/>
    <cellStyle name="Normal 42 2" xfId="2813"/>
    <cellStyle name="Normal 43 2" xfId="2814"/>
    <cellStyle name="Normal 44 2" xfId="2815"/>
    <cellStyle name="Normal 45 2" xfId="2816"/>
    <cellStyle name="Normal 46 2" xfId="2817"/>
    <cellStyle name="Normal 47 2" xfId="2818"/>
    <cellStyle name="Normal 48 2" xfId="2819"/>
    <cellStyle name="Normal 49 4" xfId="2820"/>
    <cellStyle name="Normal 5 2 2 2" xfId="2821"/>
    <cellStyle name="Normal 5 2 2 3" xfId="2822"/>
    <cellStyle name="Normal 5 3 2" xfId="2823"/>
    <cellStyle name="Normal 5 5" xfId="2824"/>
    <cellStyle name="Normal 50 2 2" xfId="2825"/>
    <cellStyle name="Normal 50 3 2" xfId="2826"/>
    <cellStyle name="Normal 50 4" xfId="2827"/>
    <cellStyle name="Normal 51 2 2" xfId="2828"/>
    <cellStyle name="Normal 51 3" xfId="2829"/>
    <cellStyle name="Normal 51 4" xfId="2830"/>
    <cellStyle name="Normal 52 2 2" xfId="2831"/>
    <cellStyle name="Normal 52 3" xfId="2832"/>
    <cellStyle name="Normal 52 4" xfId="2833"/>
    <cellStyle name="Normal 53 2 2" xfId="2834"/>
    <cellStyle name="Normal 53 3" xfId="2835"/>
    <cellStyle name="Normal 54 2" xfId="2836"/>
    <cellStyle name="Normal 55 2 2" xfId="2837"/>
    <cellStyle name="Normal 55 3" xfId="2838"/>
    <cellStyle name="Normal 56 2" xfId="2839"/>
    <cellStyle name="Normal 57 2" xfId="2840"/>
    <cellStyle name="Normal 58 2" xfId="2841"/>
    <cellStyle name="Normal 59 2" xfId="2842"/>
    <cellStyle name="Normal 6 3 2" xfId="2843"/>
    <cellStyle name="Normal 6 5" xfId="2844"/>
    <cellStyle name="Normal 60 2 2" xfId="2845"/>
    <cellStyle name="Normal 60 3" xfId="2846"/>
    <cellStyle name="Normal 61 2" xfId="2847"/>
    <cellStyle name="Normal 62 2" xfId="2848"/>
    <cellStyle name="Normal 63 2" xfId="2849"/>
    <cellStyle name="Normal 64 2" xfId="2850"/>
    <cellStyle name="Normal 65 2" xfId="2851"/>
    <cellStyle name="Normal 66 2" xfId="2852"/>
    <cellStyle name="Normal 67 2" xfId="2853"/>
    <cellStyle name="Normal 68 2" xfId="2854"/>
    <cellStyle name="Normal 69 2" xfId="2855"/>
    <cellStyle name="Normal 7 3 2" xfId="2856"/>
    <cellStyle name="Normal 7 5" xfId="2857"/>
    <cellStyle name="Normal 70 2" xfId="2858"/>
    <cellStyle name="Normal 71 2" xfId="2859"/>
    <cellStyle name="Normal 72 2" xfId="2860"/>
    <cellStyle name="Normal 73 2 2" xfId="2861"/>
    <cellStyle name="Normal 73 3" xfId="2862"/>
    <cellStyle name="Normal 74 2 2" xfId="2863"/>
    <cellStyle name="Normal 74 3" xfId="2864"/>
    <cellStyle name="Normal 75 2 2" xfId="2865"/>
    <cellStyle name="Normal 75 3 2" xfId="2866"/>
    <cellStyle name="Normal 75 4" xfId="2867"/>
    <cellStyle name="Normal 76 2 2" xfId="2868"/>
    <cellStyle name="Normal 76 3 2" xfId="2869"/>
    <cellStyle name="Normal 76 4" xfId="2870"/>
    <cellStyle name="Normal 77 2 2" xfId="2871"/>
    <cellStyle name="Normal 77 3 2" xfId="2872"/>
    <cellStyle name="Normal 77 4" xfId="2873"/>
    <cellStyle name="Normal 78 2 2" xfId="2874"/>
    <cellStyle name="Normal 78 3" xfId="2875"/>
    <cellStyle name="Normal 79 2" xfId="2876"/>
    <cellStyle name="Normal 8 3 2" xfId="2877"/>
    <cellStyle name="Normal 8 5" xfId="2878"/>
    <cellStyle name="Normal 80 2" xfId="2879"/>
    <cellStyle name="Normal 81 2" xfId="2880"/>
    <cellStyle name="Normal 82 2" xfId="2881"/>
    <cellStyle name="Normal 83 2" xfId="2882"/>
    <cellStyle name="Normal 84 2" xfId="2883"/>
    <cellStyle name="Normal 85 2" xfId="2884"/>
    <cellStyle name="Normal 86 2" xfId="2885"/>
    <cellStyle name="Normal 87 2" xfId="2886"/>
    <cellStyle name="Normal 88 2" xfId="2887"/>
    <cellStyle name="Normal 89 2" xfId="2888"/>
    <cellStyle name="Normal 9 2 2" xfId="2889"/>
    <cellStyle name="Normal 9 4" xfId="2890"/>
    <cellStyle name="Normal 90 2" xfId="2891"/>
    <cellStyle name="Normal 91 2" xfId="2892"/>
    <cellStyle name="Normal 92 2" xfId="2893"/>
    <cellStyle name="Normal 93 2" xfId="2894"/>
    <cellStyle name="Normal 94 2" xfId="2895"/>
    <cellStyle name="Normal 95 2" xfId="2896"/>
    <cellStyle name="Normal 96 2" xfId="2897"/>
    <cellStyle name="Normal 97 2" xfId="2898"/>
    <cellStyle name="Normal 98 2" xfId="2899"/>
    <cellStyle name="Normal 99 2" xfId="2900"/>
    <cellStyle name="Note 2 2 2" xfId="2901"/>
    <cellStyle name="Note 2 3 2" xfId="2902"/>
    <cellStyle name="Note 2 4 2" xfId="2903"/>
    <cellStyle name="Note 2 5" xfId="2904"/>
    <cellStyle name="Note 3 3" xfId="2905"/>
    <cellStyle name="Note 4 2" xfId="2906"/>
    <cellStyle name="Output 2 5" xfId="2907"/>
    <cellStyle name="Percent [2] 2" xfId="2908"/>
    <cellStyle name="Percent 10 2 2" xfId="2909"/>
    <cellStyle name="Percent 10 3 2" xfId="2910"/>
    <cellStyle name="Percent 10 4" xfId="2911"/>
    <cellStyle name="Percent 100 2 2" xfId="2912"/>
    <cellStyle name="Percent 100 3" xfId="2913"/>
    <cellStyle name="Percent 101 2 2" xfId="2914"/>
    <cellStyle name="Percent 101 3" xfId="2915"/>
    <cellStyle name="Percent 102 2 2" xfId="2916"/>
    <cellStyle name="Percent 102 3" xfId="2917"/>
    <cellStyle name="Percent 103 2 2" xfId="2918"/>
    <cellStyle name="Percent 103 3" xfId="2919"/>
    <cellStyle name="Percent 104 2 2" xfId="2920"/>
    <cellStyle name="Percent 104 3" xfId="2921"/>
    <cellStyle name="Percent 105 2 2" xfId="2922"/>
    <cellStyle name="Percent 105 3" xfId="2923"/>
    <cellStyle name="Percent 106 2" xfId="2924"/>
    <cellStyle name="Percent 107 2" xfId="2925"/>
    <cellStyle name="Percent 108 2" xfId="2926"/>
    <cellStyle name="Percent 109 2" xfId="2927"/>
    <cellStyle name="Percent 11 2 2" xfId="2928"/>
    <cellStyle name="Percent 11 3 2" xfId="2929"/>
    <cellStyle name="Percent 11 4" xfId="2930"/>
    <cellStyle name="Percent 110 2" xfId="2931"/>
    <cellStyle name="Percent 111 2" xfId="2932"/>
    <cellStyle name="Percent 112 2" xfId="2933"/>
    <cellStyle name="Percent 113 2" xfId="2934"/>
    <cellStyle name="Percent 116 2" xfId="2935"/>
    <cellStyle name="Percent 117 2" xfId="2936"/>
    <cellStyle name="Percent 118 2" xfId="2937"/>
    <cellStyle name="Percent 119 2" xfId="2938"/>
    <cellStyle name="Percent 12 2" xfId="2939"/>
    <cellStyle name="Percent 120 2" xfId="2940"/>
    <cellStyle name="Percent 121 2" xfId="2941"/>
    <cellStyle name="Percent 122 2" xfId="2942"/>
    <cellStyle name="Percent 123 2" xfId="2943"/>
    <cellStyle name="Percent 124 2" xfId="2944"/>
    <cellStyle name="Percent 125 2" xfId="2945"/>
    <cellStyle name="Percent 126 2" xfId="2946"/>
    <cellStyle name="Percent 127 2" xfId="2947"/>
    <cellStyle name="Percent 128 2" xfId="2948"/>
    <cellStyle name="Percent 129 2" xfId="2949"/>
    <cellStyle name="Percent 13 2 2" xfId="2950"/>
    <cellStyle name="Percent 13 3" xfId="2951"/>
    <cellStyle name="Percent 130 2" xfId="2952"/>
    <cellStyle name="Percent 131 2" xfId="2953"/>
    <cellStyle name="Percent 132 2 2" xfId="2954"/>
    <cellStyle name="Percent 132 3" xfId="2955"/>
    <cellStyle name="Percent 133 2 2" xfId="2956"/>
    <cellStyle name="Percent 133 3" xfId="2957"/>
    <cellStyle name="Percent 134 2 2" xfId="2958"/>
    <cellStyle name="Percent 134 3" xfId="2959"/>
    <cellStyle name="Percent 136 2" xfId="2960"/>
    <cellStyle name="Percent 137 2" xfId="2961"/>
    <cellStyle name="Percent 138 2" xfId="2962"/>
    <cellStyle name="Percent 139 2" xfId="2963"/>
    <cellStyle name="Percent 14 2" xfId="2964"/>
    <cellStyle name="Percent 140 2" xfId="2965"/>
    <cellStyle name="Percent 141 2" xfId="2966"/>
    <cellStyle name="Percent 145 3 2" xfId="2967"/>
    <cellStyle name="Percent 145 5" xfId="2968"/>
    <cellStyle name="Percent 146 2" xfId="2969"/>
    <cellStyle name="Percent 15 2" xfId="2970"/>
    <cellStyle name="Percent 151 2" xfId="2971"/>
    <cellStyle name="Percent 152 2" xfId="2972"/>
    <cellStyle name="Percent 153 2" xfId="2973"/>
    <cellStyle name="Percent 154 2" xfId="2974"/>
    <cellStyle name="Percent 155 2" xfId="2975"/>
    <cellStyle name="Percent 156 2" xfId="2976"/>
    <cellStyle name="Percent 157 2" xfId="2977"/>
    <cellStyle name="Percent 158 2" xfId="2978"/>
    <cellStyle name="Percent 159 2" xfId="2979"/>
    <cellStyle name="Percent 16 2" xfId="2980"/>
    <cellStyle name="Percent 160 2" xfId="2981"/>
    <cellStyle name="Percent 161 2" xfId="2982"/>
    <cellStyle name="Percent 162 2" xfId="2983"/>
    <cellStyle name="Percent 164 2" xfId="2984"/>
    <cellStyle name="Percent 166 2 2" xfId="2985"/>
    <cellStyle name="Percent 166 3" xfId="2986"/>
    <cellStyle name="Percent 167 2" xfId="2987"/>
    <cellStyle name="Percent 168 2 2" xfId="2988"/>
    <cellStyle name="Percent 168 3" xfId="2989"/>
    <cellStyle name="Percent 169 2 2" xfId="2990"/>
    <cellStyle name="Percent 169 3" xfId="2991"/>
    <cellStyle name="Percent 17 2" xfId="2992"/>
    <cellStyle name="Percent 170 2" xfId="2993"/>
    <cellStyle name="Percent 171 2" xfId="2994"/>
    <cellStyle name="Percent 172 2" xfId="2995"/>
    <cellStyle name="Percent 173 2" xfId="2996"/>
    <cellStyle name="Percent 174 2" xfId="2997"/>
    <cellStyle name="Percent 175 2" xfId="2998"/>
    <cellStyle name="Percent 176 2" xfId="2999"/>
    <cellStyle name="Percent 177 2" xfId="3000"/>
    <cellStyle name="Percent 178 2" xfId="3001"/>
    <cellStyle name="Percent 178 2 2" xfId="3002"/>
    <cellStyle name="Percent 179 2" xfId="3003"/>
    <cellStyle name="Percent 179 2 2" xfId="3004"/>
    <cellStyle name="Percent 18 4" xfId="3005"/>
    <cellStyle name="Percent 180 2" xfId="3006"/>
    <cellStyle name="Percent 180 2 2" xfId="3007"/>
    <cellStyle name="Percent 181 2" xfId="3008"/>
    <cellStyle name="Percent 182 2" xfId="3009"/>
    <cellStyle name="Percent 184 2" xfId="3010"/>
    <cellStyle name="Percent 185 2" xfId="3011"/>
    <cellStyle name="Percent 186 2" xfId="3012"/>
    <cellStyle name="Percent 187 2" xfId="3013"/>
    <cellStyle name="Percent 188 2" xfId="3014"/>
    <cellStyle name="Percent 189 2" xfId="3015"/>
    <cellStyle name="Percent 19 2" xfId="3016"/>
    <cellStyle name="Percent 190 2" xfId="3017"/>
    <cellStyle name="Percent 191 2" xfId="3018"/>
    <cellStyle name="Percent 192 2" xfId="3019"/>
    <cellStyle name="Percent 193 3" xfId="3020"/>
    <cellStyle name="Percent 193 2" xfId="3021"/>
    <cellStyle name="Percent 194" xfId="3022"/>
    <cellStyle name="Percent 194 2" xfId="3023"/>
    <cellStyle name="Percent 195" xfId="3024"/>
    <cellStyle name="Percent 195 2" xfId="3025"/>
    <cellStyle name="Percent 196" xfId="3026"/>
    <cellStyle name="Percent 197" xfId="3027"/>
    <cellStyle name="Percent 198" xfId="3028"/>
    <cellStyle name="Percent 198 2" xfId="3029"/>
    <cellStyle name="Percent 199" xfId="3030"/>
    <cellStyle name="Percent 199 2" xfId="3031"/>
    <cellStyle name="Percent 2 2 2 5 2" xfId="3032"/>
    <cellStyle name="Percent 2 3 2" xfId="3033"/>
    <cellStyle name="Percent 2 4" xfId="3034"/>
    <cellStyle name="Percent 20 4" xfId="3035"/>
    <cellStyle name="Percent 200" xfId="3036"/>
    <cellStyle name="Percent 200 2" xfId="3037"/>
    <cellStyle name="Percent 201" xfId="3038"/>
    <cellStyle name="Percent 201 2" xfId="3039"/>
    <cellStyle name="Percent 202" xfId="3040"/>
    <cellStyle name="Percent 202 2" xfId="3041"/>
    <cellStyle name="Percent 203" xfId="3042"/>
    <cellStyle name="Percent 203 2" xfId="3043"/>
    <cellStyle name="Percent 204" xfId="3044"/>
    <cellStyle name="Percent 204 2" xfId="3045"/>
    <cellStyle name="Percent 205" xfId="3046"/>
    <cellStyle name="Percent 205 2" xfId="3047"/>
    <cellStyle name="Percent 206" xfId="3048"/>
    <cellStyle name="Percent 207" xfId="3049"/>
    <cellStyle name="Percent 208" xfId="3050"/>
    <cellStyle name="Percent 208 2" xfId="3051"/>
    <cellStyle name="Percent 209" xfId="3052"/>
    <cellStyle name="Percent 209 2" xfId="3053"/>
    <cellStyle name="Percent 21 2" xfId="3054"/>
    <cellStyle name="Percent 210" xfId="3055"/>
    <cellStyle name="Percent 210 2" xfId="3056"/>
    <cellStyle name="Percent 211" xfId="3057"/>
    <cellStyle name="Percent 211 2" xfId="3058"/>
    <cellStyle name="Percent 212" xfId="3059"/>
    <cellStyle name="Percent 212 2" xfId="3060"/>
    <cellStyle name="Percent 213" xfId="3061"/>
    <cellStyle name="Percent 213 2" xfId="3062"/>
    <cellStyle name="Percent 214" xfId="3063"/>
    <cellStyle name="Percent 214 2" xfId="3064"/>
    <cellStyle name="Percent 215" xfId="3065"/>
    <cellStyle name="Percent 215 2" xfId="3066"/>
    <cellStyle name="Percent 216" xfId="3067"/>
    <cellStyle name="Percent 216 2" xfId="3068"/>
    <cellStyle name="Percent 217" xfId="3069"/>
    <cellStyle name="Percent 217 2" xfId="3070"/>
    <cellStyle name="Percent 218" xfId="3071"/>
    <cellStyle name="Percent 218 2" xfId="3072"/>
    <cellStyle name="Percent 219" xfId="3073"/>
    <cellStyle name="Percent 219 2" xfId="3074"/>
    <cellStyle name="Percent 22 2" xfId="3075"/>
    <cellStyle name="Percent 220" xfId="3076"/>
    <cellStyle name="Percent 220 2" xfId="3077"/>
    <cellStyle name="Percent 221" xfId="3078"/>
    <cellStyle name="Percent 221 2" xfId="3079"/>
    <cellStyle name="Percent 222" xfId="3080"/>
    <cellStyle name="Percent 223" xfId="3081"/>
    <cellStyle name="Percent 224" xfId="3082"/>
    <cellStyle name="Percent 225" xfId="3083"/>
    <cellStyle name="Percent 226" xfId="3084"/>
    <cellStyle name="Percent 227" xfId="3085"/>
    <cellStyle name="Percent 228" xfId="3086"/>
    <cellStyle name="Percent 229" xfId="3087"/>
    <cellStyle name="Percent 23 2" xfId="3088"/>
    <cellStyle name="Percent 230" xfId="3089"/>
    <cellStyle name="Percent 24 2" xfId="3090"/>
    <cellStyle name="Percent 25 2" xfId="3091"/>
    <cellStyle name="Percent 26 2" xfId="3092"/>
    <cellStyle name="Percent 27 2" xfId="3093"/>
    <cellStyle name="Percent 28 2" xfId="3094"/>
    <cellStyle name="Percent 29 2" xfId="3095"/>
    <cellStyle name="Percent 3 2 2 2" xfId="3096"/>
    <cellStyle name="Percent 3 2 3 2" xfId="3097"/>
    <cellStyle name="Percent 3 2 6" xfId="3098"/>
    <cellStyle name="Percent 3 4" xfId="3099"/>
    <cellStyle name="Percent 3 5" xfId="3100"/>
    <cellStyle name="Percent 30 2" xfId="3101"/>
    <cellStyle name="Percent 30 2 2" xfId="3102"/>
    <cellStyle name="Percent 30 3" xfId="3103"/>
    <cellStyle name="Percent 31 2" xfId="3104"/>
    <cellStyle name="Percent 31 2 2" xfId="3105"/>
    <cellStyle name="Percent 31 3" xfId="3106"/>
    <cellStyle name="Percent 32 2" xfId="3107"/>
    <cellStyle name="Percent 32 2 2" xfId="3108"/>
    <cellStyle name="Percent 32 3" xfId="3109"/>
    <cellStyle name="Percent 33 2" xfId="3110"/>
    <cellStyle name="Percent 33 2 2" xfId="3111"/>
    <cellStyle name="Percent 33 3" xfId="3112"/>
    <cellStyle name="Percent 34 2" xfId="3113"/>
    <cellStyle name="Percent 35 2 2" xfId="3114"/>
    <cellStyle name="Percent 35 3 2" xfId="3115"/>
    <cellStyle name="Percent 35 4" xfId="3116"/>
    <cellStyle name="Percent 36 2 2" xfId="3117"/>
    <cellStyle name="Percent 36 3 2" xfId="3118"/>
    <cellStyle name="Percent 36 4" xfId="3119"/>
    <cellStyle name="Percent 37 2 2" xfId="3120"/>
    <cellStyle name="Percent 37 3" xfId="3121"/>
    <cellStyle name="Percent 38 2" xfId="3122"/>
    <cellStyle name="Percent 39 2" xfId="3123"/>
    <cellStyle name="Percent 4 3" xfId="3124"/>
    <cellStyle name="Percent 40 2 2" xfId="3125"/>
    <cellStyle name="Percent 40 3" xfId="3126"/>
    <cellStyle name="Percent 41 2" xfId="3127"/>
    <cellStyle name="Percent 42 2" xfId="3128"/>
    <cellStyle name="Percent 43 2" xfId="3129"/>
    <cellStyle name="Percent 44 2" xfId="3130"/>
    <cellStyle name="Percent 45 2 2" xfId="3131"/>
    <cellStyle name="Percent 45 3" xfId="3132"/>
    <cellStyle name="Percent 46 2" xfId="3133"/>
    <cellStyle name="Percent 47 2" xfId="3134"/>
    <cellStyle name="Percent 48 2" xfId="3135"/>
    <cellStyle name="Percent 49 2" xfId="3136"/>
    <cellStyle name="Percent 5 2" xfId="3137"/>
    <cellStyle name="Percent 50 2" xfId="3138"/>
    <cellStyle name="Percent 51 2" xfId="3139"/>
    <cellStyle name="Percent 52 2 2" xfId="3140"/>
    <cellStyle name="Percent 52 3" xfId="3141"/>
    <cellStyle name="Percent 53 2 2" xfId="3142"/>
    <cellStyle name="Percent 53 3" xfId="3143"/>
    <cellStyle name="Percent 54 2 2" xfId="3144"/>
    <cellStyle name="Percent 54 3" xfId="3145"/>
    <cellStyle name="Percent 55 2 2" xfId="3146"/>
    <cellStyle name="Percent 55 3" xfId="3147"/>
    <cellStyle name="Percent 56 2" xfId="3148"/>
    <cellStyle name="Percent 57 2" xfId="3149"/>
    <cellStyle name="Percent 58 2" xfId="3150"/>
    <cellStyle name="Percent 59 2" xfId="3151"/>
    <cellStyle name="Percent 6 2" xfId="3152"/>
    <cellStyle name="Percent 60 2" xfId="3153"/>
    <cellStyle name="Percent 61 2" xfId="3154"/>
    <cellStyle name="Percent 62 2" xfId="3155"/>
    <cellStyle name="Percent 63 2" xfId="3156"/>
    <cellStyle name="Percent 64 2" xfId="3157"/>
    <cellStyle name="Percent 65 2" xfId="3158"/>
    <cellStyle name="Percent 66 2" xfId="3159"/>
    <cellStyle name="Percent 67 2" xfId="3160"/>
    <cellStyle name="Percent 68 2" xfId="3161"/>
    <cellStyle name="Percent 69 2" xfId="3162"/>
    <cellStyle name="Percent 7 2" xfId="3163"/>
    <cellStyle name="Percent 70 2" xfId="3164"/>
    <cellStyle name="Percent 71 2" xfId="3165"/>
    <cellStyle name="Percent 72 2 2" xfId="3166"/>
    <cellStyle name="Percent 72 3" xfId="3167"/>
    <cellStyle name="Percent 73 2 2" xfId="3168"/>
    <cellStyle name="Percent 73 3" xfId="3169"/>
    <cellStyle name="Percent 74 2 2" xfId="3170"/>
    <cellStyle name="Percent 74 3" xfId="3171"/>
    <cellStyle name="Percent 75 2 2" xfId="3172"/>
    <cellStyle name="Percent 75 3" xfId="3173"/>
    <cellStyle name="Percent 76 2 2" xfId="3174"/>
    <cellStyle name="Percent 76 3" xfId="3175"/>
    <cellStyle name="Percent 77 2 2" xfId="3176"/>
    <cellStyle name="Percent 77 3" xfId="3177"/>
    <cellStyle name="Percent 78 2 2" xfId="3178"/>
    <cellStyle name="Percent 78 3" xfId="3179"/>
    <cellStyle name="Percent 79 2" xfId="3180"/>
    <cellStyle name="Percent 8 2" xfId="3181"/>
    <cellStyle name="Percent 80 2" xfId="3182"/>
    <cellStyle name="Percent 81 2" xfId="3183"/>
    <cellStyle name="Percent 82 2" xfId="3184"/>
    <cellStyle name="Percent 83 2" xfId="3185"/>
    <cellStyle name="Percent 84 2" xfId="3186"/>
    <cellStyle name="Percent 85 2" xfId="3187"/>
    <cellStyle name="Percent 86 2" xfId="3188"/>
    <cellStyle name="Percent 87 2" xfId="3189"/>
    <cellStyle name="Percent 88 2" xfId="3190"/>
    <cellStyle name="Percent 89 2" xfId="3191"/>
    <cellStyle name="Percent 9 2 2" xfId="3192"/>
    <cellStyle name="Percent 9 3 2" xfId="3193"/>
    <cellStyle name="Percent 9 4" xfId="3194"/>
    <cellStyle name="Percent 90 2" xfId="3195"/>
    <cellStyle name="Percent 91 2" xfId="3196"/>
    <cellStyle name="Percent 92 2" xfId="3197"/>
    <cellStyle name="Percent 93 2" xfId="3198"/>
    <cellStyle name="Percent 94 2 2" xfId="3199"/>
    <cellStyle name="Percent 94 3" xfId="3200"/>
    <cellStyle name="Percent 95 2 2" xfId="3201"/>
    <cellStyle name="Percent 95 3" xfId="3202"/>
    <cellStyle name="Percent 96 2 2" xfId="3203"/>
    <cellStyle name="Percent 96 3" xfId="3204"/>
    <cellStyle name="Percent 97 2 2" xfId="3205"/>
    <cellStyle name="Percent 97 3" xfId="3206"/>
    <cellStyle name="Percent 98 2 2" xfId="3207"/>
    <cellStyle name="Percent 98 3" xfId="3208"/>
    <cellStyle name="Percent 99 2 2" xfId="3209"/>
    <cellStyle name="Percent 99 3" xfId="3210"/>
    <cellStyle name="PSHeading 2 2" xfId="3211"/>
    <cellStyle name="PSHeading 3 2" xfId="3212"/>
    <cellStyle name="PSHeading 4" xfId="3213"/>
    <cellStyle name="round100 2" xfId="3214"/>
    <cellStyle name="shade 2" xfId="3215"/>
    <cellStyle name="StmtTtl1 2" xfId="3216"/>
    <cellStyle name="Style 1 2" xfId="3217"/>
    <cellStyle name="Title 2 6" xfId="3218"/>
    <cellStyle name="Total 2 6" xfId="3219"/>
    <cellStyle name="v 2" xfId="3220"/>
    <cellStyle name="Warning Text 2 6" xfId="3221"/>
    <cellStyle name="Note 7 5 2 4" xfId="3222"/>
    <cellStyle name="Note 7 2 4 2 4" xfId="3223"/>
    <cellStyle name="Note 3 6 2 2 4" xfId="3224"/>
    <cellStyle name="Input 4 4 2 2 4" xfId="3225"/>
    <cellStyle name="Normal 345" xfId="3226"/>
    <cellStyle name="Comma 20 7" xfId="3227"/>
    <cellStyle name="Normal 2 5 3" xfId="3228"/>
    <cellStyle name="Comma 2 8" xfId="3229"/>
    <cellStyle name="Comma 3 15" xfId="3230"/>
    <cellStyle name="Normal 3 6" xfId="3231"/>
    <cellStyle name="Normal 346" xfId="3232"/>
    <cellStyle name="_%(SignOnly) 2" xfId="3233"/>
    <cellStyle name="_%(SignSpaceOnly) 2" xfId="3234"/>
    <cellStyle name="_Comma 2" xfId="3235"/>
    <cellStyle name="_Currency 2" xfId="3236"/>
    <cellStyle name="_CurrencySpace 2" xfId="3237"/>
    <cellStyle name="_Euro 2" xfId="3238"/>
    <cellStyle name="_Highlight 2" xfId="3239"/>
    <cellStyle name="_Multiple 2" xfId="3240"/>
    <cellStyle name="_MultipleSpace 2" xfId="3241"/>
    <cellStyle name="Accent4 8" xfId="3242"/>
    <cellStyle name="20% - Accent1 7" xfId="3243"/>
    <cellStyle name="20% - Accent1 3 2" xfId="3244"/>
    <cellStyle name="20% - Accent1 4 2" xfId="3245"/>
    <cellStyle name="20% - Accent1 5" xfId="3246"/>
    <cellStyle name="20% - Accent1 6" xfId="3247"/>
    <cellStyle name="20% - Accent2 7" xfId="3248"/>
    <cellStyle name="20% - Accent2 3 2" xfId="3249"/>
    <cellStyle name="20% - Accent2 4 2" xfId="3250"/>
    <cellStyle name="20% - Accent2 5" xfId="3251"/>
    <cellStyle name="20% - Accent2 6" xfId="3252"/>
    <cellStyle name="20% - Accent3 7" xfId="3253"/>
    <cellStyle name="20% - Accent3 3 2" xfId="3254"/>
    <cellStyle name="20% - Accent3 4 2" xfId="3255"/>
    <cellStyle name="20% - Accent3 5" xfId="3256"/>
    <cellStyle name="20% - Accent3 6" xfId="3257"/>
    <cellStyle name="20% - Accent4 7" xfId="3258"/>
    <cellStyle name="20% - Accent4 3 2" xfId="3259"/>
    <cellStyle name="20% - Accent4 4 2" xfId="3260"/>
    <cellStyle name="20% - Accent4 5" xfId="3261"/>
    <cellStyle name="20% - Accent4 6" xfId="3262"/>
    <cellStyle name="20% - Accent5 3 2" xfId="3263"/>
    <cellStyle name="20% - Accent5 4 2" xfId="3264"/>
    <cellStyle name="20% - Accent5 5" xfId="3265"/>
    <cellStyle name="20% - Accent5 6" xfId="3266"/>
    <cellStyle name="20% - Accent6 3 2" xfId="3267"/>
    <cellStyle name="20% - Accent6 4 2" xfId="3268"/>
    <cellStyle name="20% - Accent6 5" xfId="3269"/>
    <cellStyle name="20% - Accent6 6" xfId="3270"/>
    <cellStyle name="40% - Accent1 7" xfId="3271"/>
    <cellStyle name="40% - Accent1 3 2" xfId="3272"/>
    <cellStyle name="40% - Accent1 4 2" xfId="3273"/>
    <cellStyle name="40% - Accent1 5" xfId="3274"/>
    <cellStyle name="40% - Accent1 6" xfId="3275"/>
    <cellStyle name="40% - Accent2 3 2" xfId="3276"/>
    <cellStyle name="40% - Accent2 4 2" xfId="3277"/>
    <cellStyle name="40% - Accent2 5" xfId="3278"/>
    <cellStyle name="40% - Accent2 6" xfId="3279"/>
    <cellStyle name="40% - Accent3 7" xfId="3280"/>
    <cellStyle name="40% - Accent3 3 2" xfId="3281"/>
    <cellStyle name="40% - Accent3 4 2" xfId="3282"/>
    <cellStyle name="40% - Accent3 5" xfId="3283"/>
    <cellStyle name="40% - Accent3 6" xfId="3284"/>
    <cellStyle name="40% - Accent4 7" xfId="3285"/>
    <cellStyle name="40% - Accent4 3 2" xfId="3286"/>
    <cellStyle name="40% - Accent4 4 2" xfId="3287"/>
    <cellStyle name="40% - Accent4 5" xfId="3288"/>
    <cellStyle name="40% - Accent4 6" xfId="3289"/>
    <cellStyle name="40% - Accent5 3 2" xfId="3290"/>
    <cellStyle name="40% - Accent5 4 2" xfId="3291"/>
    <cellStyle name="40% - Accent5 5" xfId="3292"/>
    <cellStyle name="40% - Accent5 6" xfId="3293"/>
    <cellStyle name="40% - Accent6 7" xfId="3294"/>
    <cellStyle name="Accent1 8" xfId="3295"/>
    <cellStyle name="40% - Accent6 3 2" xfId="3296"/>
    <cellStyle name="40% - Accent6 4 2" xfId="3297"/>
    <cellStyle name="40% - Accent6 5" xfId="3298"/>
    <cellStyle name="40% - Accent6 6" xfId="3299"/>
    <cellStyle name="60% - Accent1 7" xfId="3300"/>
    <cellStyle name="60% - Accent1 3 2" xfId="3301"/>
    <cellStyle name="60% - Accent1 4 2" xfId="3302"/>
    <cellStyle name="60% - Accent1 5" xfId="3303"/>
    <cellStyle name="60% - Accent1 6" xfId="3304"/>
    <cellStyle name="60% - Accent2 3 2" xfId="3305"/>
    <cellStyle name="60% - Accent2 4 2" xfId="3306"/>
    <cellStyle name="60% - Accent2 5" xfId="3307"/>
    <cellStyle name="60% - Accent2 6" xfId="3308"/>
    <cellStyle name="60% - Accent3 7" xfId="3309"/>
    <cellStyle name="60% - Accent3 3 2" xfId="3310"/>
    <cellStyle name="60% - Accent3 4 2" xfId="3311"/>
    <cellStyle name="60% - Accent3 5" xfId="3312"/>
    <cellStyle name="60% - Accent3 6" xfId="3313"/>
    <cellStyle name="60% - Accent4 7" xfId="3314"/>
    <cellStyle name="60% - Accent4 3 2" xfId="3315"/>
    <cellStyle name="60% - Accent4 4 2" xfId="3316"/>
    <cellStyle name="60% - Accent4 5" xfId="3317"/>
    <cellStyle name="60% - Accent4 6" xfId="3318"/>
    <cellStyle name="60% - Accent6 8" xfId="3319"/>
    <cellStyle name="60% - Accent5 3 2" xfId="3320"/>
    <cellStyle name="60% - Accent5 4 2" xfId="3321"/>
    <cellStyle name="60% - Accent5 5" xfId="3322"/>
    <cellStyle name="60% - Accent5 6" xfId="3323"/>
    <cellStyle name="60% - Accent6 7" xfId="3324"/>
    <cellStyle name="60% - Accent6 3 2" xfId="3325"/>
    <cellStyle name="60% - Accent6 4 2" xfId="3326"/>
    <cellStyle name="60% - Accent6 5" xfId="3327"/>
    <cellStyle name="60% - Accent6 6" xfId="3328"/>
    <cellStyle name="Accent1 7" xfId="3329"/>
    <cellStyle name="Accent1 3 2" xfId="3330"/>
    <cellStyle name="Accent1 4 2" xfId="3331"/>
    <cellStyle name="Accent1 5" xfId="3332"/>
    <cellStyle name="Accent1 6" xfId="3333"/>
    <cellStyle name="Accent2 3 2" xfId="3334"/>
    <cellStyle name="Accent2 4 2" xfId="3335"/>
    <cellStyle name="Accent2 5" xfId="3336"/>
    <cellStyle name="Accent2 6" xfId="3337"/>
    <cellStyle name="Accent3 3 2" xfId="3338"/>
    <cellStyle name="Accent3 4 2" xfId="3339"/>
    <cellStyle name="Accent3 5" xfId="3340"/>
    <cellStyle name="Accent3 6" xfId="3341"/>
    <cellStyle name="Accent4 7" xfId="3342"/>
    <cellStyle name="Accent4 3 2" xfId="3343"/>
    <cellStyle name="Accent4 4 2" xfId="3344"/>
    <cellStyle name="Accent4 5" xfId="3345"/>
    <cellStyle name="Accent4 6" xfId="3346"/>
    <cellStyle name="Accent5 3 2" xfId="3347"/>
    <cellStyle name="Accent5 4 2" xfId="3348"/>
    <cellStyle name="Accent5 5" xfId="3349"/>
    <cellStyle name="Accent5 6" xfId="3350"/>
    <cellStyle name="60% - Accent4 8" xfId="3351"/>
    <cellStyle name="Accent6 3 2" xfId="3352"/>
    <cellStyle name="Accent6 4 2" xfId="3353"/>
    <cellStyle name="Accent6 5" xfId="3354"/>
    <cellStyle name="Accent6 6" xfId="3355"/>
    <cellStyle name="Adjustable 2" xfId="3356"/>
    <cellStyle name="Bad 3 2" xfId="3357"/>
    <cellStyle name="Bad 4 2" xfId="3358"/>
    <cellStyle name="Bad 5" xfId="3359"/>
    <cellStyle name="Bad 6" xfId="3360"/>
    <cellStyle name="Calculation 7" xfId="3361"/>
    <cellStyle name="Calculation 2 6" xfId="3362"/>
    <cellStyle name="Calculation 3 2" xfId="3363"/>
    <cellStyle name="Calculation 4 2" xfId="3364"/>
    <cellStyle name="Calculation 5" xfId="3365"/>
    <cellStyle name="Calculation 6" xfId="3366"/>
    <cellStyle name="Check Cell 7" xfId="3367"/>
    <cellStyle name="Output 9" xfId="3368"/>
    <cellStyle name="Check Cell 3 2" xfId="3369"/>
    <cellStyle name="Check Cell 4 2" xfId="3370"/>
    <cellStyle name="Check Cell 5" xfId="3371"/>
    <cellStyle name="Check Cell 6" xfId="3372"/>
    <cellStyle name="60% - Accent3 8" xfId="3373"/>
    <cellStyle name="Comma 11 4" xfId="3374"/>
    <cellStyle name="Comma 12 3" xfId="3375"/>
    <cellStyle name="Comma 12 2" xfId="3376"/>
    <cellStyle name="Comma 13 2 2" xfId="3377"/>
    <cellStyle name="Comma 14 2" xfId="3378"/>
    <cellStyle name="Comma 14 2 2" xfId="3379"/>
    <cellStyle name="Percent 233" xfId="3380"/>
    <cellStyle name="Comma 2 3 3" xfId="3381"/>
    <cellStyle name="Comma 2 3 2 2" xfId="3382"/>
    <cellStyle name="Comma 2 5 2" xfId="3383"/>
    <cellStyle name="Comma 2 6 2" xfId="3384"/>
    <cellStyle name="60% - Accent1 8" xfId="3385"/>
    <cellStyle name="Comma 5 6" xfId="3386"/>
    <cellStyle name="Comma 5 3 3" xfId="3387"/>
    <cellStyle name="Comma 6 2 2 2" xfId="3388"/>
    <cellStyle name="40% - Accent6 8" xfId="3389"/>
    <cellStyle name="Comma 7 3 2" xfId="3390"/>
    <cellStyle name="Comma 8 7" xfId="3391"/>
    <cellStyle name="Comma 8 2 2" xfId="3392"/>
    <cellStyle name="Currency 10" xfId="3393"/>
    <cellStyle name="Currency 2 2 2" xfId="3394"/>
    <cellStyle name="Currency 3 3" xfId="3395"/>
    <cellStyle name="Currency 3 2 2" xfId="3396"/>
    <cellStyle name="Currency 4 5" xfId="3397"/>
    <cellStyle name="Currency 5 2" xfId="3398"/>
    <cellStyle name="Currency 6 3" xfId="3399"/>
    <cellStyle name="Currency 6 2" xfId="3400"/>
    <cellStyle name="Currency 7 4" xfId="3401"/>
    <cellStyle name="Currency 7 2 3" xfId="3402"/>
    <cellStyle name="Currency 7 3" xfId="3403"/>
    <cellStyle name="Currency 8 3" xfId="3404"/>
    <cellStyle name="Date 3" xfId="3405"/>
    <cellStyle name="40% - Accent4 8" xfId="3406"/>
    <cellStyle name="Euro" xfId="3407"/>
    <cellStyle name="Explanatory Text 3 2" xfId="3408"/>
    <cellStyle name="Explanatory Text 4 2" xfId="3409"/>
    <cellStyle name="Explanatory Text 5" xfId="3410"/>
    <cellStyle name="Explanatory Text 6" xfId="3411"/>
    <cellStyle name="F2" xfId="3412"/>
    <cellStyle name="F3" xfId="3413"/>
    <cellStyle name="F4" xfId="3414"/>
    <cellStyle name="F5" xfId="3415"/>
    <cellStyle name="F6" xfId="3416"/>
    <cellStyle name="F7" xfId="3417"/>
    <cellStyle name="F8" xfId="3418"/>
    <cellStyle name="Good 3 2" xfId="3419"/>
    <cellStyle name="Good 4 2" xfId="3420"/>
    <cellStyle name="Good 5" xfId="3421"/>
    <cellStyle name="Good 6" xfId="3422"/>
    <cellStyle name="40% - Accent3 8" xfId="3423"/>
    <cellStyle name="Heading 1 7" xfId="3424"/>
    <cellStyle name="Heading 1 3 2" xfId="3425"/>
    <cellStyle name="Heading 1 4 2" xfId="3426"/>
    <cellStyle name="Heading 1 5" xfId="3427"/>
    <cellStyle name="Heading 1 6" xfId="3428"/>
    <cellStyle name="Heading 2 7" xfId="3429"/>
    <cellStyle name="Heading 2 3 2" xfId="3430"/>
    <cellStyle name="Heading 2 4 2" xfId="3431"/>
    <cellStyle name="Heading 2 5" xfId="3432"/>
    <cellStyle name="Heading 2 6" xfId="3433"/>
    <cellStyle name="Heading 3 7" xfId="3434"/>
    <cellStyle name="Heading 3 3 2" xfId="3435"/>
    <cellStyle name="Heading 3 4 2" xfId="3436"/>
    <cellStyle name="Heading 3 5" xfId="3437"/>
    <cellStyle name="Heading 3 6" xfId="3438"/>
    <cellStyle name="Heading 4 7" xfId="3439"/>
    <cellStyle name="Heading 4 3 2" xfId="3440"/>
    <cellStyle name="Heading 4 4 2" xfId="3441"/>
    <cellStyle name="Heading 4 5" xfId="3442"/>
    <cellStyle name="Heading 4 6" xfId="3443"/>
    <cellStyle name="Hyperlink 7" xfId="3444"/>
    <cellStyle name="Hyperlink 2 4" xfId="3445"/>
    <cellStyle name="Hyperlink 2 2" xfId="3446"/>
    <cellStyle name="Hyperlink 2 3" xfId="3447"/>
    <cellStyle name="Hyperlink 3 4" xfId="3448"/>
    <cellStyle name="Hyperlink 5 4" xfId="3449"/>
    <cellStyle name="Hyperlink 6 2" xfId="3450"/>
    <cellStyle name="Input 10" xfId="3451"/>
    <cellStyle name="Input 2 6" xfId="3452"/>
    <cellStyle name="Input 3 2" xfId="3453"/>
    <cellStyle name="Input 4 2" xfId="3454"/>
    <cellStyle name="Input 5 2" xfId="3455"/>
    <cellStyle name="Input 6 2" xfId="3456"/>
    <cellStyle name="Linked Cell 3 2" xfId="3457"/>
    <cellStyle name="Linked Cell 4 2" xfId="3458"/>
    <cellStyle name="Linked Cell 5" xfId="3459"/>
    <cellStyle name="Linked Cell 6" xfId="3460"/>
    <cellStyle name="40% - Accent1 8" xfId="3461"/>
    <cellStyle name="Neutral 3 2" xfId="3462"/>
    <cellStyle name="Neutral 4 2" xfId="3463"/>
    <cellStyle name="Neutral 5" xfId="3464"/>
    <cellStyle name="Neutral 6" xfId="3465"/>
    <cellStyle name="Normal 10 5" xfId="3466"/>
    <cellStyle name="Normal 11 5" xfId="3467"/>
    <cellStyle name="Normal 14 3" xfId="3468"/>
    <cellStyle name="Normal 2 2 2 2" xfId="3469"/>
    <cellStyle name="Normal 3 2 5" xfId="3470"/>
    <cellStyle name="Normal 4 2 6" xfId="3471"/>
    <cellStyle name="Normal 4 3 7" xfId="3472"/>
    <cellStyle name="Normal 5 6" xfId="3473"/>
    <cellStyle name="Normal 6 6" xfId="3474"/>
    <cellStyle name="Normal 7 2 4" xfId="3475"/>
    <cellStyle name="Normal 8 6" xfId="3476"/>
    <cellStyle name="Normal 8 2 4" xfId="3477"/>
    <cellStyle name="Normal 9 5" xfId="3478"/>
    <cellStyle name="Normal 9 2 3" xfId="3479"/>
    <cellStyle name="Note 11" xfId="3480"/>
    <cellStyle name="Note 10" xfId="3481"/>
    <cellStyle name="Note 10 2" xfId="3482"/>
    <cellStyle name="Note 2 6" xfId="3483"/>
    <cellStyle name="Note 2 2 3" xfId="3484"/>
    <cellStyle name="Note 3 4" xfId="3485"/>
    <cellStyle name="Note 3 2 4" xfId="3486"/>
    <cellStyle name="Note 4 3" xfId="3487"/>
    <cellStyle name="Note 4 2 2" xfId="3488"/>
    <cellStyle name="Note 5" xfId="3489"/>
    <cellStyle name="Note 5 2" xfId="3490"/>
    <cellStyle name="Note 6" xfId="3491"/>
    <cellStyle name="Note 6 2" xfId="3492"/>
    <cellStyle name="Note 7" xfId="3493"/>
    <cellStyle name="Note 7 2" xfId="3494"/>
    <cellStyle name="Note 8" xfId="3495"/>
    <cellStyle name="Note 9" xfId="3496"/>
    <cellStyle name="Output 7" xfId="3497"/>
    <cellStyle name="Output 2 6" xfId="3498"/>
    <cellStyle name="Output 3 2" xfId="3499"/>
    <cellStyle name="Output 4 2" xfId="3500"/>
    <cellStyle name="Output 5" xfId="3501"/>
    <cellStyle name="Output 6" xfId="3502"/>
    <cellStyle name="Percent 231" xfId="3503"/>
    <cellStyle name="Percent 10 5" xfId="3504"/>
    <cellStyle name="Percent 12 3" xfId="3505"/>
    <cellStyle name="Percent 14 3" xfId="3506"/>
    <cellStyle name="Percent 14 2 2" xfId="3507"/>
    <cellStyle name="Percent 2 5" xfId="3508"/>
    <cellStyle name="Percent 2 2 7" xfId="3509"/>
    <cellStyle name="20% - Accent4 8" xfId="3510"/>
    <cellStyle name="Percent 4 2 3" xfId="3511"/>
    <cellStyle name="Percent 4 2 2" xfId="3512"/>
    <cellStyle name="Percent 4 3 2" xfId="3513"/>
    <cellStyle name="Percent 5 2 2" xfId="3514"/>
    <cellStyle name="Percent 5 3" xfId="3515"/>
    <cellStyle name="20% - Accent3 8" xfId="3516"/>
    <cellStyle name="Percent 6 2 2" xfId="3517"/>
    <cellStyle name="Percent 6 3" xfId="3518"/>
    <cellStyle name="Percent 7 3" xfId="3519"/>
    <cellStyle name="Percent 7 2 2" xfId="3520"/>
    <cellStyle name="Percent 9 5" xfId="3521"/>
    <cellStyle name="PSChar 4" xfId="3522"/>
    <cellStyle name="PSChar 4 2" xfId="3523"/>
    <cellStyle name="PSChar 5" xfId="3524"/>
    <cellStyle name="PSChar 5 2" xfId="3525"/>
    <cellStyle name="PSChar 6" xfId="3526"/>
    <cellStyle name="20% - Accent2 8" xfId="3527"/>
    <cellStyle name="PSDate 4" xfId="3528"/>
    <cellStyle name="PSDate 4 2" xfId="3529"/>
    <cellStyle name="PSDate 5" xfId="3530"/>
    <cellStyle name="PSDate 5 2" xfId="3531"/>
    <cellStyle name="PSDate 6" xfId="3532"/>
    <cellStyle name="PSDec 4" xfId="3533"/>
    <cellStyle name="PSDec 4 2" xfId="3534"/>
    <cellStyle name="PSDec 5" xfId="3535"/>
    <cellStyle name="PSDec 5 2" xfId="3536"/>
    <cellStyle name="PSDec 6" xfId="3537"/>
    <cellStyle name="20% - Accent1 8" xfId="3538"/>
    <cellStyle name="PSHeading 4 2" xfId="3539"/>
    <cellStyle name="PSHeading 4_July2012_Access_to_Capital_Scenarios_Cost Tables 7132012" xfId="3540"/>
    <cellStyle name="PSHeading 5" xfId="3541"/>
    <cellStyle name="PSHeading 5 2" xfId="3542"/>
    <cellStyle name="PSHeading 6" xfId="3543"/>
    <cellStyle name="PSHeading_358_CGS_Lewis_UT_70Conserv" xfId="3544"/>
    <cellStyle name="PSInt 4" xfId="3545"/>
    <cellStyle name="PSInt 4 2" xfId="3546"/>
    <cellStyle name="PSInt 5" xfId="3547"/>
    <cellStyle name="PSInt 5 2" xfId="3548"/>
    <cellStyle name="PSInt 6" xfId="3549"/>
    <cellStyle name="PSSpacer 4" xfId="3550"/>
    <cellStyle name="PSSpacer 4 2" xfId="3551"/>
    <cellStyle name="PSSpacer 5" xfId="3552"/>
    <cellStyle name="PSSpacer 5 2" xfId="3553"/>
    <cellStyle name="PSSpacer 6" xfId="3554"/>
    <cellStyle name="Rate 2" xfId="3555"/>
    <cellStyle name="Rate 3" xfId="3556"/>
    <cellStyle name="Rate 4" xfId="3557"/>
    <cellStyle name="Rate 4 2" xfId="3558"/>
    <cellStyle name="Rate 5" xfId="3559"/>
    <cellStyle name="Rate 5 2" xfId="3560"/>
    <cellStyle name="Rate 6" xfId="3561"/>
    <cellStyle name="SectionBreak 2" xfId="3562"/>
    <cellStyle name="SectionBreak 3" xfId="3563"/>
    <cellStyle name="SectionBreak 4" xfId="3564"/>
    <cellStyle name="SectionBreak 4 2" xfId="3565"/>
    <cellStyle name="SectionBreak 5" xfId="3566"/>
    <cellStyle name="SectionBreak 5 2" xfId="3567"/>
    <cellStyle name="Table Heading 2" xfId="3568"/>
    <cellStyle name="Table Units 2" xfId="3569"/>
    <cellStyle name="Thousands" xfId="3570"/>
    <cellStyle name="Total 7" xfId="3571"/>
    <cellStyle name="Total 2 7" xfId="3572"/>
    <cellStyle name="Total 3 2" xfId="3573"/>
    <cellStyle name="Total 4 2" xfId="3574"/>
    <cellStyle name="Total 5" xfId="3575"/>
    <cellStyle name="Total 6" xfId="3576"/>
    <cellStyle name="v 3" xfId="3577"/>
    <cellStyle name="Normal 347" xfId="3578"/>
    <cellStyle name="Warning Text 3 2" xfId="3579"/>
    <cellStyle name="Warning Text 4 2" xfId="3580"/>
    <cellStyle name="Warning Text 5" xfId="3581"/>
    <cellStyle name="Warning Text 6" xfId="3582"/>
    <cellStyle name="Calculation 8" xfId="3583"/>
    <cellStyle name="Check Cell 8" xfId="3584"/>
    <cellStyle name="Input 12" xfId="3585"/>
    <cellStyle name="Heading 3 9" xfId="3586"/>
    <cellStyle name="Heading 2 9" xfId="3587"/>
    <cellStyle name="Heading 1 9" xfId="3588"/>
    <cellStyle name="Heading 1 8" xfId="3589"/>
    <cellStyle name="Heading 2 8" xfId="3590"/>
    <cellStyle name="Heading 3 8" xfId="3591"/>
    <cellStyle name="Input 11" xfId="3592"/>
    <cellStyle name="Check Cell 9" xfId="3593"/>
    <cellStyle name="Calculation 9" xfId="3594"/>
    <cellStyle name="Accent4 9" xfId="3595"/>
    <cellStyle name="Accent1 9" xfId="3596"/>
    <cellStyle name="60% - Accent6 9" xfId="3597"/>
    <cellStyle name="Output 8" xfId="3598"/>
    <cellStyle name="Percent 232" xfId="3599"/>
    <cellStyle name="60% - Accent4 9" xfId="3600"/>
    <cellStyle name="60% - Accent3 9" xfId="3601"/>
    <cellStyle name="60% - Accent1 9" xfId="3602"/>
    <cellStyle name="40% - Accent6 9" xfId="3603"/>
    <cellStyle name="40% - Accent4 9" xfId="3604"/>
    <cellStyle name="40% - Accent3 9" xfId="3605"/>
    <cellStyle name="40% - Accent1 9" xfId="3606"/>
    <cellStyle name="20% - Accent4 9" xfId="3607"/>
    <cellStyle name="20% - Accent3 9" xfId="3608"/>
    <cellStyle name="20% - Accent2 9" xfId="3609"/>
    <cellStyle name="20% - Accent1 9" xfId="3610"/>
    <cellStyle name="Table Head Aligned 2" xfId="3611"/>
    <cellStyle name="Table Head Green 2" xfId="3612"/>
    <cellStyle name="Thousands 2" xfId="3613"/>
    <cellStyle name="Total 8" xfId="3614"/>
    <cellStyle name="Normal 348" xfId="3615"/>
    <cellStyle name="Total 9" xfId="3616"/>
    <cellStyle name="Normal 349" xfId="3617"/>
    <cellStyle name="20% - Accent1 10" xfId="3618"/>
    <cellStyle name="20% - Accent1 6 2" xfId="3619"/>
    <cellStyle name="20% - Accent2 10" xfId="3620"/>
    <cellStyle name="20% - Accent2 6 2" xfId="3621"/>
    <cellStyle name="20% - Accent3 10" xfId="3622"/>
    <cellStyle name="20% - Accent3 6 2" xfId="3623"/>
    <cellStyle name="20% - Accent4 10" xfId="3624"/>
    <cellStyle name="20% - Accent4 6 2" xfId="3625"/>
    <cellStyle name="20% - Accent5 6 2" xfId="3626"/>
    <cellStyle name="20% - Accent6 6 2" xfId="3627"/>
    <cellStyle name="40% - Accent1 10" xfId="3628"/>
    <cellStyle name="40% - Accent1 6 2" xfId="3629"/>
    <cellStyle name="Percent 237" xfId="3630"/>
    <cellStyle name="40% - Accent2 6 2" xfId="3631"/>
    <cellStyle name="40% - Accent3 10" xfId="3632"/>
    <cellStyle name="40% - Accent3 6 2" xfId="3633"/>
    <cellStyle name="40% - Accent4 10" xfId="3634"/>
    <cellStyle name="Percent 235" xfId="3635"/>
    <cellStyle name="40% - Accent4 6 2" xfId="3636"/>
    <cellStyle name="Output 5 2" xfId="3637"/>
    <cellStyle name="Output 4 3" xfId="3638"/>
    <cellStyle name="Output 3 3" xfId="3639"/>
    <cellStyle name="Output 2 7" xfId="3640"/>
    <cellStyle name="Output 11" xfId="3641"/>
    <cellStyle name="40% - Accent5 6 2" xfId="3642"/>
    <cellStyle name="40% - Accent6 10" xfId="3643"/>
    <cellStyle name="40% - Accent6 6 2" xfId="3644"/>
    <cellStyle name="60% - Accent1 10" xfId="3645"/>
    <cellStyle name="60% - Accent3 10" xfId="3646"/>
    <cellStyle name="60% - Accent4 10" xfId="3647"/>
    <cellStyle name="60% - Accent6 10" xfId="3648"/>
    <cellStyle name="Accent1 10" xfId="3649"/>
    <cellStyle name="Accent4 10" xfId="3650"/>
    <cellStyle name="Input 5 3" xfId="3651"/>
    <cellStyle name="Input 4 3" xfId="3652"/>
    <cellStyle name="Input 3 3" xfId="3653"/>
    <cellStyle name="Input 2 7" xfId="3654"/>
    <cellStyle name="Calculation 10" xfId="3655"/>
    <cellStyle name="Input 14" xfId="3656"/>
    <cellStyle name="Input 16" xfId="3657"/>
    <cellStyle name="Check Cell 10" xfId="3658"/>
    <cellStyle name="Heading 1 10" xfId="3659"/>
    <cellStyle name="Heading 2 10" xfId="3660"/>
    <cellStyle name="Input 17" xfId="3661"/>
    <cellStyle name="Heading 3 10" xfId="3662"/>
    <cellStyle name="Input 15" xfId="3663"/>
    <cellStyle name="Input 13" xfId="3664"/>
    <cellStyle name="Calculation 5 2" xfId="3665"/>
    <cellStyle name="Calculation 4 3" xfId="3666"/>
    <cellStyle name="Calculation 3 3" xfId="3667"/>
    <cellStyle name="Calculation 2 7" xfId="3668"/>
    <cellStyle name="Calculation 11" xfId="3669"/>
    <cellStyle name="Normal 10 6" xfId="3670"/>
    <cellStyle name="Normal 11 6" xfId="3671"/>
    <cellStyle name="Normal 14 4" xfId="3672"/>
    <cellStyle name="Normal 2 2 2 3" xfId="3673"/>
    <cellStyle name="Normal 8 7" xfId="3674"/>
    <cellStyle name="Output 10" xfId="3675"/>
    <cellStyle name="Note 12" xfId="3676"/>
    <cellStyle name="Percent 234" xfId="3677"/>
    <cellStyle name="Note 2 7" xfId="3678"/>
    <cellStyle name="Note 2 2 4" xfId="3679"/>
    <cellStyle name="Note 3 5" xfId="3680"/>
    <cellStyle name="Note 3 2 5" xfId="3681"/>
    <cellStyle name="Note 4 4" xfId="3682"/>
    <cellStyle name="Note 4 2 3" xfId="3683"/>
    <cellStyle name="Note 5 3" xfId="3684"/>
    <cellStyle name="Note 5 2 2" xfId="3685"/>
    <cellStyle name="Note 6 3" xfId="3686"/>
    <cellStyle name="Note 6 2 2" xfId="3687"/>
    <cellStyle name="Note 7 3" xfId="3688"/>
    <cellStyle name="Note 7 2 2" xfId="3689"/>
    <cellStyle name="Note 8 2" xfId="3690"/>
    <cellStyle name="Note 9 2" xfId="3691"/>
    <cellStyle name="Output 12" xfId="3692"/>
    <cellStyle name="Output 2 8" xfId="3693"/>
    <cellStyle name="Output 3 4" xfId="3694"/>
    <cellStyle name="Output 4 4" xfId="3695"/>
    <cellStyle name="Output 5 3" xfId="3696"/>
    <cellStyle name="Percent 236" xfId="3697"/>
    <cellStyle name="Percent 238" xfId="3698"/>
    <cellStyle name="Total 10" xfId="3699"/>
    <cellStyle name="Normal 350" xfId="3700"/>
    <cellStyle name="Table Head Aligned 3" xfId="3701"/>
    <cellStyle name="Table Head Green 3" xfId="3702"/>
    <cellStyle name="Thousands 3" xfId="3703"/>
    <cellStyle name="Total 11" xfId="3704"/>
    <cellStyle name="Total 2 8" xfId="3705"/>
    <cellStyle name="Total 3 3" xfId="3706"/>
    <cellStyle name="Total 4 3" xfId="3707"/>
    <cellStyle name="Total 5 2" xfId="3708"/>
    <cellStyle name="Normal 351" xfId="3709"/>
    <cellStyle name="Table Head Aligned 4" xfId="3710"/>
    <cellStyle name="Table Head Green 4" xfId="3711"/>
    <cellStyle name="Thousands 4" xfId="3712"/>
    <cellStyle name="Total 12" xfId="3713"/>
    <cellStyle name="Total 2 9" xfId="3714"/>
    <cellStyle name="Total 3 4" xfId="3715"/>
    <cellStyle name="Total 4 4" xfId="3716"/>
    <cellStyle name="Total 5 3" xfId="3717"/>
    <cellStyle name="Normal 352" xfId="3718"/>
    <cellStyle name="Normal 353" xfId="3719"/>
    <cellStyle name="Normal 354" xfId="3720"/>
    <cellStyle name="20% - Accent1 6 3" xfId="3721"/>
    <cellStyle name="20% - Accent2 6 3" xfId="3722"/>
    <cellStyle name="20% - Accent3 6 3" xfId="3723"/>
    <cellStyle name="20% - Accent4 6 3" xfId="3724"/>
    <cellStyle name="20% - Accent5 6 3" xfId="3725"/>
    <cellStyle name="20% - Accent6 6 3" xfId="3726"/>
    <cellStyle name="40% - Accent1 6 3" xfId="3727"/>
    <cellStyle name="40% - Accent2 6 3" xfId="3728"/>
    <cellStyle name="40% - Accent3 6 3" xfId="3729"/>
    <cellStyle name="40% - Accent4 6 3" xfId="3730"/>
    <cellStyle name="40% - Accent5 6 3" xfId="3731"/>
    <cellStyle name="40% - Accent6 6 3" xfId="3732"/>
    <cellStyle name="Comma 21 4" xfId="3733"/>
    <cellStyle name="Currency 11" xfId="3734"/>
    <cellStyle name="Input 18" xfId="3735"/>
    <cellStyle name="Normal 10 7" xfId="3736"/>
    <cellStyle name="Normal 11 7" xfId="3737"/>
    <cellStyle name="Normal 14 5" xfId="3738"/>
    <cellStyle name="Normal 2 2 2 4" xfId="3739"/>
    <cellStyle name="Normal 8 8" xfId="3740"/>
    <cellStyle name="Percent 239" xfId="3741"/>
    <cellStyle name="Calculation 12" xfId="3742"/>
    <cellStyle name="Input 19" xfId="3743"/>
    <cellStyle name="Note 13" xfId="3744"/>
    <cellStyle name="Output 13" xfId="3745"/>
    <cellStyle name="Total 13" xfId="3746"/>
    <cellStyle name="Normal 8 9" xfId="3747"/>
    <cellStyle name="Comma 13 4" xfId="3748"/>
    <cellStyle name="Currency 7 5" xfId="3749"/>
    <cellStyle name="Calculation 2 8" xfId="3750"/>
    <cellStyle name="Calculation 3 4" xfId="3751"/>
    <cellStyle name="Calculation 4 4" xfId="3752"/>
    <cellStyle name="Calculation 5 3" xfId="3753"/>
    <cellStyle name="Comma 14 2 3" xfId="3754"/>
    <cellStyle name="Input 2 8" xfId="3755"/>
    <cellStyle name="Input 3 4" xfId="3756"/>
    <cellStyle name="Input 4 4" xfId="3757"/>
    <cellStyle name="Input 5 4" xfId="3758"/>
    <cellStyle name="Normal 10 8" xfId="3759"/>
    <cellStyle name="Note 2 8" xfId="3760"/>
    <cellStyle name="Note 2 2 5" xfId="3761"/>
    <cellStyle name="Note 3 6" xfId="3762"/>
    <cellStyle name="Note 3 2 6" xfId="3763"/>
    <cellStyle name="Note 4 5" xfId="3764"/>
    <cellStyle name="Note 4 2 4" xfId="3765"/>
    <cellStyle name="Note 5 4" xfId="3766"/>
    <cellStyle name="Note 5 2 3" xfId="3767"/>
    <cellStyle name="Note 6 4" xfId="3768"/>
    <cellStyle name="Note 6 2 3" xfId="3769"/>
    <cellStyle name="Note 7 4" xfId="3770"/>
    <cellStyle name="Note 7 2 3" xfId="3771"/>
    <cellStyle name="Note 8 3" xfId="3772"/>
    <cellStyle name="Output 2 9" xfId="3773"/>
    <cellStyle name="Output 3 5" xfId="3774"/>
    <cellStyle name="Output 4 5" xfId="3775"/>
    <cellStyle name="Output 5 4" xfId="3776"/>
    <cellStyle name="Table Head Aligned 5" xfId="3777"/>
    <cellStyle name="Table Head Green 5" xfId="3778"/>
    <cellStyle name="Total 2 10" xfId="3779"/>
    <cellStyle name="Total 3 5" xfId="3780"/>
    <cellStyle name="Total 4 5" xfId="3781"/>
    <cellStyle name="Total 5 4" xfId="3782"/>
    <cellStyle name="Normal 11 8" xfId="3783"/>
    <cellStyle name="Normal 14 6" xfId="3784"/>
    <cellStyle name="Normal 43 3" xfId="3785"/>
    <cellStyle name="Normal 44 3" xfId="3786"/>
    <cellStyle name="Input 20" xfId="3787"/>
    <cellStyle name="Normal 8 10" xfId="3788"/>
    <cellStyle name="Comma 13 5" xfId="3789"/>
    <cellStyle name="Currency 7 6" xfId="3790"/>
    <cellStyle name="Normal 10 9" xfId="3791"/>
    <cellStyle name="Rate 7" xfId="3792"/>
    <cellStyle name="Rate 2 2" xfId="3793"/>
    <cellStyle name="Rate 3 2" xfId="3794"/>
    <cellStyle name="Rate 4 3" xfId="3795"/>
    <cellStyle name="Rate 4 2 2" xfId="3796"/>
    <cellStyle name="Rate 5 3" xfId="3797"/>
    <cellStyle name="Rate 5 2 2" xfId="3798"/>
    <cellStyle name="Rate 6 2" xfId="3799"/>
    <cellStyle name="Table Units 3" xfId="3800"/>
    <cellStyle name="Table Units 2 2" xfId="3801"/>
    <cellStyle name="Normal 11 9" xfId="3802"/>
    <cellStyle name="Normal 14 7" xfId="3803"/>
    <cellStyle name="Normal 43 4" xfId="3804"/>
    <cellStyle name="Normal 44 4" xfId="3805"/>
    <cellStyle name="Normal 355" xfId="3806"/>
    <cellStyle name="Comma 22 7" xfId="3807"/>
    <cellStyle name="Input 21" xfId="3808"/>
    <cellStyle name="Normal 8 11" xfId="3809"/>
    <cellStyle name="Comma 13 6" xfId="3810"/>
    <cellStyle name="Currency 7 7" xfId="3811"/>
    <cellStyle name="Normal 10 10" xfId="3812"/>
    <cellStyle name="Normal 11 10" xfId="3813"/>
    <cellStyle name="Normal 14 8" xfId="3814"/>
    <cellStyle name="Normal 43 5" xfId="3815"/>
    <cellStyle name="Normal 44 5" xfId="3816"/>
    <cellStyle name="Note 6 7" xfId="3817"/>
    <cellStyle name="Note 5 7" xfId="3818"/>
    <cellStyle name="Note 4 3 4" xfId="3819"/>
    <cellStyle name="Note 3 4 4" xfId="3820"/>
    <cellStyle name="Note 2 6 4" xfId="3821"/>
    <cellStyle name="Input 5 2 4" xfId="3822"/>
    <cellStyle name="Input 4 2 4" xfId="3823"/>
    <cellStyle name="Input 3 2 4" xfId="3824"/>
    <cellStyle name="20% - Accent1 4 4" xfId="3825"/>
    <cellStyle name="20% - Accent2 4 4" xfId="3826"/>
    <cellStyle name="20% - Accent3 4 4" xfId="3827"/>
    <cellStyle name="20% - Accent4 4 4" xfId="3828"/>
    <cellStyle name="20% - Accent5 4 4" xfId="3829"/>
    <cellStyle name="Calculation 5 6" xfId="3830"/>
    <cellStyle name="Calculation 4 2 4" xfId="3831"/>
    <cellStyle name="Calculation 3 2 4" xfId="3832"/>
    <cellStyle name="Calculation 2 6 4" xfId="3833"/>
    <cellStyle name="Calculation 7 4" xfId="3834"/>
    <cellStyle name="20% - Accent6 4 4" xfId="3835"/>
    <cellStyle name="Calculation 3 2 5" xfId="3836"/>
    <cellStyle name="Calculation 4 2 5" xfId="3837"/>
    <cellStyle name="40% - Accent1 4 4" xfId="3838"/>
    <cellStyle name="Input 10 5" xfId="3839"/>
    <cellStyle name="40% - Accent2 4 4" xfId="3840"/>
    <cellStyle name="40% - Accent3 4 4" xfId="3841"/>
    <cellStyle name="Calculation 8 5" xfId="3842"/>
    <cellStyle name="40% - Accent4 4 4" xfId="3843"/>
    <cellStyle name="Input 16 5" xfId="3844"/>
    <cellStyle name="40% - Accent5 4 4" xfId="3845"/>
    <cellStyle name="Total 13 5" xfId="3846"/>
    <cellStyle name="Calculation 3 4 5" xfId="3847"/>
    <cellStyle name="40% - Accent6 4 4" xfId="3848"/>
    <cellStyle name="Calculation 2 9 3" xfId="3849"/>
    <cellStyle name="Calculation 2 2 5 3" xfId="3850"/>
    <cellStyle name="Calculation 2 2 3 2 3" xfId="3851"/>
    <cellStyle name="Calculation 2 3 2 3" xfId="3852"/>
    <cellStyle name="Total 2 4 3 3" xfId="3853"/>
    <cellStyle name="Calculation 2 11" xfId="3854"/>
    <cellStyle name="Calculation 2 2 7" xfId="3855"/>
    <cellStyle name="Calculation 2 2 2 4" xfId="3856"/>
    <cellStyle name="Calculation 2 2 3 4" xfId="3857"/>
    <cellStyle name="Calculation 2 2 4 4" xfId="3858"/>
    <cellStyle name="Calculation 2 3 4" xfId="3859"/>
    <cellStyle name="Calculation 2 4 4" xfId="3860"/>
    <cellStyle name="Calculation 3 7" xfId="3861"/>
    <cellStyle name="Header2 3" xfId="3862"/>
    <cellStyle name="Input 2 11" xfId="3863"/>
    <cellStyle name="Input 2 2 7" xfId="3864"/>
    <cellStyle name="Input 2 2 2 4" xfId="3865"/>
    <cellStyle name="Input 2 2 3 4" xfId="3866"/>
    <cellStyle name="Input 2 2 4 4" xfId="3867"/>
    <cellStyle name="Input 2 3 4" xfId="3868"/>
    <cellStyle name="Input 2 4 4" xfId="3869"/>
    <cellStyle name="Input 5 7" xfId="3870"/>
    <cellStyle name="Input 6 5" xfId="3871"/>
    <cellStyle name="Input 7 4" xfId="3872"/>
    <cellStyle name="Input 8 4" xfId="3873"/>
    <cellStyle name="Normal 10 3 3" xfId="3874"/>
    <cellStyle name="Normal 11 3 3 3" xfId="3875"/>
    <cellStyle name="Calculation 5 2 5" xfId="3876"/>
    <cellStyle name="Input 18 5" xfId="3877"/>
    <cellStyle name="Calculation 3 5 3" xfId="3878"/>
    <cellStyle name="Input 7 2 3" xfId="3879"/>
    <cellStyle name="Normal 18 3 3 3" xfId="3880"/>
    <cellStyle name="Normal 182 3 3" xfId="3881"/>
    <cellStyle name="Normal 183 3 3" xfId="3882"/>
    <cellStyle name="Normal 184 3 3" xfId="3883"/>
    <cellStyle name="Normal 185 2 3 3" xfId="3884"/>
    <cellStyle name="Normal 199 3 3" xfId="3885"/>
    <cellStyle name="Normal 20 3 3 3" xfId="3886"/>
    <cellStyle name="Normal 221 2 3" xfId="3887"/>
    <cellStyle name="Normal 222 2 3" xfId="3888"/>
    <cellStyle name="Normal 264 3" xfId="3889"/>
    <cellStyle name="Normal 3 3 2 3 3" xfId="3890"/>
    <cellStyle name="Normal 4 2 2 2 3 3" xfId="3891"/>
    <cellStyle name="Normal 4 2 2 4 3" xfId="3892"/>
    <cellStyle name="Normal 4 2 3 3 3" xfId="3893"/>
    <cellStyle name="Normal 4 2 5 3" xfId="3894"/>
    <cellStyle name="Normal 4 3 2 3 3" xfId="3895"/>
    <cellStyle name="Normal 4 3 5 3" xfId="3896"/>
    <cellStyle name="Normal 4 3 6 3" xfId="3897"/>
    <cellStyle name="Normal 4 4 2 3 3" xfId="3898"/>
    <cellStyle name="Normal 4 4 4 3" xfId="3899"/>
    <cellStyle name="Normal 4 7 3" xfId="3900"/>
    <cellStyle name="Normal 49 3 3 3" xfId="3901"/>
    <cellStyle name="Normal 5 2 3 3" xfId="3902"/>
    <cellStyle name="Normal 5 4 3" xfId="3903"/>
    <cellStyle name="Normal 6 2 3 3" xfId="3904"/>
    <cellStyle name="Normal 6 4 3" xfId="3905"/>
    <cellStyle name="Normal 7 2 3 3" xfId="3906"/>
    <cellStyle name="Normal 7 4 3" xfId="3907"/>
    <cellStyle name="Normal 8 2 3 3" xfId="3908"/>
    <cellStyle name="Normal 8 4 3" xfId="3909"/>
    <cellStyle name="Normal 9 3 3" xfId="3910"/>
    <cellStyle name="Note 2 3 5" xfId="3911"/>
    <cellStyle name="Note 2 4 5" xfId="3912"/>
    <cellStyle name="Note 3 2 9" xfId="3913"/>
    <cellStyle name="Note 3 2 2 4" xfId="3914"/>
    <cellStyle name="Output 2 12" xfId="3915"/>
    <cellStyle name="Output 2 2 7" xfId="3916"/>
    <cellStyle name="Output 2 2 2 4" xfId="3917"/>
    <cellStyle name="Output 2 2 3 4" xfId="3918"/>
    <cellStyle name="Output 2 2 4 4" xfId="3919"/>
    <cellStyle name="Output 2 3 4" xfId="3920"/>
    <cellStyle name="Output 2 4 4" xfId="3921"/>
    <cellStyle name="Output 3 8" xfId="3922"/>
    <cellStyle name="Header2 4" xfId="3923"/>
    <cellStyle name="Calculation 7 5" xfId="3924"/>
    <cellStyle name="Input 2 6 5" xfId="3925"/>
    <cellStyle name="Input 11 5" xfId="3926"/>
    <cellStyle name="Input 17 5" xfId="3927"/>
    <cellStyle name="Calculation 11 5" xfId="3928"/>
    <cellStyle name="Input 5 4 5" xfId="3929"/>
    <cellStyle name="Note 2 8 5" xfId="3930"/>
    <cellStyle name="Note 3 6 5" xfId="3931"/>
    <cellStyle name="StmtTtl2 4" xfId="3932"/>
    <cellStyle name="Input 21 5" xfId="3933"/>
    <cellStyle name="Calculation 2 2 4 2 3" xfId="3934"/>
    <cellStyle name="Calculation 2 4 2 3" xfId="3935"/>
    <cellStyle name="Header2 2 3" xfId="3936"/>
    <cellStyle name="Input 2 5 3 3" xfId="3937"/>
    <cellStyle name="Input 2 2 2 2 3" xfId="3938"/>
    <cellStyle name="Input 2 2 3 2 3" xfId="3939"/>
    <cellStyle name="Input 2 3 2 3" xfId="3940"/>
    <cellStyle name="Input 2 4 2 3" xfId="3941"/>
    <cellStyle name="Input 2 5 2 3" xfId="3942"/>
    <cellStyle name="Input 3 5 3" xfId="3943"/>
    <cellStyle name="Total 2 13" xfId="3944"/>
    <cellStyle name="Total 2 2 7" xfId="3945"/>
    <cellStyle name="Total 2 2 2 4" xfId="3946"/>
    <cellStyle name="Total 2 2 3 4" xfId="3947"/>
    <cellStyle name="Total 2 2 4 4" xfId="3948"/>
    <cellStyle name="Total 2 3 4" xfId="3949"/>
    <cellStyle name="Total 2 4 4" xfId="3950"/>
    <cellStyle name="Total 2 5 4" xfId="3951"/>
    <cellStyle name="Total 3 8" xfId="3952"/>
    <cellStyle name="Input 4 5 3" xfId="3953"/>
    <cellStyle name="Input 8 2 3" xfId="3954"/>
    <cellStyle name="Total 2 2 4 3 3" xfId="3955"/>
    <cellStyle name="Total 2 2 3 3 3" xfId="3956"/>
    <cellStyle name="Comma 19 3" xfId="3957"/>
    <cellStyle name="Note 3 2 4 4" xfId="3958"/>
    <cellStyle name="Note 11 4" xfId="3959"/>
    <cellStyle name="Input 2 6 4" xfId="3960"/>
    <cellStyle name="Input 3 2 5" xfId="3961"/>
    <cellStyle name="Note 4 2 6 3" xfId="3962"/>
    <cellStyle name="Calculation 2 5 4" xfId="3963"/>
    <cellStyle name="Comma 6 10 3" xfId="3964"/>
    <cellStyle name="Comma 8 6 3" xfId="3965"/>
    <cellStyle name="Input 2 5 4" xfId="3966"/>
    <cellStyle name="Total 3 5 5" xfId="3967"/>
    <cellStyle name="Input 2 2 5 3" xfId="3968"/>
    <cellStyle name="Input 5 5 3" xfId="3969"/>
    <cellStyle name="Total 2 12 3" xfId="3970"/>
    <cellStyle name="Normal 51 3 3" xfId="3971"/>
    <cellStyle name="Normal 52 3 3" xfId="3972"/>
    <cellStyle name="Note 2 2 2 4" xfId="3973"/>
    <cellStyle name="Note 2 3 2 4" xfId="3974"/>
    <cellStyle name="Note 2 4 2 4" xfId="3975"/>
    <cellStyle name="Note 2 5 4" xfId="3976"/>
    <cellStyle name="Note 3 3 4" xfId="3977"/>
    <cellStyle name="Output 2 5 4" xfId="3978"/>
    <cellStyle name="Calculation 2 6 5" xfId="3979"/>
    <cellStyle name="Input 4 2 5" xfId="3980"/>
    <cellStyle name="Input 5 2 5" xfId="3981"/>
    <cellStyle name="Calculation 9 5" xfId="3982"/>
    <cellStyle name="Note 2 2 5 5" xfId="3983"/>
    <cellStyle name="Input 20 5" xfId="3984"/>
    <cellStyle name="Input 2 2 4 2 3" xfId="3985"/>
    <cellStyle name="Total 2 6 4" xfId="3986"/>
    <cellStyle name="Normal 345 5" xfId="3987"/>
    <cellStyle name="Comma 20 3" xfId="3988"/>
    <cellStyle name="Note 5 2 6" xfId="3989"/>
    <cellStyle name="Note 4 2 2 4" xfId="3990"/>
    <cellStyle name="Note 2 2 3 4" xfId="3991"/>
    <cellStyle name="20% - Accent1 6 5" xfId="3992"/>
    <cellStyle name="20% - Accent2 6 5" xfId="3993"/>
    <cellStyle name="20% - Accent3 6 5" xfId="3994"/>
    <cellStyle name="20% - Accent4 6 5" xfId="3995"/>
    <cellStyle name="Output 9 4" xfId="3996"/>
    <cellStyle name="20% - Accent5 6 5" xfId="3997"/>
    <cellStyle name="20% - Accent6 6 5" xfId="3998"/>
    <cellStyle name="40% - Accent1 6 5" xfId="3999"/>
    <cellStyle name="40% - Accent2 6 5" xfId="4000"/>
    <cellStyle name="40% - Accent3 6 5" xfId="4001"/>
    <cellStyle name="40% - Accent4 6 5" xfId="4002"/>
    <cellStyle name="40% - Accent5 6 5" xfId="4003"/>
    <cellStyle name="Note 8 3 5" xfId="4004"/>
    <cellStyle name="Output 2 9 5" xfId="4005"/>
    <cellStyle name="Output 4 5 5" xfId="4006"/>
    <cellStyle name="40% - Accent6 6 5" xfId="4007"/>
    <cellStyle name="Calculation 2 5 3 3" xfId="4008"/>
    <cellStyle name="Calculation 7 3" xfId="4009"/>
    <cellStyle name="Calculation 2 6 3" xfId="4010"/>
    <cellStyle name="Calculation 3 2 3" xfId="4011"/>
    <cellStyle name="Calculation 4 2 3" xfId="4012"/>
    <cellStyle name="Calculation 5 5" xfId="4013"/>
    <cellStyle name="Output 9 3" xfId="4014"/>
    <cellStyle name="Note 5 4 5" xfId="4015"/>
    <cellStyle name="Input 10 3" xfId="4016"/>
    <cellStyle name="Input 2 6 3" xfId="4017"/>
    <cellStyle name="Input 3 2 3" xfId="4018"/>
    <cellStyle name="Input 4 2 3" xfId="4019"/>
    <cellStyle name="Input 5 2 3" xfId="4020"/>
    <cellStyle name="Normal 10 5 3" xfId="4021"/>
    <cellStyle name="Normal 11 5 3" xfId="4022"/>
    <cellStyle name="Normal 14 3 3" xfId="4023"/>
    <cellStyle name="Normal 2 2 2 2 3" xfId="4024"/>
    <cellStyle name="Normal 8 6 3" xfId="4025"/>
    <cellStyle name="Note 11 3" xfId="4026"/>
    <cellStyle name="Note 2 6 3" xfId="4027"/>
    <cellStyle name="Note 2 2 3 3" xfId="4028"/>
    <cellStyle name="Note 3 4 3" xfId="4029"/>
    <cellStyle name="Note 3 2 4 3" xfId="4030"/>
    <cellStyle name="Note 4 3 3" xfId="4031"/>
    <cellStyle name="Note 4 2 2 3" xfId="4032"/>
    <cellStyle name="Note 5 6" xfId="4033"/>
    <cellStyle name="Note 5 2 5" xfId="4034"/>
    <cellStyle name="Note 6 6" xfId="4035"/>
    <cellStyle name="Note 6 2 5" xfId="4036"/>
    <cellStyle name="Note 7 6" xfId="4037"/>
    <cellStyle name="Note 7 2 5" xfId="4038"/>
    <cellStyle name="Note 8 5" xfId="4039"/>
    <cellStyle name="Note 9 4" xfId="4040"/>
    <cellStyle name="Output 7 3" xfId="4041"/>
    <cellStyle name="Output 2 6 3" xfId="4042"/>
    <cellStyle name="Output 3 2 3" xfId="4043"/>
    <cellStyle name="Output 4 2 3" xfId="4044"/>
    <cellStyle name="Output 5 6" xfId="4045"/>
    <cellStyle name="Input 15 5" xfId="4046"/>
    <cellStyle name="Input 13 5" xfId="4047"/>
    <cellStyle name="Calculation 4 3 5" xfId="4048"/>
    <cellStyle name="Calculation 3 3 5" xfId="4049"/>
    <cellStyle name="Calculation 2 7 5" xfId="4050"/>
    <cellStyle name="Calculation 2 8 5" xfId="4051"/>
    <cellStyle name="Input 2 8 5" xfId="4052"/>
    <cellStyle name="Output 5 4 5" xfId="4053"/>
    <cellStyle name="Total 2 10 5" xfId="4054"/>
    <cellStyle name="Total 4 5 5" xfId="4055"/>
    <cellStyle name="Total 5 4 5" xfId="4056"/>
    <cellStyle name="Calculation 2 5 2 3" xfId="4057"/>
    <cellStyle name="Thousands 6" xfId="4058"/>
    <cellStyle name="Total 7 3" xfId="4059"/>
    <cellStyle name="Total 2 7 3" xfId="4060"/>
    <cellStyle name="Total 3 2 3" xfId="4061"/>
    <cellStyle name="Total 4 2 3" xfId="4062"/>
    <cellStyle name="Total 5 6" xfId="4063"/>
    <cellStyle name="Input 6 3 3" xfId="4064"/>
    <cellStyle name="Calculation 8 3" xfId="4065"/>
    <cellStyle name="Input 12 3" xfId="4066"/>
    <cellStyle name="Input 11 3" xfId="4067"/>
    <cellStyle name="Calculation 9 3" xfId="4068"/>
    <cellStyle name="Output 8 3" xfId="4069"/>
    <cellStyle name="Table Head Aligned 2 3" xfId="4070"/>
    <cellStyle name="Table Head Green 2 3" xfId="4071"/>
    <cellStyle name="Thousands 2 3" xfId="4072"/>
    <cellStyle name="Total 8 3" xfId="4073"/>
    <cellStyle name="Total 9 3" xfId="4074"/>
    <cellStyle name="Input 10 4" xfId="4075"/>
    <cellStyle name="20% - Accent1 6 2 3" xfId="4076"/>
    <cellStyle name="20% - Accent2 6 2 3" xfId="4077"/>
    <cellStyle name="20% - Accent3 6 2 3" xfId="4078"/>
    <cellStyle name="20% - Accent4 6 2 3" xfId="4079"/>
    <cellStyle name="20% - Accent5 6 2 3" xfId="4080"/>
    <cellStyle name="20% - Accent6 6 2 3" xfId="4081"/>
    <cellStyle name="40% - Accent1 6 2 3" xfId="4082"/>
    <cellStyle name="40% - Accent2 6 2 3" xfId="4083"/>
    <cellStyle name="40% - Accent3 6 2 3" xfId="4084"/>
    <cellStyle name="40% - Accent4 6 2 3" xfId="4085"/>
    <cellStyle name="Output 5 2 3" xfId="4086"/>
    <cellStyle name="Output 4 3 3" xfId="4087"/>
    <cellStyle name="Output 3 3 3" xfId="4088"/>
    <cellStyle name="Output 2 7 3" xfId="4089"/>
    <cellStyle name="Output 11 3" xfId="4090"/>
    <cellStyle name="40% - Accent5 6 2 3" xfId="4091"/>
    <cellStyle name="40% - Accent6 6 2 3" xfId="4092"/>
    <cellStyle name="Input 5 3 3" xfId="4093"/>
    <cellStyle name="Input 4 3 3" xfId="4094"/>
    <cellStyle name="Input 3 3 3" xfId="4095"/>
    <cellStyle name="Input 2 7 3" xfId="4096"/>
    <cellStyle name="Calculation 10 3" xfId="4097"/>
    <cellStyle name="Input 14 3" xfId="4098"/>
    <cellStyle name="Input 16 3" xfId="4099"/>
    <cellStyle name="Input 17 3" xfId="4100"/>
    <cellStyle name="Input 15 3" xfId="4101"/>
    <cellStyle name="Input 13 3" xfId="4102"/>
    <cellStyle name="Calculation 5 2 3" xfId="4103"/>
    <cellStyle name="Calculation 4 3 3" xfId="4104"/>
    <cellStyle name="Calculation 3 3 3" xfId="4105"/>
    <cellStyle name="Calculation 2 7 3" xfId="4106"/>
    <cellStyle name="Calculation 11 3" xfId="4107"/>
    <cellStyle name="Normal 10 6 3" xfId="4108"/>
    <cellStyle name="Normal 11 6 3" xfId="4109"/>
    <cellStyle name="Normal 14 4 3" xfId="4110"/>
    <cellStyle name="Normal 2 2 2 3 3" xfId="4111"/>
    <cellStyle name="Normal 8 7 3" xfId="4112"/>
    <cellStyle name="Output 10 3" xfId="4113"/>
    <cellStyle name="Note 12 3" xfId="4114"/>
    <cellStyle name="Note 2 7 3" xfId="4115"/>
    <cellStyle name="Note 2 2 4 3" xfId="4116"/>
    <cellStyle name="Note 3 5 3" xfId="4117"/>
    <cellStyle name="Note 3 2 5 3" xfId="4118"/>
    <cellStyle name="Note 4 4 3" xfId="4119"/>
    <cellStyle name="Note 4 2 3 3" xfId="4120"/>
    <cellStyle name="Note 5 3 3" xfId="4121"/>
    <cellStyle name="Note 5 2 2 3" xfId="4122"/>
    <cellStyle name="Note 6 3 3" xfId="4123"/>
    <cellStyle name="Note 6 2 2 3" xfId="4124"/>
    <cellStyle name="Note 7 3 3" xfId="4125"/>
    <cellStyle name="Note 7 2 2 3" xfId="4126"/>
    <cellStyle name="Note 8 2 3" xfId="4127"/>
    <cellStyle name="Note 9 2 3" xfId="4128"/>
    <cellStyle name="Output 12 3" xfId="4129"/>
    <cellStyle name="Output 2 8 3" xfId="4130"/>
    <cellStyle name="Output 3 4 3" xfId="4131"/>
    <cellStyle name="Output 4 4 3" xfId="4132"/>
    <cellStyle name="Output 5 3 3" xfId="4133"/>
    <cellStyle name="Total 10 3" xfId="4134"/>
    <cellStyle name="Table Head Aligned 3 3" xfId="4135"/>
    <cellStyle name="Table Head Green 3 3" xfId="4136"/>
    <cellStyle name="Thousands 3 3" xfId="4137"/>
    <cellStyle name="Total 11 3" xfId="4138"/>
    <cellStyle name="Total 2 8 3" xfId="4139"/>
    <cellStyle name="Total 3 3 3" xfId="4140"/>
    <cellStyle name="Total 4 3 3" xfId="4141"/>
    <cellStyle name="Total 5 2 3" xfId="4142"/>
    <cellStyle name="Table Head Aligned 4 3" xfId="4143"/>
    <cellStyle name="Table Head Green 4 3" xfId="4144"/>
    <cellStyle name="Thousands 4 3" xfId="4145"/>
    <cellStyle name="Total 12 3" xfId="4146"/>
    <cellStyle name="Total 2 9 3" xfId="4147"/>
    <cellStyle name="Total 3 4 3" xfId="4148"/>
    <cellStyle name="Total 4 4 3" xfId="4149"/>
    <cellStyle name="Total 5 3 3" xfId="4150"/>
    <cellStyle name="Normal 354 3" xfId="4151"/>
    <cellStyle name="20% - Accent1 6 3 3" xfId="4152"/>
    <cellStyle name="20% - Accent2 6 3 3" xfId="4153"/>
    <cellStyle name="20% - Accent3 6 3 3" xfId="4154"/>
    <cellStyle name="20% - Accent4 6 3 3" xfId="4155"/>
    <cellStyle name="20% - Accent5 6 3 3" xfId="4156"/>
    <cellStyle name="20% - Accent6 6 3 3" xfId="4157"/>
    <cellStyle name="40% - Accent1 6 3 3" xfId="4158"/>
    <cellStyle name="40% - Accent2 6 3 3" xfId="4159"/>
    <cellStyle name="40% - Accent3 6 3 3" xfId="4160"/>
    <cellStyle name="40% - Accent4 6 3 3" xfId="4161"/>
    <cellStyle name="40% - Accent5 6 3 3" xfId="4162"/>
    <cellStyle name="40% - Accent6 6 3 3" xfId="4163"/>
    <cellStyle name="Comma 21 3" xfId="4164"/>
    <cellStyle name="Currency 11 3" xfId="4165"/>
    <cellStyle name="Input 18 3" xfId="4166"/>
    <cellStyle name="Normal 10 7 3" xfId="4167"/>
    <cellStyle name="Normal 11 7 3" xfId="4168"/>
    <cellStyle name="Normal 14 5 3" xfId="4169"/>
    <cellStyle name="Normal 2 2 2 4 3" xfId="4170"/>
    <cellStyle name="Normal 8 8 3" xfId="4171"/>
    <cellStyle name="Percent 239 3" xfId="4172"/>
    <cellStyle name="Calculation 12 3" xfId="4173"/>
    <cellStyle name="Input 19 3" xfId="4174"/>
    <cellStyle name="Note 13 3" xfId="4175"/>
    <cellStyle name="Output 13 3" xfId="4176"/>
    <cellStyle name="Total 13 3" xfId="4177"/>
    <cellStyle name="Normal 8 9 3" xfId="4178"/>
    <cellStyle name="Comma 13 4 3" xfId="4179"/>
    <cellStyle name="Currency 7 5 3" xfId="4180"/>
    <cellStyle name="Calculation 2 8 3" xfId="4181"/>
    <cellStyle name="Calculation 3 4 3" xfId="4182"/>
    <cellStyle name="Calculation 4 4 3" xfId="4183"/>
    <cellStyle name="Calculation 5 3 3" xfId="4184"/>
    <cellStyle name="Input 2 8 3" xfId="4185"/>
    <cellStyle name="Input 3 4 3" xfId="4186"/>
    <cellStyle name="Input 4 4 3" xfId="4187"/>
    <cellStyle name="Input 5 4 3" xfId="4188"/>
    <cellStyle name="Normal 10 8 3" xfId="4189"/>
    <cellStyle name="Note 2 8 3" xfId="4190"/>
    <cellStyle name="Note 2 2 5 3" xfId="4191"/>
    <cellStyle name="Note 3 6 3" xfId="4192"/>
    <cellStyle name="Note 3 2 6 3" xfId="4193"/>
    <cellStyle name="Note 4 5 3" xfId="4194"/>
    <cellStyle name="Note 4 2 4 3" xfId="4195"/>
    <cellStyle name="Note 5 4 3" xfId="4196"/>
    <cellStyle name="Note 5 2 3 3" xfId="4197"/>
    <cellStyle name="Note 6 4 3" xfId="4198"/>
    <cellStyle name="Note 6 2 3 3" xfId="4199"/>
    <cellStyle name="Note 7 4 3" xfId="4200"/>
    <cellStyle name="Note 7 2 3 3" xfId="4201"/>
    <cellStyle name="Note 8 3 3" xfId="4202"/>
    <cellStyle name="Output 2 9 3" xfId="4203"/>
    <cellStyle name="Output 3 5 3" xfId="4204"/>
    <cellStyle name="Output 4 5 3" xfId="4205"/>
    <cellStyle name="Output 5 4 3" xfId="4206"/>
    <cellStyle name="Total 2 10 3" xfId="4207"/>
    <cellStyle name="Total 3 5 3" xfId="4208"/>
    <cellStyle name="Total 4 5 3" xfId="4209"/>
    <cellStyle name="Total 5 4 3" xfId="4210"/>
    <cellStyle name="Normal 11 8 3" xfId="4211"/>
    <cellStyle name="Normal 14 6 3" xfId="4212"/>
    <cellStyle name="Normal 43 3 3" xfId="4213"/>
    <cellStyle name="Normal 44 3 3" xfId="4214"/>
    <cellStyle name="Input 20 3" xfId="4215"/>
    <cellStyle name="Normal 8 10 3" xfId="4216"/>
    <cellStyle name="Comma 13 5 3" xfId="4217"/>
    <cellStyle name="Currency 7 6 3" xfId="4218"/>
    <cellStyle name="Normal 10 9 3" xfId="4219"/>
    <cellStyle name="Input 4 4 5" xfId="4220"/>
    <cellStyle name="Calculation 5 3 5" xfId="4221"/>
    <cellStyle name="Calculation 4 4 5" xfId="4222"/>
    <cellStyle name="Input 3 4 5" xfId="4223"/>
    <cellStyle name="Normal 11 9 3" xfId="4224"/>
    <cellStyle name="Normal 14 7 3" xfId="4225"/>
    <cellStyle name="Normal 43 4 3" xfId="4226"/>
    <cellStyle name="Normal 44 4 3" xfId="4227"/>
    <cellStyle name="Normal 355 3" xfId="4228"/>
    <cellStyle name="Comma 22 3" xfId="4229"/>
    <cellStyle name="Input 21 3" xfId="4230"/>
    <cellStyle name="Normal 8 11 3" xfId="4231"/>
    <cellStyle name="Comma 13 6 3" xfId="4232"/>
    <cellStyle name="Currency 7 7 3" xfId="4233"/>
    <cellStyle name="Normal 10 10 3" xfId="4234"/>
    <cellStyle name="Normal 11 10 3" xfId="4235"/>
    <cellStyle name="Normal 14 8 3" xfId="4236"/>
    <cellStyle name="Normal 43 5 3" xfId="4237"/>
    <cellStyle name="Normal 44 5 3" xfId="4238"/>
    <cellStyle name="Normal 356" xfId="4239"/>
    <cellStyle name="Note 4 2 6" xfId="4240"/>
    <cellStyle name="Note 3 3 3" xfId="4241"/>
    <cellStyle name="Note 2 5 3" xfId="4242"/>
    <cellStyle name="Note 2 4 2 3" xfId="4243"/>
    <cellStyle name="Note 2 3 2 3" xfId="4244"/>
    <cellStyle name="Note 2 2 2 3" xfId="4245"/>
    <cellStyle name="Calculation 2 9" xfId="4246"/>
    <cellStyle name="Calculation 2 2 5" xfId="4247"/>
    <cellStyle name="Calculation 2 2 2 2" xfId="4248"/>
    <cellStyle name="Calculation 2 2 3 2" xfId="4249"/>
    <cellStyle name="Calculation 2 2 4 2" xfId="4250"/>
    <cellStyle name="Calculation 2 3 2" xfId="4251"/>
    <cellStyle name="Calculation 2 4 2" xfId="4252"/>
    <cellStyle name="Calculation 2 5 2" xfId="4253"/>
    <cellStyle name="Calculation 3 5" xfId="4254"/>
    <cellStyle name="Comma 3 2 2 8 3" xfId="4255"/>
    <cellStyle name="Comma 3 4 5 3" xfId="4256"/>
    <cellStyle name="Comma 3 5 5 3" xfId="4257"/>
    <cellStyle name="Comma 4 2 8 3" xfId="4258"/>
    <cellStyle name="Comma 6 10 2" xfId="4259"/>
    <cellStyle name="Comma 8 6 2" xfId="4260"/>
    <cellStyle name="Header2 2" xfId="4261"/>
    <cellStyle name="Input 2 5 3" xfId="4262"/>
    <cellStyle name="Input 2 9" xfId="4263"/>
    <cellStyle name="Input 2 2 5" xfId="4264"/>
    <cellStyle name="Input 2 2 2 2" xfId="4265"/>
    <cellStyle name="Input 2 2 3 2" xfId="4266"/>
    <cellStyle name="Input 2 2 4 2" xfId="4267"/>
    <cellStyle name="Input 2 3 2" xfId="4268"/>
    <cellStyle name="Input 2 4 2" xfId="4269"/>
    <cellStyle name="Input 2 5 2" xfId="4270"/>
    <cellStyle name="Input 3 5" xfId="4271"/>
    <cellStyle name="Input 4 5" xfId="4272"/>
    <cellStyle name="Input 5 5" xfId="4273"/>
    <cellStyle name="Input 6 3" xfId="4274"/>
    <cellStyle name="Input 7 2" xfId="4275"/>
    <cellStyle name="Input 8 2" xfId="4276"/>
    <cellStyle name="Normal 10 3 2" xfId="4277"/>
    <cellStyle name="Normal 11 11" xfId="4278"/>
    <cellStyle name="Calculation 2 5 3" xfId="4279"/>
    <cellStyle name="Comma 19 2" xfId="4280"/>
    <cellStyle name="Total 2 4 3" xfId="4281"/>
    <cellStyle name="Total 2 2 4 3" xfId="4282"/>
    <cellStyle name="Total 2 2 3 3" xfId="4283"/>
    <cellStyle name="Total 2 12" xfId="4284"/>
    <cellStyle name="Normal 18 5" xfId="4285"/>
    <cellStyle name="Normal 20 5" xfId="4286"/>
    <cellStyle name="Normal 224 3" xfId="4287"/>
    <cellStyle name="Normal 225 3" xfId="4288"/>
    <cellStyle name="Normal 226 3" xfId="4289"/>
    <cellStyle name="Normal 227 3" xfId="4290"/>
    <cellStyle name="Normal 228 3" xfId="4291"/>
    <cellStyle name="Normal 229 3" xfId="4292"/>
    <cellStyle name="Normal 4 2 7" xfId="4293"/>
    <cellStyle name="Normal 4 2 2 5" xfId="4294"/>
    <cellStyle name="Normal 4 3 8" xfId="4295"/>
    <cellStyle name="Normal 4 4 5" xfId="4296"/>
    <cellStyle name="Normal 4 7 2" xfId="4297"/>
    <cellStyle name="Normal 49 5" xfId="4298"/>
    <cellStyle name="Normal 5 4 2" xfId="4299"/>
    <cellStyle name="Normal 51 3 2" xfId="4300"/>
    <cellStyle name="Normal 52 3 2" xfId="4301"/>
    <cellStyle name="Normal 6 4 2" xfId="4302"/>
    <cellStyle name="Normal 7 4 2" xfId="4303"/>
    <cellStyle name="Normal 8 4 2" xfId="4304"/>
    <cellStyle name="Normal 9 3 2" xfId="4305"/>
    <cellStyle name="Note 2 9" xfId="4306"/>
    <cellStyle name="Note 2 2 6" xfId="4307"/>
    <cellStyle name="Note 2 3 3" xfId="4308"/>
    <cellStyle name="Note 2 4 3" xfId="4309"/>
    <cellStyle name="Note 3 7" xfId="4310"/>
    <cellStyle name="Note 3 2 7" xfId="4311"/>
    <cellStyle name="Output 2 10" xfId="4312"/>
    <cellStyle name="Output 2 2 5" xfId="4313"/>
    <cellStyle name="Output 2 2 2 2" xfId="4314"/>
    <cellStyle name="Output 2 2 3 2" xfId="4315"/>
    <cellStyle name="Output 2 2 4 2" xfId="4316"/>
    <cellStyle name="Output 2 3 2" xfId="4317"/>
    <cellStyle name="Output 2 4 2" xfId="4318"/>
    <cellStyle name="Output 2 5 2" xfId="4319"/>
    <cellStyle name="Output 3 6" xfId="4320"/>
    <cellStyle name="Input 7 3" xfId="4321"/>
    <cellStyle name="Input 5 6" xfId="4322"/>
    <cellStyle name="Input 3 6" xfId="4323"/>
    <cellStyle name="Input 2 4 3" xfId="4324"/>
    <cellStyle name="Input 2 2 4 3" xfId="4325"/>
    <cellStyle name="Input 2 2 2 3" xfId="4326"/>
    <cellStyle name="Input 2 10" xfId="4327"/>
    <cellStyle name="Percent 18 5" xfId="4328"/>
    <cellStyle name="Percent 2 2 2 5 3" xfId="4329"/>
    <cellStyle name="Percent 20 5" xfId="4330"/>
    <cellStyle name="Calculation 3 6" xfId="4331"/>
    <cellStyle name="Calculation 2 4 3" xfId="4332"/>
    <cellStyle name="Calculation 2 2 4 3" xfId="4333"/>
    <cellStyle name="Calculation 2 2 2 3" xfId="4334"/>
    <cellStyle name="Calculation 2 10" xfId="4335"/>
    <cellStyle name="StmtTtl2 2" xfId="4336"/>
    <cellStyle name="Total 2 11" xfId="4337"/>
    <cellStyle name="Total 2 2 5" xfId="4338"/>
    <cellStyle name="Total 2 2 2 2" xfId="4339"/>
    <cellStyle name="Total 2 2 3 2" xfId="4340"/>
    <cellStyle name="Total 2 2 4 2" xfId="4341"/>
    <cellStyle name="Total 2 3 2" xfId="4342"/>
    <cellStyle name="Total 2 4 2" xfId="4343"/>
    <cellStyle name="Total 2 5 2" xfId="4344"/>
    <cellStyle name="Total 2 6 2" xfId="4345"/>
    <cellStyle name="Total 3 6" xfId="4346"/>
    <cellStyle name="20% - Accent1 4 3" xfId="4347"/>
    <cellStyle name="20% - Accent2 4 3" xfId="4348"/>
    <cellStyle name="20% - Accent3 4 3" xfId="4349"/>
    <cellStyle name="20% - Accent4 4 3" xfId="4350"/>
    <cellStyle name="20% - Accent5 4 3" xfId="4351"/>
    <cellStyle name="20% - Accent6 4 3" xfId="4352"/>
    <cellStyle name="40% - Accent1 4 3" xfId="4353"/>
    <cellStyle name="40% - Accent2 4 3" xfId="4354"/>
    <cellStyle name="40% - Accent3 4 3" xfId="4355"/>
    <cellStyle name="40% - Accent4 4 3" xfId="4356"/>
    <cellStyle name="40% - Accent5 4 3" xfId="4357"/>
    <cellStyle name="40% - Accent6 4 3" xfId="4358"/>
    <cellStyle name="Output 2 5 3" xfId="4359"/>
    <cellStyle name="Normal 11 3 3 2" xfId="4360"/>
    <cellStyle name="Normal 18 3 3 2" xfId="4361"/>
    <cellStyle name="Normal 182 3 2" xfId="4362"/>
    <cellStyle name="Normal 183 3 2" xfId="4363"/>
    <cellStyle name="Normal 184 3 2" xfId="4364"/>
    <cellStyle name="Normal 185 2 3 2" xfId="4365"/>
    <cellStyle name="Normal 199 3 2" xfId="4366"/>
    <cellStyle name="Normal 20 3 3 2" xfId="4367"/>
    <cellStyle name="Normal 221 2 2" xfId="4368"/>
    <cellStyle name="Normal 222 2 2" xfId="4369"/>
    <cellStyle name="Output 2 3 3" xfId="4370"/>
    <cellStyle name="Output 2 2 3 3" xfId="4371"/>
    <cellStyle name="Output 2 2 6" xfId="4372"/>
    <cellStyle name="Note 4 7" xfId="4373"/>
    <cellStyle name="Note 3 2 2 3" xfId="4374"/>
    <cellStyle name="Note 3 8" xfId="4375"/>
    <cellStyle name="Note 2 4 4" xfId="4376"/>
    <cellStyle name="Note 2 2 7" xfId="4377"/>
    <cellStyle name="Normal 264 2" xfId="4378"/>
    <cellStyle name="Normal 3 3 2 3 2" xfId="4379"/>
    <cellStyle name="Normal 4 2 2 2 3 2" xfId="4380"/>
    <cellStyle name="Normal 4 2 2 4 2" xfId="4381"/>
    <cellStyle name="Normal 4 2 3 3 2" xfId="4382"/>
    <cellStyle name="Normal 4 2 5 2" xfId="4383"/>
    <cellStyle name="Normal 4 3 2 3 2" xfId="4384"/>
    <cellStyle name="Normal 4 3 5 2" xfId="4385"/>
    <cellStyle name="Normal 4 3 6 2" xfId="4386"/>
    <cellStyle name="Normal 4 4 2 3 2" xfId="4387"/>
    <cellStyle name="Normal 4 4 4 2" xfId="4388"/>
    <cellStyle name="Normal 49 3 3 2" xfId="4389"/>
    <cellStyle name="Normal 5 2 3 2" xfId="4390"/>
    <cellStyle name="Normal 6 2 3 2" xfId="4391"/>
    <cellStyle name="Normal 7 2 3 2" xfId="4392"/>
    <cellStyle name="Normal 8 2 3 2" xfId="4393"/>
    <cellStyle name="Note 3 2 2 2" xfId="4394"/>
    <cellStyle name="Note 4 6" xfId="4395"/>
    <cellStyle name="Comma 23" xfId="4396"/>
    <cellStyle name="Percent 240" xfId="4397"/>
    <cellStyle name="Total 3 7" xfId="4398"/>
    <cellStyle name="Total 2 5 3" xfId="4399"/>
    <cellStyle name="Total 2 3 3" xfId="4400"/>
    <cellStyle name="Total 2 2 6" xfId="4401"/>
    <cellStyle name="Total 2 2 2 3" xfId="4402"/>
    <cellStyle name="StmtTtl2 3" xfId="4403"/>
    <cellStyle name="Output 3 7" xfId="4404"/>
    <cellStyle name="Note 2 5 2" xfId="4405"/>
    <cellStyle name="Note 2 2 2 2" xfId="4406"/>
    <cellStyle name="Note 2 3 2 2" xfId="4407"/>
    <cellStyle name="Note 2 4 2 2" xfId="4408"/>
    <cellStyle name="Note 3 3 2" xfId="4409"/>
    <cellStyle name="Input 8 3" xfId="4410"/>
    <cellStyle name="Input 6 4" xfId="4411"/>
    <cellStyle name="Input 4 6" xfId="4412"/>
    <cellStyle name="Input 2 3 3" xfId="4413"/>
    <cellStyle name="Input 2 2 3 3" xfId="4414"/>
    <cellStyle name="Input 2 2 6" xfId="4415"/>
    <cellStyle name="Calculation 2 3 3" xfId="4416"/>
    <cellStyle name="Calculation 2 2 3 3" xfId="4417"/>
    <cellStyle name="Calculation 2 2 6" xfId="4418"/>
    <cellStyle name="Output 2 4 3" xfId="4419"/>
    <cellStyle name="Output 2 2 4 3" xfId="4420"/>
    <cellStyle name="Output 2 2 2 3" xfId="4421"/>
    <cellStyle name="Output 2 11" xfId="4422"/>
    <cellStyle name="Note 3 2 8" xfId="4423"/>
    <cellStyle name="Note 2 3 4" xfId="4424"/>
    <cellStyle name="Note 2 10" xfId="4425"/>
    <cellStyle name="Note 4 2 5" xfId="4426"/>
    <cellStyle name="Normal 3 6 2" xfId="4427"/>
    <cellStyle name="Percent 4 5" xfId="4428"/>
    <cellStyle name="Comma 3 2 10" xfId="4429"/>
    <cellStyle name="Linked Cell 3 2 2" xfId="4430"/>
    <cellStyle name="Linked Cell 2 4 2" xfId="4431"/>
    <cellStyle name="Linked Cell 2 2 3 2" xfId="4432"/>
    <cellStyle name="Linked Cell 2 2 4" xfId="4433"/>
    <cellStyle name="Percent 4 4" xfId="4434"/>
    <cellStyle name="Linked Cell 2 3 2" xfId="4435"/>
    <cellStyle name="Linked Cell 2 2 2 2" xfId="4436"/>
    <cellStyle name="Linked Cell 2 5" xfId="4437"/>
    <cellStyle name="Comma0 5" xfId="4438"/>
    <cellStyle name="Comma0 6" xfId="4439"/>
    <cellStyle name="Normal 345 3" xfId="4440"/>
    <cellStyle name="Normal 346 2" xfId="4441"/>
    <cellStyle name="Percent 231 2" xfId="4442"/>
    <cellStyle name="Percent 232 2" xfId="4443"/>
    <cellStyle name="Comma0 7" xfId="4444"/>
    <cellStyle name="Comma0 8" xfId="4445"/>
    <cellStyle name="Comma0 10" xfId="4446"/>
    <cellStyle name="Comma0 9" xfId="4447"/>
    <cellStyle name="Normal 345 2" xfId="4448"/>
    <cellStyle name="Style 21" xfId="4449"/>
    <cellStyle name="Style 21 2" xfId="4450"/>
    <cellStyle name="Style 22" xfId="4451"/>
    <cellStyle name="Style 22 2" xfId="4452"/>
    <cellStyle name="Style 23" xfId="4453"/>
    <cellStyle name="Style 23 2" xfId="4454"/>
    <cellStyle name="Style 24" xfId="4455"/>
    <cellStyle name="Style 24 2" xfId="4456"/>
    <cellStyle name="Style 25" xfId="4457"/>
    <cellStyle name="Style 25 2" xfId="4458"/>
    <cellStyle name="Style 26" xfId="4459"/>
    <cellStyle name="Style 26 2" xfId="4460"/>
    <cellStyle name="styleColumnTitles" xfId="4461"/>
    <cellStyle name="styleColumnTitles 2" xfId="4462"/>
    <cellStyle name="styleDateRange" xfId="4463"/>
    <cellStyle name="styleDateRange 2" xfId="4464"/>
    <cellStyle name="styleHidden" xfId="4465"/>
    <cellStyle name="styleHidden 2" xfId="4466"/>
    <cellStyle name="styleNormal" xfId="4467"/>
    <cellStyle name="styleNormal 2" xfId="4468"/>
    <cellStyle name="styleSeriesAttributes" xfId="4469"/>
    <cellStyle name="styleSeriesAttributes 2" xfId="4470"/>
    <cellStyle name="styleSeriesData" xfId="4471"/>
    <cellStyle name="styleSeriesData 2" xfId="4472"/>
    <cellStyle name="styleSeriesDataForecast" xfId="4473"/>
    <cellStyle name="styleSeriesDataForecast 2" xfId="4474"/>
    <cellStyle name="styleSeriesDataForecastNA" xfId="4475"/>
    <cellStyle name="styleSeriesDataForecastNA 2" xfId="4476"/>
    <cellStyle name="styleSeriesDataNA" xfId="4477"/>
    <cellStyle name="styleSeriesDataNA 2" xfId="4478"/>
    <cellStyle name="Comma 2 2 4" xfId="4479"/>
    <cellStyle name="Style 21 2 2" xfId="4480"/>
    <cellStyle name="Style 22 2 2" xfId="4481"/>
    <cellStyle name="Style 23 2 2" xfId="4482"/>
    <cellStyle name="Style 24 2 2" xfId="4483"/>
    <cellStyle name="Style 25 2 2" xfId="4484"/>
    <cellStyle name="Style 26 2 2" xfId="4485"/>
    <cellStyle name="styleColumnTitles 2 2" xfId="4486"/>
    <cellStyle name="styleDateRange 2 2" xfId="4487"/>
    <cellStyle name="styleHidden 2 2" xfId="4488"/>
    <cellStyle name="styleNormal 2 2" xfId="4489"/>
    <cellStyle name="styleSeriesAttributes 2 2" xfId="4490"/>
    <cellStyle name="styleSeriesData 2 2" xfId="4491"/>
    <cellStyle name="styleSeriesDataForecast 2 2" xfId="4492"/>
    <cellStyle name="styleSeriesDataForecastNA 2 2" xfId="4493"/>
    <cellStyle name="styleSeriesDataNA 2 2" xfId="4494"/>
    <cellStyle name="Comma0 11" xfId="4495"/>
    <cellStyle name="Comma0 12" xfId="4496"/>
    <cellStyle name="Comma0 13" xfId="4497"/>
    <cellStyle name="Comma0 14" xfId="4498"/>
    <cellStyle name="Normal 345 2 2" xfId="4499"/>
    <cellStyle name="Comma0 15" xfId="4500"/>
    <cellStyle name="Total 2 6 3" xfId="4501"/>
    <cellStyle name="Normal 345 4" xfId="4502"/>
    <cellStyle name="Comma 20 2" xfId="4503"/>
    <cellStyle name="20% - Accent1 6 4" xfId="4504"/>
    <cellStyle name="20% - Accent2 6 4" xfId="4505"/>
    <cellStyle name="20% - Accent3 6 4" xfId="4506"/>
    <cellStyle name="20% - Accent4 6 4" xfId="4507"/>
    <cellStyle name="20% - Accent5 6 4" xfId="4508"/>
    <cellStyle name="20% - Accent6 6 4" xfId="4509"/>
    <cellStyle name="40% - Accent1 6 4" xfId="4510"/>
    <cellStyle name="40% - Accent2 6 4" xfId="4511"/>
    <cellStyle name="40% - Accent3 6 4" xfId="4512"/>
    <cellStyle name="40% - Accent4 6 4" xfId="4513"/>
    <cellStyle name="40% - Accent5 6 4" xfId="4514"/>
    <cellStyle name="40% - Accent6 6 4" xfId="4515"/>
    <cellStyle name="Calculation 7 2" xfId="4516"/>
    <cellStyle name="Calculation 2 6 2" xfId="4517"/>
    <cellStyle name="Calculation 3 2 2" xfId="4518"/>
    <cellStyle name="Calculation 4 2 2" xfId="4519"/>
    <cellStyle name="Calculation 5 4" xfId="4520"/>
    <cellStyle name="Output 9 2" xfId="4521"/>
    <cellStyle name="Input 10 2" xfId="4522"/>
    <cellStyle name="Input 2 6 2" xfId="4523"/>
    <cellStyle name="Input 3 2 2" xfId="4524"/>
    <cellStyle name="Input 4 2 2" xfId="4525"/>
    <cellStyle name="Input 5 2 2" xfId="4526"/>
    <cellStyle name="Normal 10 5 2" xfId="4527"/>
    <cellStyle name="Normal 11 5 2" xfId="4528"/>
    <cellStyle name="Normal 14 3 2" xfId="4529"/>
    <cellStyle name="Normal 2 2 2 2 2" xfId="4530"/>
    <cellStyle name="Normal 8 6 2" xfId="4531"/>
    <cellStyle name="Note 11 2" xfId="4532"/>
    <cellStyle name="Note 2 6 2" xfId="4533"/>
    <cellStyle name="Note 2 2 3 2" xfId="4534"/>
    <cellStyle name="Note 3 4 2" xfId="4535"/>
    <cellStyle name="Note 3 2 4 2" xfId="4536"/>
    <cellStyle name="Note 4 3 2" xfId="4537"/>
    <cellStyle name="Note 4 2 2 2" xfId="4538"/>
    <cellStyle name="Note 5 5" xfId="4539"/>
    <cellStyle name="Note 5 2 4" xfId="4540"/>
    <cellStyle name="Note 6 5" xfId="4541"/>
    <cellStyle name="Note 6 2 4" xfId="4542"/>
    <cellStyle name="Note 7 5" xfId="4543"/>
    <cellStyle name="Note 7 2 4" xfId="4544"/>
    <cellStyle name="Note 8 4" xfId="4545"/>
    <cellStyle name="Note 9 3" xfId="4546"/>
    <cellStyle name="Output 7 2" xfId="4547"/>
    <cellStyle name="Output 2 6 2" xfId="4548"/>
    <cellStyle name="Output 3 2 2" xfId="4549"/>
    <cellStyle name="Output 4 2 2" xfId="4550"/>
    <cellStyle name="Output 5 5" xfId="4551"/>
    <cellStyle name="Thousands 5" xfId="4552"/>
    <cellStyle name="Total 7 2" xfId="4553"/>
    <cellStyle name="Total 2 7 2" xfId="4554"/>
    <cellStyle name="Total 3 2 2" xfId="4555"/>
    <cellStyle name="Total 4 2 2" xfId="4556"/>
    <cellStyle name="Total 5 5" xfId="4557"/>
    <cellStyle name="Calculation 8 2" xfId="4558"/>
    <cellStyle name="Input 12 2" xfId="4559"/>
    <cellStyle name="Input 11 2" xfId="4560"/>
    <cellStyle name="Calculation 9 2" xfId="4561"/>
    <cellStyle name="Output 8 2" xfId="4562"/>
    <cellStyle name="Table Head Aligned 2 2" xfId="4563"/>
    <cellStyle name="Table Head Green 2 2" xfId="4564"/>
    <cellStyle name="Thousands 2 2" xfId="4565"/>
    <cellStyle name="Total 8 2" xfId="4566"/>
    <cellStyle name="Total 9 2" xfId="4567"/>
    <cellStyle name="20% - Accent1 6 2 2" xfId="4568"/>
    <cellStyle name="20% - Accent2 6 2 2" xfId="4569"/>
    <cellStyle name="20% - Accent3 6 2 2" xfId="4570"/>
    <cellStyle name="20% - Accent4 6 2 2" xfId="4571"/>
    <cellStyle name="20% - Accent5 6 2 2" xfId="4572"/>
    <cellStyle name="20% - Accent6 6 2 2" xfId="4573"/>
    <cellStyle name="40% - Accent1 6 2 2" xfId="4574"/>
    <cellStyle name="40% - Accent2 6 2 2" xfId="4575"/>
    <cellStyle name="40% - Accent3 6 2 2" xfId="4576"/>
    <cellStyle name="40% - Accent4 6 2 2" xfId="4577"/>
    <cellStyle name="Output 5 2 2" xfId="4578"/>
    <cellStyle name="Output 4 3 2" xfId="4579"/>
    <cellStyle name="Output 3 3 2" xfId="4580"/>
    <cellStyle name="Output 2 7 2" xfId="4581"/>
    <cellStyle name="Output 11 2" xfId="4582"/>
    <cellStyle name="40% - Accent5 6 2 2" xfId="4583"/>
    <cellStyle name="40% - Accent6 6 2 2" xfId="4584"/>
    <cellStyle name="Input 5 3 2" xfId="4585"/>
    <cellStyle name="Input 4 3 2" xfId="4586"/>
    <cellStyle name="Input 3 3 2" xfId="4587"/>
    <cellStyle name="Input 2 7 2" xfId="4588"/>
    <cellStyle name="Calculation 10 2" xfId="4589"/>
    <cellStyle name="Input 14 2" xfId="4590"/>
    <cellStyle name="Input 16 2" xfId="4591"/>
    <cellStyle name="Input 17 2" xfId="4592"/>
    <cellStyle name="Input 15 2" xfId="4593"/>
    <cellStyle name="Input 13 2" xfId="4594"/>
    <cellStyle name="Calculation 5 2 2" xfId="4595"/>
    <cellStyle name="Calculation 4 3 2" xfId="4596"/>
    <cellStyle name="Calculation 3 3 2" xfId="4597"/>
    <cellStyle name="Calculation 2 7 2" xfId="4598"/>
    <cellStyle name="Calculation 11 2" xfId="4599"/>
    <cellStyle name="Normal 10 6 2" xfId="4600"/>
    <cellStyle name="Normal 11 6 2" xfId="4601"/>
    <cellStyle name="Normal 14 4 2" xfId="4602"/>
    <cellStyle name="Normal 2 2 2 3 2" xfId="4603"/>
    <cellStyle name="Normal 8 7 2" xfId="4604"/>
    <cellStyle name="Output 10 2" xfId="4605"/>
    <cellStyle name="Note 12 2" xfId="4606"/>
    <cellStyle name="Note 2 7 2" xfId="4607"/>
    <cellStyle name="Note 2 2 4 2" xfId="4608"/>
    <cellStyle name="Note 3 5 2" xfId="4609"/>
    <cellStyle name="Note 3 2 5 2" xfId="4610"/>
    <cellStyle name="Note 4 4 2" xfId="4611"/>
    <cellStyle name="Note 4 2 3 2" xfId="4612"/>
    <cellStyle name="Note 5 3 2" xfId="4613"/>
    <cellStyle name="Note 5 2 2 2" xfId="4614"/>
    <cellStyle name="Note 6 3 2" xfId="4615"/>
    <cellStyle name="Note 6 2 2 2" xfId="4616"/>
    <cellStyle name="Note 7 3 2" xfId="4617"/>
    <cellStyle name="Note 7 2 2 2" xfId="4618"/>
    <cellStyle name="Note 8 2 2" xfId="4619"/>
    <cellStyle name="Note 9 2 2" xfId="4620"/>
    <cellStyle name="Output 12 2" xfId="4621"/>
    <cellStyle name="Output 2 8 2" xfId="4622"/>
    <cellStyle name="Output 3 4 2" xfId="4623"/>
    <cellStyle name="Output 4 4 2" xfId="4624"/>
    <cellStyle name="Output 5 3 2" xfId="4625"/>
    <cellStyle name="Total 10 2" xfId="4626"/>
    <cellStyle name="Table Head Aligned 3 2" xfId="4627"/>
    <cellStyle name="Table Head Green 3 2" xfId="4628"/>
    <cellStyle name="Thousands 3 2" xfId="4629"/>
    <cellStyle name="Total 11 2" xfId="4630"/>
    <cellStyle name="Total 2 8 2" xfId="4631"/>
    <cellStyle name="Total 3 3 2" xfId="4632"/>
    <cellStyle name="Total 4 3 2" xfId="4633"/>
    <cellStyle name="Total 5 2 2" xfId="4634"/>
    <cellStyle name="Table Head Aligned 4 2" xfId="4635"/>
    <cellStyle name="Table Head Green 4 2" xfId="4636"/>
    <cellStyle name="Thousands 4 2" xfId="4637"/>
    <cellStyle name="Total 12 2" xfId="4638"/>
    <cellStyle name="Total 2 9 2" xfId="4639"/>
    <cellStyle name="Total 3 4 2" xfId="4640"/>
    <cellStyle name="Total 4 4 2" xfId="4641"/>
    <cellStyle name="Total 5 3 2" xfId="4642"/>
    <cellStyle name="Normal 354 2" xfId="4643"/>
    <cellStyle name="20% - Accent1 6 3 2" xfId="4644"/>
    <cellStyle name="20% - Accent2 6 3 2" xfId="4645"/>
    <cellStyle name="20% - Accent3 6 3 2" xfId="4646"/>
    <cellStyle name="20% - Accent4 6 3 2" xfId="4647"/>
    <cellStyle name="20% - Accent5 6 3 2" xfId="4648"/>
    <cellStyle name="20% - Accent6 6 3 2" xfId="4649"/>
    <cellStyle name="40% - Accent1 6 3 2" xfId="4650"/>
    <cellStyle name="40% - Accent2 6 3 2" xfId="4651"/>
    <cellStyle name="40% - Accent3 6 3 2" xfId="4652"/>
    <cellStyle name="40% - Accent4 6 3 2" xfId="4653"/>
    <cellStyle name="40% - Accent5 6 3 2" xfId="4654"/>
    <cellStyle name="40% - Accent6 6 3 2" xfId="4655"/>
    <cellStyle name="Comma 21 2" xfId="4656"/>
    <cellStyle name="Currency 11 2" xfId="4657"/>
    <cellStyle name="Input 18 2" xfId="4658"/>
    <cellStyle name="Normal 10 7 2" xfId="4659"/>
    <cellStyle name="Normal 11 7 2" xfId="4660"/>
    <cellStyle name="Normal 14 5 2" xfId="4661"/>
    <cellStyle name="Normal 2 2 2 4 2" xfId="4662"/>
    <cellStyle name="Normal 8 8 2" xfId="4663"/>
    <cellStyle name="Percent 239 2" xfId="4664"/>
    <cellStyle name="Calculation 12 2" xfId="4665"/>
    <cellStyle name="Input 19 2" xfId="4666"/>
    <cellStyle name="Note 13 2" xfId="4667"/>
    <cellStyle name="Output 13 2" xfId="4668"/>
    <cellStyle name="Total 13 2" xfId="4669"/>
    <cellStyle name="Normal 8 9 2" xfId="4670"/>
    <cellStyle name="Comma 13 4 2" xfId="4671"/>
    <cellStyle name="Currency 7 5 2" xfId="4672"/>
    <cellStyle name="Calculation 2 8 2" xfId="4673"/>
    <cellStyle name="Calculation 3 4 2" xfId="4674"/>
    <cellStyle name="Calculation 4 4 2" xfId="4675"/>
    <cellStyle name="Calculation 5 3 2" xfId="4676"/>
    <cellStyle name="Input 2 8 2" xfId="4677"/>
    <cellStyle name="Input 3 4 2" xfId="4678"/>
    <cellStyle name="Input 4 4 2" xfId="4679"/>
    <cellStyle name="Input 5 4 2" xfId="4680"/>
    <cellStyle name="Normal 10 8 2" xfId="4681"/>
    <cellStyle name="Note 2 8 2" xfId="4682"/>
    <cellStyle name="Note 2 2 5 2" xfId="4683"/>
    <cellStyle name="Note 3 6 2" xfId="4684"/>
    <cellStyle name="Note 3 2 6 2" xfId="4685"/>
    <cellStyle name="Note 4 5 2" xfId="4686"/>
    <cellStyle name="Note 4 2 4 2" xfId="4687"/>
    <cellStyle name="Note 5 4 2" xfId="4688"/>
    <cellStyle name="Note 5 2 3 2" xfId="4689"/>
    <cellStyle name="Note 6 4 2" xfId="4690"/>
    <cellStyle name="Note 6 2 3 2" xfId="4691"/>
    <cellStyle name="Note 7 4 2" xfId="4692"/>
    <cellStyle name="Note 7 2 3 2" xfId="4693"/>
    <cellStyle name="Note 8 3 2" xfId="4694"/>
    <cellStyle name="Output 2 9 2" xfId="4695"/>
    <cellStyle name="Output 3 5 2" xfId="4696"/>
    <cellStyle name="Output 4 5 2" xfId="4697"/>
    <cellStyle name="Output 5 4 2" xfId="4698"/>
    <cellStyle name="Total 2 10 2" xfId="4699"/>
    <cellStyle name="Total 3 5 2" xfId="4700"/>
    <cellStyle name="Total 4 5 2" xfId="4701"/>
    <cellStyle name="Total 5 4 2" xfId="4702"/>
    <cellStyle name="Normal 11 8 2" xfId="4703"/>
    <cellStyle name="Normal 14 6 2" xfId="4704"/>
    <cellStyle name="Normal 43 3 2" xfId="4705"/>
    <cellStyle name="Normal 44 3 2" xfId="4706"/>
    <cellStyle name="Input 20 2" xfId="4707"/>
    <cellStyle name="Normal 8 10 2" xfId="4708"/>
    <cellStyle name="Comma 13 5 2" xfId="4709"/>
    <cellStyle name="Currency 7 6 2" xfId="4710"/>
    <cellStyle name="Normal 10 9 2" xfId="4711"/>
    <cellStyle name="Normal 11 9 2" xfId="4712"/>
    <cellStyle name="Normal 14 7 2" xfId="4713"/>
    <cellStyle name="Normal 43 4 2" xfId="4714"/>
    <cellStyle name="Normal 44 4 2" xfId="4715"/>
    <cellStyle name="Normal 355 2" xfId="4716"/>
    <cellStyle name="Comma 22 2" xfId="4717"/>
    <cellStyle name="Input 21 2" xfId="4718"/>
    <cellStyle name="Normal 8 11 2" xfId="4719"/>
    <cellStyle name="Comma 13 6 2" xfId="4720"/>
    <cellStyle name="Currency 7 7 2" xfId="4721"/>
    <cellStyle name="Normal 10 10 2" xfId="4722"/>
    <cellStyle name="Normal 11 10 2" xfId="4723"/>
    <cellStyle name="Normal 14 8 2" xfId="4724"/>
    <cellStyle name="Normal 43 5 2" xfId="4725"/>
    <cellStyle name="Normal 44 5 2" xfId="4726"/>
    <cellStyle name="Note 6 2 6" xfId="4727"/>
    <cellStyle name="Note 7 7" xfId="4728"/>
    <cellStyle name="Note 7 2 6" xfId="4729"/>
    <cellStyle name="Note 8 6" xfId="4730"/>
    <cellStyle name="Note 9 5" xfId="4731"/>
    <cellStyle name="Output 7 4" xfId="4732"/>
    <cellStyle name="Output 2 6 4" xfId="4733"/>
    <cellStyle name="Output 3 2 4" xfId="4734"/>
    <cellStyle name="Output 4 2 4" xfId="4735"/>
    <cellStyle name="Output 5 7" xfId="4736"/>
    <cellStyle name="Note 4 2 4 5" xfId="4737"/>
    <cellStyle name="Total 7 4" xfId="4738"/>
    <cellStyle name="Total 2 7 4" xfId="4739"/>
    <cellStyle name="Total 3 2 4" xfId="4740"/>
    <cellStyle name="Total 4 2 4" xfId="4741"/>
    <cellStyle name="Total 5 7" xfId="4742"/>
    <cellStyle name="Calculation 8 4" xfId="4743"/>
    <cellStyle name="Input 12 4" xfId="4744"/>
    <cellStyle name="Input 11 4" xfId="4745"/>
    <cellStyle name="Calculation 9 4" xfId="4746"/>
    <cellStyle name="Output 8 4" xfId="4747"/>
    <cellStyle name="Note 4 5 5" xfId="4748"/>
    <cellStyle name="Total 8 4" xfId="4749"/>
    <cellStyle name="Total 9 4" xfId="4750"/>
    <cellStyle name="Input 2 9 3" xfId="4751"/>
    <cellStyle name="Note 2 2 2 3 3" xfId="4752"/>
    <cellStyle name="Note 7 2 3 5" xfId="4753"/>
    <cellStyle name="Note 3 2 6 5" xfId="4754"/>
    <cellStyle name="Output 13 5" xfId="4755"/>
    <cellStyle name="Input 14 5" xfId="4756"/>
    <cellStyle name="Input 5 3 5" xfId="4757"/>
    <cellStyle name="Output 5 2 4" xfId="4758"/>
    <cellStyle name="Output 4 3 4" xfId="4759"/>
    <cellStyle name="Output 3 3 4" xfId="4760"/>
    <cellStyle name="Output 2 7 4" xfId="4761"/>
    <cellStyle name="Output 11 4" xfId="4762"/>
    <cellStyle name="Input 5 3 4" xfId="4763"/>
    <cellStyle name="Input 4 3 4" xfId="4764"/>
    <cellStyle name="Input 3 3 4" xfId="4765"/>
    <cellStyle name="Input 2 7 4" xfId="4766"/>
    <cellStyle name="Calculation 10 4" xfId="4767"/>
    <cellStyle name="Input 14 4" xfId="4768"/>
    <cellStyle name="Input 16 4" xfId="4769"/>
    <cellStyle name="Input 17 4" xfId="4770"/>
    <cellStyle name="Input 15 4" xfId="4771"/>
    <cellStyle name="Input 13 4" xfId="4772"/>
    <cellStyle name="Calculation 5 2 4" xfId="4773"/>
    <cellStyle name="Calculation 4 3 4" xfId="4774"/>
    <cellStyle name="Calculation 3 3 4" xfId="4775"/>
    <cellStyle name="Calculation 2 7 4" xfId="4776"/>
    <cellStyle name="Calculation 11 4" xfId="4777"/>
    <cellStyle name="Output 10 4" xfId="4778"/>
    <cellStyle name="Note 12 4" xfId="4779"/>
    <cellStyle name="Note 2 7 4" xfId="4780"/>
    <cellStyle name="Note 2 2 4 4" xfId="4781"/>
    <cellStyle name="Note 3 5 4" xfId="4782"/>
    <cellStyle name="Note 3 2 5 4" xfId="4783"/>
    <cellStyle name="Note 4 4 4" xfId="4784"/>
    <cellStyle name="Note 4 2 3 4" xfId="4785"/>
    <cellStyle name="Note 5 3 4" xfId="4786"/>
    <cellStyle name="Note 5 2 2 4" xfId="4787"/>
    <cellStyle name="Note 6 3 4" xfId="4788"/>
    <cellStyle name="Note 6 2 2 4" xfId="4789"/>
    <cellStyle name="Note 7 3 4" xfId="4790"/>
    <cellStyle name="Note 7 2 2 4" xfId="4791"/>
    <cellStyle name="Note 8 2 4" xfId="4792"/>
    <cellStyle name="Note 9 2 4" xfId="4793"/>
    <cellStyle name="Output 12 4" xfId="4794"/>
    <cellStyle name="Output 2 8 4" xfId="4795"/>
    <cellStyle name="Output 3 4 4" xfId="4796"/>
    <cellStyle name="Output 4 4 4" xfId="4797"/>
    <cellStyle name="Output 5 3 4" xfId="4798"/>
    <cellStyle name="Total 10 4" xfId="4799"/>
    <cellStyle name="Total 11 4" xfId="4800"/>
    <cellStyle name="Total 2 8 4" xfId="4801"/>
    <cellStyle name="Total 3 3 4" xfId="4802"/>
    <cellStyle name="Total 4 3 4" xfId="4803"/>
    <cellStyle name="Total 5 2 4" xfId="4804"/>
    <cellStyle name="Total 12 4" xfId="4805"/>
    <cellStyle name="Total 2 9 4" xfId="4806"/>
    <cellStyle name="Total 3 4 4" xfId="4807"/>
    <cellStyle name="Total 4 4 4" xfId="4808"/>
    <cellStyle name="Total 5 3 4" xfId="4809"/>
    <cellStyle name="Note 2 4 2 3 3" xfId="4810"/>
    <cellStyle name="Note 6 2 3 5" xfId="4811"/>
    <cellStyle name="Input 19 5" xfId="4812"/>
    <cellStyle name="Input 2 7 5" xfId="4813"/>
    <cellStyle name="Input 18 4" xfId="4814"/>
    <cellStyle name="Calculation 12 4" xfId="4815"/>
    <cellStyle name="Input 19 4" xfId="4816"/>
    <cellStyle name="Note 13 4" xfId="4817"/>
    <cellStyle name="Output 13 4" xfId="4818"/>
    <cellStyle name="Total 13 4" xfId="4819"/>
    <cellStyle name="Calculation 2 8 4" xfId="4820"/>
    <cellStyle name="Calculation 3 4 4" xfId="4821"/>
    <cellStyle name="Calculation 4 4 4" xfId="4822"/>
    <cellStyle name="Calculation 5 3 4" xfId="4823"/>
    <cellStyle name="Input 2 8 4" xfId="4824"/>
    <cellStyle name="Input 3 4 4" xfId="4825"/>
    <cellStyle name="Input 4 4 4" xfId="4826"/>
    <cellStyle name="Input 5 4 4" xfId="4827"/>
    <cellStyle name="Note 2 8 4" xfId="4828"/>
    <cellStyle name="Note 2 2 5 4" xfId="4829"/>
    <cellStyle name="Note 3 6 4" xfId="4830"/>
    <cellStyle name="Note 3 2 6 4" xfId="4831"/>
    <cellStyle name="Note 4 5 4" xfId="4832"/>
    <cellStyle name="Note 4 2 4 4" xfId="4833"/>
    <cellStyle name="Note 5 4 4" xfId="4834"/>
    <cellStyle name="Note 5 2 3 4" xfId="4835"/>
    <cellStyle name="Note 6 4 4" xfId="4836"/>
    <cellStyle name="Note 6 2 3 4" xfId="4837"/>
    <cellStyle name="Note 7 4 4" xfId="4838"/>
    <cellStyle name="Note 7 2 3 4" xfId="4839"/>
    <cellStyle name="Note 8 3 4" xfId="4840"/>
    <cellStyle name="Output 2 9 4" xfId="4841"/>
    <cellStyle name="Output 3 5 4" xfId="4842"/>
    <cellStyle name="Output 4 5 4" xfId="4843"/>
    <cellStyle name="Output 5 4 4" xfId="4844"/>
    <cellStyle name="Total 2 10 4" xfId="4845"/>
    <cellStyle name="Total 3 5 4" xfId="4846"/>
    <cellStyle name="Total 4 5 4" xfId="4847"/>
    <cellStyle name="Total 5 4 4" xfId="4848"/>
    <cellStyle name="Input 20 4" xfId="4849"/>
    <cellStyle name="Input 21 4" xfId="4850"/>
    <cellStyle name="Note 4 2 6 2" xfId="4851"/>
    <cellStyle name="Note 3 3 3 2" xfId="4852"/>
    <cellStyle name="Note 2 5 3 2" xfId="4853"/>
    <cellStyle name="Note 2 4 2 3 2" xfId="4854"/>
    <cellStyle name="Note 2 3 2 3 2" xfId="4855"/>
    <cellStyle name="Note 2 2 2 3 2" xfId="4856"/>
    <cellStyle name="Calculation 2 9 2" xfId="4857"/>
    <cellStyle name="Calculation 2 2 5 2" xfId="4858"/>
    <cellStyle name="Calculation 2 2 2 2 2" xfId="4859"/>
    <cellStyle name="Calculation 2 2 3 2 2" xfId="4860"/>
    <cellStyle name="Calculation 2 2 4 2 2" xfId="4861"/>
    <cellStyle name="Calculation 2 3 2 2" xfId="4862"/>
    <cellStyle name="Calculation 2 4 2 2" xfId="4863"/>
    <cellStyle name="Calculation 2 5 2 2" xfId="4864"/>
    <cellStyle name="Calculation 3 5 2" xfId="4865"/>
    <cellStyle name="Header2 2 2" xfId="4866"/>
    <cellStyle name="Input 2 5 3 2" xfId="4867"/>
    <cellStyle name="Input 2 9 2" xfId="4868"/>
    <cellStyle name="Input 2 2 5 2" xfId="4869"/>
    <cellStyle name="Input 2 2 2 2 2" xfId="4870"/>
    <cellStyle name="Input 2 2 3 2 2" xfId="4871"/>
    <cellStyle name="Input 2 2 4 2 2" xfId="4872"/>
    <cellStyle name="Input 2 3 2 2" xfId="4873"/>
    <cellStyle name="Input 2 4 2 2" xfId="4874"/>
    <cellStyle name="Input 2 5 2 2" xfId="4875"/>
    <cellStyle name="Input 3 5 2" xfId="4876"/>
    <cellStyle name="Input 4 5 2" xfId="4877"/>
    <cellStyle name="Input 5 5 2" xfId="4878"/>
    <cellStyle name="Input 6 3 2" xfId="4879"/>
    <cellStyle name="Input 7 2 2" xfId="4880"/>
    <cellStyle name="Input 8 2 2" xfId="4881"/>
    <cellStyle name="Calculation 2 5 3 2" xfId="4882"/>
    <cellStyle name="Total 2 4 3 2" xfId="4883"/>
    <cellStyle name="Total 2 2 4 3 2" xfId="4884"/>
    <cellStyle name="Total 2 2 3 3 2" xfId="4885"/>
    <cellStyle name="Total 2 12 2" xfId="4886"/>
    <cellStyle name="Note 2 9 2" xfId="4887"/>
    <cellStyle name="Note 2 2 6 2" xfId="4888"/>
    <cellStyle name="Note 2 3 3 2" xfId="4889"/>
    <cellStyle name="Note 2 4 3 2" xfId="4890"/>
    <cellStyle name="Note 3 7 2" xfId="4891"/>
    <cellStyle name="Note 3 2 7 2" xfId="4892"/>
    <cellStyle name="Output 2 10 2" xfId="4893"/>
    <cellStyle name="Output 2 2 5 2" xfId="4894"/>
    <cellStyle name="Output 2 2 2 2 2" xfId="4895"/>
    <cellStyle name="Output 2 2 3 2 2" xfId="4896"/>
    <cellStyle name="Output 2 2 4 2 2" xfId="4897"/>
    <cellStyle name="Output 2 3 2 2" xfId="4898"/>
    <cellStyle name="Output 2 4 2 2" xfId="4899"/>
    <cellStyle name="Output 2 5 2 2" xfId="4900"/>
    <cellStyle name="Output 3 6 2" xfId="4901"/>
    <cellStyle name="Input 7 3 2" xfId="4902"/>
    <cellStyle name="Input 5 6 2" xfId="4903"/>
    <cellStyle name="Input 3 6 2" xfId="4904"/>
    <cellStyle name="Input 2 4 3 2" xfId="4905"/>
    <cellStyle name="Input 2 2 4 3 2" xfId="4906"/>
    <cellStyle name="Input 2 2 2 3 2" xfId="4907"/>
    <cellStyle name="Input 2 10 2" xfId="4908"/>
    <cellStyle name="Calculation 3 6 2" xfId="4909"/>
    <cellStyle name="Calculation 2 4 3 2" xfId="4910"/>
    <cellStyle name="Calculation 2 2 4 3 2" xfId="4911"/>
    <cellStyle name="Calculation 2 2 2 3 2" xfId="4912"/>
    <cellStyle name="Calculation 2 10 2" xfId="4913"/>
    <cellStyle name="StmtTtl2 2 2" xfId="4914"/>
    <cellStyle name="Total 2 11 2" xfId="4915"/>
    <cellStyle name="Total 2 2 5 2" xfId="4916"/>
    <cellStyle name="Total 2 2 2 2 2" xfId="4917"/>
    <cellStyle name="Total 2 2 3 2 2" xfId="4918"/>
    <cellStyle name="Total 2 2 4 2 2" xfId="4919"/>
    <cellStyle name="Total 2 3 2 2" xfId="4920"/>
    <cellStyle name="Total 2 4 2 2" xfId="4921"/>
    <cellStyle name="Total 2 5 2 2" xfId="4922"/>
    <cellStyle name="Total 2 6 2 2" xfId="4923"/>
    <cellStyle name="Total 3 6 2" xfId="4924"/>
    <cellStyle name="Calculation 2 2 2 2 3" xfId="4925"/>
    <cellStyle name="Output 3 5 5" xfId="4926"/>
    <cellStyle name="Input 12 5" xfId="4927"/>
    <cellStyle name="Output 2 5 3 2" xfId="4928"/>
    <cellStyle name="Output 2 3 3 2" xfId="4929"/>
    <cellStyle name="Output 2 2 3 3 2" xfId="4930"/>
    <cellStyle name="Output 2 2 6 2" xfId="4931"/>
    <cellStyle name="Note 4 7 2" xfId="4932"/>
    <cellStyle name="Note 3 2 2 3 2" xfId="4933"/>
    <cellStyle name="Note 3 8 2" xfId="4934"/>
    <cellStyle name="Note 2 4 4 2" xfId="4935"/>
    <cellStyle name="Note 2 2 7 2" xfId="4936"/>
    <cellStyle name="Note 3 2 2 2 2" xfId="4937"/>
    <cellStyle name="Note 4 6 2" xfId="4938"/>
    <cellStyle name="Total 3 7 2" xfId="4939"/>
    <cellStyle name="Total 2 5 3 2" xfId="4940"/>
    <cellStyle name="Total 2 3 3 2" xfId="4941"/>
    <cellStyle name="Total 2 2 6 2" xfId="4942"/>
    <cellStyle name="Total 2 2 2 3 2" xfId="4943"/>
    <cellStyle name="StmtTtl2 3 2" xfId="4944"/>
    <cellStyle name="Output 3 7 2" xfId="4945"/>
    <cellStyle name="Note 2 5 2 2" xfId="4946"/>
    <cellStyle name="Note 2 2 2 2 2" xfId="4947"/>
    <cellStyle name="Note 2 3 2 2 2" xfId="4948"/>
    <cellStyle name="Note 2 4 2 2 2" xfId="4949"/>
    <cellStyle name="Note 3 3 2 2" xfId="4950"/>
    <cellStyle name="Input 8 3 2" xfId="4951"/>
    <cellStyle name="Input 6 4 2" xfId="4952"/>
    <cellStyle name="Input 4 6 2" xfId="4953"/>
    <cellStyle name="Input 2 3 3 2" xfId="4954"/>
    <cellStyle name="Input 2 2 3 3 2" xfId="4955"/>
    <cellStyle name="Input 2 2 6 2" xfId="4956"/>
    <cellStyle name="Calculation 2 3 3 2" xfId="4957"/>
    <cellStyle name="Calculation 2 2 3 3 2" xfId="4958"/>
    <cellStyle name="Calculation 2 2 6 2" xfId="4959"/>
    <cellStyle name="Output 2 4 3 2" xfId="4960"/>
    <cellStyle name="Output 2 2 4 3 2" xfId="4961"/>
    <cellStyle name="Output 2 2 2 3 2" xfId="4962"/>
    <cellStyle name="Output 2 11 2" xfId="4963"/>
    <cellStyle name="Note 3 2 8 2" xfId="4964"/>
    <cellStyle name="Note 2 3 4 2" xfId="4965"/>
    <cellStyle name="Note 2 10 2" xfId="4966"/>
    <cellStyle name="Note 4 2 5 2" xfId="4967"/>
    <cellStyle name="Style 21 3" xfId="4968"/>
    <cellStyle name="Style 21 2 3" xfId="4969"/>
    <cellStyle name="Style 22 3" xfId="4970"/>
    <cellStyle name="Style 22 2 3" xfId="4971"/>
    <cellStyle name="Style 23 3" xfId="4972"/>
    <cellStyle name="Style 23 2 3" xfId="4973"/>
    <cellStyle name="Style 24 3" xfId="4974"/>
    <cellStyle name="Style 24 2 3" xfId="4975"/>
    <cellStyle name="Style 25 3" xfId="4976"/>
    <cellStyle name="Style 25 2 3" xfId="4977"/>
    <cellStyle name="Style 26 3" xfId="4978"/>
    <cellStyle name="Style 26 2 3" xfId="4979"/>
    <cellStyle name="styleColumnTitles 3" xfId="4980"/>
    <cellStyle name="styleColumnTitles 2 3" xfId="4981"/>
    <cellStyle name="styleDateRange 3" xfId="4982"/>
    <cellStyle name="styleDateRange 2 3" xfId="4983"/>
    <cellStyle name="styleSeriesAttributes 3" xfId="4984"/>
    <cellStyle name="styleSeriesAttributes 2 3" xfId="4985"/>
    <cellStyle name="styleSeriesData 3" xfId="4986"/>
    <cellStyle name="styleSeriesData 2 3" xfId="4987"/>
    <cellStyle name="styleSeriesDataForecast 3" xfId="4988"/>
    <cellStyle name="styleSeriesDataForecast 2 3" xfId="4989"/>
    <cellStyle name="styleSeriesDataForecastNA 3" xfId="4990"/>
    <cellStyle name="styleSeriesDataForecastNA 2 3" xfId="4991"/>
    <cellStyle name="styleSeriesDataNA 3" xfId="4992"/>
    <cellStyle name="styleSeriesDataNA 2 3" xfId="4993"/>
    <cellStyle name="Style 21 2 2 2" xfId="4994"/>
    <cellStyle name="Style 22 2 2 2" xfId="4995"/>
    <cellStyle name="Style 23 2 2 2" xfId="4996"/>
    <cellStyle name="Style 24 2 2 2" xfId="4997"/>
    <cellStyle name="Style 25 2 2 2" xfId="4998"/>
    <cellStyle name="Style 26 2 2 2" xfId="4999"/>
    <cellStyle name="styleColumnTitles 2 2 2" xfId="5000"/>
    <cellStyle name="styleDateRange 2 2 2" xfId="5001"/>
    <cellStyle name="styleSeriesAttributes 2 2 2" xfId="5002"/>
    <cellStyle name="styleSeriesData 2 2 2" xfId="5003"/>
    <cellStyle name="styleSeriesDataForecast 2 2 2" xfId="5004"/>
    <cellStyle name="styleSeriesDataForecastNA 2 2 2" xfId="5005"/>
    <cellStyle name="styleSeriesDataNA 2 2 2" xfId="5006"/>
    <cellStyle name="Total 2 6 3 2" xfId="5007"/>
    <cellStyle name="Note 3 3 3 3" xfId="5008"/>
    <cellStyle name="Note 5 2 3 5" xfId="5009"/>
    <cellStyle name="Input 4 3 5" xfId="5010"/>
    <cellStyle name="Calculation 7 2 2" xfId="5011"/>
    <cellStyle name="Calculation 2 6 2 2" xfId="5012"/>
    <cellStyle name="Calculation 3 2 2 2" xfId="5013"/>
    <cellStyle name="Calculation 4 2 2 2" xfId="5014"/>
    <cellStyle name="Calculation 5 4 2" xfId="5015"/>
    <cellStyle name="Output 9 2 2" xfId="5016"/>
    <cellStyle name="Input 10 2 2" xfId="5017"/>
    <cellStyle name="Input 2 6 2 2" xfId="5018"/>
    <cellStyle name="Input 3 2 2 2" xfId="5019"/>
    <cellStyle name="Input 4 2 2 2" xfId="5020"/>
    <cellStyle name="Input 5 2 2 2" xfId="5021"/>
    <cellStyle name="Note 11 2 2" xfId="5022"/>
    <cellStyle name="Note 2 6 2 2" xfId="5023"/>
    <cellStyle name="Note 2 2 3 2 2" xfId="5024"/>
    <cellStyle name="Note 3 4 2 2" xfId="5025"/>
    <cellStyle name="Note 3 2 4 2 2" xfId="5026"/>
    <cellStyle name="Note 4 3 2 2" xfId="5027"/>
    <cellStyle name="Note 4 2 2 2 2" xfId="5028"/>
    <cellStyle name="Note 5 5 2" xfId="5029"/>
    <cellStyle name="Note 5 2 4 2" xfId="5030"/>
    <cellStyle name="Note 6 5 2" xfId="5031"/>
    <cellStyle name="Note 6 2 4 2" xfId="5032"/>
    <cellStyle name="Note 7 5 2" xfId="5033"/>
    <cellStyle name="Note 7 2 4 2" xfId="5034"/>
    <cellStyle name="Note 8 4 2" xfId="5035"/>
    <cellStyle name="Note 9 3 2" xfId="5036"/>
    <cellStyle name="Output 7 2 2" xfId="5037"/>
    <cellStyle name="Output 2 6 2 2" xfId="5038"/>
    <cellStyle name="Output 3 2 2 2" xfId="5039"/>
    <cellStyle name="Output 4 2 2 2" xfId="5040"/>
    <cellStyle name="Output 5 5 2" xfId="5041"/>
    <cellStyle name="Total 7 2 2" xfId="5042"/>
    <cellStyle name="Total 2 7 2 2" xfId="5043"/>
    <cellStyle name="Total 3 2 2 2" xfId="5044"/>
    <cellStyle name="Total 4 2 2 2" xfId="5045"/>
    <cellStyle name="Total 5 5 2" xfId="5046"/>
    <cellStyle name="Calculation 8 2 2" xfId="5047"/>
    <cellStyle name="Input 12 2 2" xfId="5048"/>
    <cellStyle name="Input 11 2 2" xfId="5049"/>
    <cellStyle name="Calculation 9 2 2" xfId="5050"/>
    <cellStyle name="Output 8 2 2" xfId="5051"/>
    <cellStyle name="Total 8 2 2" xfId="5052"/>
    <cellStyle name="Total 9 2 2" xfId="5053"/>
    <cellStyle name="Note 2 3 2 3 3" xfId="5054"/>
    <cellStyle name="Note 7 4 5" xfId="5055"/>
    <cellStyle name="Note 13 5" xfId="5056"/>
    <cellStyle name="Calculation 10 5" xfId="5057"/>
    <cellStyle name="Output 5 2 2 2" xfId="5058"/>
    <cellStyle name="Output 4 3 2 2" xfId="5059"/>
    <cellStyle name="Output 3 3 2 2" xfId="5060"/>
    <cellStyle name="Output 2 7 2 2" xfId="5061"/>
    <cellStyle name="Output 11 2 2" xfId="5062"/>
    <cellStyle name="Input 5 3 2 2" xfId="5063"/>
    <cellStyle name="Input 4 3 2 2" xfId="5064"/>
    <cellStyle name="Input 3 3 2 2" xfId="5065"/>
    <cellStyle name="Input 2 7 2 2" xfId="5066"/>
    <cellStyle name="Calculation 10 2 2" xfId="5067"/>
    <cellStyle name="Input 14 2 2" xfId="5068"/>
    <cellStyle name="Input 16 2 2" xfId="5069"/>
    <cellStyle name="Input 17 2 2" xfId="5070"/>
    <cellStyle name="Input 15 2 2" xfId="5071"/>
    <cellStyle name="Input 13 2 2" xfId="5072"/>
    <cellStyle name="Calculation 5 2 2 2" xfId="5073"/>
    <cellStyle name="Calculation 4 3 2 2" xfId="5074"/>
    <cellStyle name="Calculation 3 3 2 2" xfId="5075"/>
    <cellStyle name="Calculation 2 7 2 2" xfId="5076"/>
    <cellStyle name="Calculation 11 2 2" xfId="5077"/>
    <cellStyle name="Output 10 2 2" xfId="5078"/>
    <cellStyle name="Note 12 2 2" xfId="5079"/>
    <cellStyle name="Note 2 7 2 2" xfId="5080"/>
    <cellStyle name="Note 2 2 4 2 2" xfId="5081"/>
    <cellStyle name="Note 3 5 2 2" xfId="5082"/>
    <cellStyle name="Note 3 2 5 2 2" xfId="5083"/>
    <cellStyle name="Note 4 4 2 2" xfId="5084"/>
    <cellStyle name="Note 4 2 3 2 2" xfId="5085"/>
    <cellStyle name="Note 5 3 2 2" xfId="5086"/>
    <cellStyle name="Note 5 2 2 2 2" xfId="5087"/>
    <cellStyle name="Note 6 3 2 2" xfId="5088"/>
    <cellStyle name="Note 6 2 2 2 2" xfId="5089"/>
    <cellStyle name="Note 7 3 2 2" xfId="5090"/>
    <cellStyle name="Note 7 2 2 2 2" xfId="5091"/>
    <cellStyle name="Note 8 2 2 2" xfId="5092"/>
    <cellStyle name="Note 9 2 2 2" xfId="5093"/>
    <cellStyle name="Output 12 2 2" xfId="5094"/>
    <cellStyle name="Output 2 8 2 2" xfId="5095"/>
    <cellStyle name="Output 3 4 2 2" xfId="5096"/>
    <cellStyle name="Output 4 4 2 2" xfId="5097"/>
    <cellStyle name="Output 5 3 2 2" xfId="5098"/>
    <cellStyle name="Total 10 2 2" xfId="5099"/>
    <cellStyle name="Total 11 2 2" xfId="5100"/>
    <cellStyle name="Total 2 8 2 2" xfId="5101"/>
    <cellStyle name="Total 3 3 2 2" xfId="5102"/>
    <cellStyle name="Total 4 3 2 2" xfId="5103"/>
    <cellStyle name="Total 5 2 2 2" xfId="5104"/>
    <cellStyle name="Total 12 2 2" xfId="5105"/>
    <cellStyle name="Total 2 9 2 2" xfId="5106"/>
    <cellStyle name="Total 3 4 2 2" xfId="5107"/>
    <cellStyle name="Total 4 4 2 2" xfId="5108"/>
    <cellStyle name="Total 5 3 2 2" xfId="5109"/>
    <cellStyle name="Note 2 5 3 3" xfId="5110"/>
    <cellStyle name="Note 6 4 5" xfId="5111"/>
    <cellStyle name="Calculation 12 5" xfId="5112"/>
    <cellStyle name="Input 3 3 5" xfId="5113"/>
    <cellStyle name="Input 18 2 2" xfId="5114"/>
    <cellStyle name="Calculation 12 2 2" xfId="5115"/>
    <cellStyle name="Input 19 2 2" xfId="5116"/>
    <cellStyle name="Note 13 2 2" xfId="5117"/>
    <cellStyle name="Output 13 2 2" xfId="5118"/>
    <cellStyle name="Total 13 2 2" xfId="5119"/>
    <cellStyle name="Calculation 2 8 2 2" xfId="5120"/>
    <cellStyle name="Calculation 3 4 2 2" xfId="5121"/>
    <cellStyle name="Calculation 4 4 2 2" xfId="5122"/>
    <cellStyle name="Calculation 5 3 2 2" xfId="5123"/>
    <cellStyle name="Input 2 8 2 2" xfId="5124"/>
    <cellStyle name="Input 3 4 2 2" xfId="5125"/>
    <cellStyle name="Input 4 4 2 2" xfId="5126"/>
    <cellStyle name="Input 5 4 2 2" xfId="5127"/>
    <cellStyle name="Note 2 8 2 2" xfId="5128"/>
    <cellStyle name="Note 2 2 5 2 2" xfId="5129"/>
    <cellStyle name="Note 3 6 2 2" xfId="5130"/>
    <cellStyle name="Note 3 2 6 2 2" xfId="5131"/>
    <cellStyle name="Note 4 5 2 2" xfId="5132"/>
    <cellStyle name="Note 4 2 4 2 2" xfId="5133"/>
    <cellStyle name="Note 5 4 2 2" xfId="5134"/>
    <cellStyle name="Note 5 2 3 2 2" xfId="5135"/>
    <cellStyle name="Note 6 4 2 2" xfId="5136"/>
    <cellStyle name="Note 6 2 3 2 2" xfId="5137"/>
    <cellStyle name="Note 7 4 2 2" xfId="5138"/>
    <cellStyle name="Note 7 2 3 2 2" xfId="5139"/>
    <cellStyle name="Note 8 3 2 2" xfId="5140"/>
    <cellStyle name="Output 2 9 2 2" xfId="5141"/>
    <cellStyle name="Output 3 5 2 2" xfId="5142"/>
    <cellStyle name="Output 4 5 2 2" xfId="5143"/>
    <cellStyle name="Output 5 4 2 2" xfId="5144"/>
    <cellStyle name="Total 2 10 2 2" xfId="5145"/>
    <cellStyle name="Total 3 5 2 2" xfId="5146"/>
    <cellStyle name="Total 4 5 2 2" xfId="5147"/>
    <cellStyle name="Total 5 4 2 2" xfId="5148"/>
    <cellStyle name="Input 20 2 2" xfId="5149"/>
    <cellStyle name="Input 21 2 2" xfId="5150"/>
    <cellStyle name="Note 2 9 3" xfId="5151"/>
    <cellStyle name="Note 2 2 6 3" xfId="5152"/>
    <cellStyle name="Note 2 3 3 3" xfId="5153"/>
    <cellStyle name="Note 2 4 3 3" xfId="5154"/>
    <cellStyle name="Note 3 7 3" xfId="5155"/>
    <cellStyle name="Note 3 2 7 3" xfId="5156"/>
    <cellStyle name="Output 2 10 3" xfId="5157"/>
    <cellStyle name="Output 2 2 5 3" xfId="5158"/>
    <cellStyle name="Output 2 2 2 2 3" xfId="5159"/>
    <cellStyle name="Output 2 2 3 2 3" xfId="5160"/>
    <cellStyle name="Output 2 2 4 2 3" xfId="5161"/>
    <cellStyle name="Output 2 3 2 3" xfId="5162"/>
    <cellStyle name="Output 2 4 2 3" xfId="5163"/>
    <cellStyle name="Output 2 5 2 3" xfId="5164"/>
    <cellStyle name="Output 3 6 3" xfId="5165"/>
    <cellStyle name="Input 7 3 3" xfId="5166"/>
    <cellStyle name="Input 5 6 3" xfId="5167"/>
    <cellStyle name="Input 3 6 3" xfId="5168"/>
    <cellStyle name="Input 2 4 3 3" xfId="5169"/>
    <cellStyle name="Input 2 2 4 3 3" xfId="5170"/>
    <cellStyle name="Input 2 2 2 3 3" xfId="5171"/>
    <cellStyle name="Input 2 10 3" xfId="5172"/>
    <cellStyle name="Calculation 3 6 3" xfId="5173"/>
    <cellStyle name="Calculation 2 4 3 3" xfId="5174"/>
    <cellStyle name="Calculation 2 2 4 3 3" xfId="5175"/>
    <cellStyle name="Calculation 2 2 2 3 3" xfId="5176"/>
    <cellStyle name="Calculation 2 10 3" xfId="5177"/>
    <cellStyle name="StmtTtl2 2 3" xfId="5178"/>
    <cellStyle name="Total 2 11 3" xfId="5179"/>
    <cellStyle name="Total 2 2 5 3" xfId="5180"/>
    <cellStyle name="Total 2 2 2 2 3" xfId="5181"/>
    <cellStyle name="Total 2 2 3 2 3" xfId="5182"/>
    <cellStyle name="Total 2 2 4 2 3" xfId="5183"/>
    <cellStyle name="Total 2 3 2 3" xfId="5184"/>
    <cellStyle name="Total 2 4 2 3" xfId="5185"/>
    <cellStyle name="Total 2 5 2 3" xfId="5186"/>
    <cellStyle name="Total 2 6 2 3" xfId="5187"/>
    <cellStyle name="Total 3 6 3" xfId="5188"/>
    <cellStyle name="Output 2 5 3 3" xfId="5189"/>
    <cellStyle name="Output 2 3 3 3" xfId="5190"/>
    <cellStyle name="Output 2 2 3 3 3" xfId="5191"/>
    <cellStyle name="Output 2 2 6 3" xfId="5192"/>
    <cellStyle name="Note 4 7 3" xfId="5193"/>
    <cellStyle name="Note 3 2 2 3 3" xfId="5194"/>
    <cellStyle name="Note 3 8 3" xfId="5195"/>
    <cellStyle name="Note 2 4 4 3" xfId="5196"/>
    <cellStyle name="Note 2 2 7 3" xfId="5197"/>
    <cellStyle name="Note 3 2 2 2 3" xfId="5198"/>
    <cellStyle name="Note 4 6 3" xfId="5199"/>
    <cellStyle name="Total 3 7 3" xfId="5200"/>
    <cellStyle name="Total 2 5 3 3" xfId="5201"/>
    <cellStyle name="Total 2 3 3 3" xfId="5202"/>
    <cellStyle name="Total 2 2 6 3" xfId="5203"/>
    <cellStyle name="Total 2 2 2 3 3" xfId="5204"/>
    <cellStyle name="StmtTtl2 3 3" xfId="5205"/>
    <cellStyle name="Output 3 7 3" xfId="5206"/>
    <cellStyle name="Note 2 5 2 3" xfId="5207"/>
    <cellStyle name="Note 2 2 2 2 3" xfId="5208"/>
    <cellStyle name="Note 2 3 2 2 3" xfId="5209"/>
    <cellStyle name="Note 2 4 2 2 3" xfId="5210"/>
    <cellStyle name="Note 3 3 2 3" xfId="5211"/>
    <cellStyle name="Input 8 3 3" xfId="5212"/>
    <cellStyle name="Input 6 4 3" xfId="5213"/>
    <cellStyle name="Input 4 6 3" xfId="5214"/>
    <cellStyle name="Input 2 3 3 3" xfId="5215"/>
    <cellStyle name="Input 2 2 3 3 3" xfId="5216"/>
    <cellStyle name="Input 2 2 6 3" xfId="5217"/>
    <cellStyle name="Calculation 2 3 3 3" xfId="5218"/>
    <cellStyle name="Calculation 2 2 3 3 3" xfId="5219"/>
    <cellStyle name="Calculation 2 2 6 3" xfId="5220"/>
    <cellStyle name="Output 2 4 3 3" xfId="5221"/>
    <cellStyle name="Output 2 2 4 3 3" xfId="5222"/>
    <cellStyle name="Output 2 2 2 3 3" xfId="5223"/>
    <cellStyle name="Output 2 11 3" xfId="5224"/>
    <cellStyle name="Note 3 2 8 3" xfId="5225"/>
    <cellStyle name="Note 2 3 4 3" xfId="5226"/>
    <cellStyle name="Note 2 10 3" xfId="5227"/>
    <cellStyle name="Note 4 2 5 3" xfId="5228"/>
    <cellStyle name="Style 21 4" xfId="5229"/>
    <cellStyle name="Style 21 2 4" xfId="5230"/>
    <cellStyle name="Style 22 4" xfId="5231"/>
    <cellStyle name="Style 22 2 4" xfId="5232"/>
    <cellStyle name="Style 23 4" xfId="5233"/>
    <cellStyle name="Style 23 2 4" xfId="5234"/>
    <cellStyle name="Style 24 4" xfId="5235"/>
    <cellStyle name="Style 24 2 4" xfId="5236"/>
    <cellStyle name="Style 25 4" xfId="5237"/>
    <cellStyle name="Style 25 2 4" xfId="5238"/>
    <cellStyle name="Style 26 4" xfId="5239"/>
    <cellStyle name="Style 26 2 4" xfId="5240"/>
    <cellStyle name="styleColumnTitles 4" xfId="5241"/>
    <cellStyle name="styleColumnTitles 2 4" xfId="5242"/>
    <cellStyle name="styleDateRange 4" xfId="5243"/>
    <cellStyle name="styleDateRange 2 4" xfId="5244"/>
    <cellStyle name="styleSeriesAttributes 4" xfId="5245"/>
    <cellStyle name="styleSeriesAttributes 2 4" xfId="5246"/>
    <cellStyle name="styleSeriesData 4" xfId="5247"/>
    <cellStyle name="styleSeriesData 2 4" xfId="5248"/>
    <cellStyle name="styleSeriesDataForecast 4" xfId="5249"/>
    <cellStyle name="styleSeriesDataForecast 2 4" xfId="5250"/>
    <cellStyle name="styleSeriesDataForecastNA 4" xfId="5251"/>
    <cellStyle name="styleSeriesDataForecastNA 2 4" xfId="5252"/>
    <cellStyle name="styleSeriesDataNA 4" xfId="5253"/>
    <cellStyle name="styleSeriesDataNA 2 4" xfId="5254"/>
    <cellStyle name="Style 21 2 2 3" xfId="5255"/>
    <cellStyle name="Style 22 2 2 3" xfId="5256"/>
    <cellStyle name="Style 23 2 2 3" xfId="5257"/>
    <cellStyle name="Style 24 2 2 3" xfId="5258"/>
    <cellStyle name="Style 25 2 2 3" xfId="5259"/>
    <cellStyle name="Style 26 2 2 3" xfId="5260"/>
    <cellStyle name="styleColumnTitles 2 2 3" xfId="5261"/>
    <cellStyle name="styleDateRange 2 2 3" xfId="5262"/>
    <cellStyle name="styleSeriesAttributes 2 2 3" xfId="5263"/>
    <cellStyle name="styleSeriesData 2 2 3" xfId="5264"/>
    <cellStyle name="styleSeriesDataForecast 2 2 3" xfId="5265"/>
    <cellStyle name="styleSeriesDataForecastNA 2 2 3" xfId="5266"/>
    <cellStyle name="styleSeriesDataNA 2 2 3" xfId="5267"/>
    <cellStyle name="Total 2 6 3 3" xfId="5268"/>
    <cellStyle name="Calculation 7 2 3" xfId="5269"/>
    <cellStyle name="Calculation 2 6 2 3" xfId="5270"/>
    <cellStyle name="Calculation 3 2 2 3" xfId="5271"/>
    <cellStyle name="Calculation 4 2 2 3" xfId="5272"/>
    <cellStyle name="Calculation 5 4 3" xfId="5273"/>
    <cellStyle name="Output 9 2 3" xfId="5274"/>
    <cellStyle name="Input 10 2 3" xfId="5275"/>
    <cellStyle name="Input 2 6 2 3" xfId="5276"/>
    <cellStyle name="Input 3 2 2 3" xfId="5277"/>
    <cellStyle name="Input 4 2 2 3" xfId="5278"/>
    <cellStyle name="Input 5 2 2 3" xfId="5279"/>
    <cellStyle name="Note 11 2 3" xfId="5280"/>
    <cellStyle name="Note 2 6 2 3" xfId="5281"/>
    <cellStyle name="Note 2 2 3 2 3" xfId="5282"/>
    <cellStyle name="Note 3 4 2 3" xfId="5283"/>
    <cellStyle name="Note 3 2 4 2 3" xfId="5284"/>
    <cellStyle name="Note 4 3 2 3" xfId="5285"/>
    <cellStyle name="Note 4 2 2 2 3" xfId="5286"/>
    <cellStyle name="Note 5 5 3" xfId="5287"/>
    <cellStyle name="Note 5 2 4 3" xfId="5288"/>
    <cellStyle name="Note 6 5 3" xfId="5289"/>
    <cellStyle name="Note 6 2 4 3" xfId="5290"/>
    <cellStyle name="Note 7 5 3" xfId="5291"/>
    <cellStyle name="Note 7 2 4 3" xfId="5292"/>
    <cellStyle name="Note 8 4 3" xfId="5293"/>
    <cellStyle name="Note 9 3 3" xfId="5294"/>
    <cellStyle name="Output 7 2 3" xfId="5295"/>
    <cellStyle name="Output 2 6 2 3" xfId="5296"/>
    <cellStyle name="Output 3 2 2 3" xfId="5297"/>
    <cellStyle name="Output 4 2 2 3" xfId="5298"/>
    <cellStyle name="Output 5 5 3" xfId="5299"/>
    <cellStyle name="Total 7 2 3" xfId="5300"/>
    <cellStyle name="Total 2 7 2 3" xfId="5301"/>
    <cellStyle name="Total 3 2 2 3" xfId="5302"/>
    <cellStyle name="Total 4 2 2 3" xfId="5303"/>
    <cellStyle name="Total 5 5 3" xfId="5304"/>
    <cellStyle name="Calculation 8 2 3" xfId="5305"/>
    <cellStyle name="Input 12 2 3" xfId="5306"/>
    <cellStyle name="Input 11 2 3" xfId="5307"/>
    <cellStyle name="Calculation 9 2 3" xfId="5308"/>
    <cellStyle name="Output 8 2 3" xfId="5309"/>
    <cellStyle name="Total 8 2 3" xfId="5310"/>
    <cellStyle name="Total 9 2 3" xfId="5311"/>
    <cellStyle name="Output 5 2 2 3" xfId="5312"/>
    <cellStyle name="Output 4 3 2 3" xfId="5313"/>
    <cellStyle name="Output 3 3 2 3" xfId="5314"/>
    <cellStyle name="Output 2 7 2 3" xfId="5315"/>
    <cellStyle name="Output 11 2 3" xfId="5316"/>
    <cellStyle name="Input 5 3 2 3" xfId="5317"/>
    <cellStyle name="Input 4 3 2 3" xfId="5318"/>
    <cellStyle name="Input 3 3 2 3" xfId="5319"/>
    <cellStyle name="Input 2 7 2 3" xfId="5320"/>
    <cellStyle name="Calculation 10 2 3" xfId="5321"/>
    <cellStyle name="Input 14 2 3" xfId="5322"/>
    <cellStyle name="Input 16 2 3" xfId="5323"/>
    <cellStyle name="Input 17 2 3" xfId="5324"/>
    <cellStyle name="Input 15 2 3" xfId="5325"/>
    <cellStyle name="Input 13 2 3" xfId="5326"/>
    <cellStyle name="Calculation 5 2 2 3" xfId="5327"/>
    <cellStyle name="Calculation 4 3 2 3" xfId="5328"/>
    <cellStyle name="Calculation 3 3 2 3" xfId="5329"/>
    <cellStyle name="Calculation 2 7 2 3" xfId="5330"/>
    <cellStyle name="Calculation 11 2 3" xfId="5331"/>
    <cellStyle name="Output 10 2 3" xfId="5332"/>
    <cellStyle name="Note 12 2 3" xfId="5333"/>
    <cellStyle name="Note 2 7 2 3" xfId="5334"/>
    <cellStyle name="Note 2 2 4 2 3" xfId="5335"/>
    <cellStyle name="Note 3 5 2 3" xfId="5336"/>
    <cellStyle name="Note 3 2 5 2 3" xfId="5337"/>
    <cellStyle name="Note 4 4 2 3" xfId="5338"/>
    <cellStyle name="Note 4 2 3 2 3" xfId="5339"/>
    <cellStyle name="Note 5 3 2 3" xfId="5340"/>
    <cellStyle name="Note 5 2 2 2 3" xfId="5341"/>
    <cellStyle name="Note 6 3 2 3" xfId="5342"/>
    <cellStyle name="Note 6 2 2 2 3" xfId="5343"/>
    <cellStyle name="Note 7 3 2 3" xfId="5344"/>
    <cellStyle name="Note 7 2 2 2 3" xfId="5345"/>
    <cellStyle name="Note 8 2 2 3" xfId="5346"/>
    <cellStyle name="Note 9 2 2 3" xfId="5347"/>
    <cellStyle name="Output 12 2 3" xfId="5348"/>
    <cellStyle name="Output 2 8 2 3" xfId="5349"/>
    <cellStyle name="Output 3 4 2 3" xfId="5350"/>
    <cellStyle name="Output 4 4 2 3" xfId="5351"/>
    <cellStyle name="Output 5 3 2 3" xfId="5352"/>
    <cellStyle name="Total 10 2 3" xfId="5353"/>
    <cellStyle name="Total 11 2 3" xfId="5354"/>
    <cellStyle name="Total 2 8 2 3" xfId="5355"/>
    <cellStyle name="Total 3 3 2 3" xfId="5356"/>
    <cellStyle name="Total 4 3 2 3" xfId="5357"/>
    <cellStyle name="Total 5 2 2 3" xfId="5358"/>
    <cellStyle name="Total 12 2 3" xfId="5359"/>
    <cellStyle name="Total 2 9 2 3" xfId="5360"/>
    <cellStyle name="Total 3 4 2 3" xfId="5361"/>
    <cellStyle name="Total 4 4 2 3" xfId="5362"/>
    <cellStyle name="Total 5 3 2 3" xfId="5363"/>
    <cellStyle name="Input 18 2 3" xfId="5364"/>
    <cellStyle name="Calculation 12 2 3" xfId="5365"/>
    <cellStyle name="Input 19 2 3" xfId="5366"/>
    <cellStyle name="Note 13 2 3" xfId="5367"/>
    <cellStyle name="Output 13 2 3" xfId="5368"/>
    <cellStyle name="Total 13 2 3" xfId="5369"/>
    <cellStyle name="Calculation 2 8 2 3" xfId="5370"/>
    <cellStyle name="Calculation 3 4 2 3" xfId="5371"/>
    <cellStyle name="Calculation 4 4 2 3" xfId="5372"/>
    <cellStyle name="Calculation 5 3 2 3" xfId="5373"/>
    <cellStyle name="Input 2 8 2 3" xfId="5374"/>
    <cellStyle name="Input 3 4 2 3" xfId="5375"/>
    <cellStyle name="Input 4 4 2 3" xfId="5376"/>
    <cellStyle name="Input 5 4 2 3" xfId="5377"/>
    <cellStyle name="Note 2 8 2 3" xfId="5378"/>
    <cellStyle name="Note 2 2 5 2 3" xfId="5379"/>
    <cellStyle name="Note 3 6 2 3" xfId="5380"/>
    <cellStyle name="Note 3 2 6 2 3" xfId="5381"/>
    <cellStyle name="Note 4 5 2 3" xfId="5382"/>
    <cellStyle name="Note 4 2 4 2 3" xfId="5383"/>
    <cellStyle name="Note 5 4 2 3" xfId="5384"/>
    <cellStyle name="Note 5 2 3 2 3" xfId="5385"/>
    <cellStyle name="Note 6 4 2 3" xfId="5386"/>
    <cellStyle name="Note 6 2 3 2 3" xfId="5387"/>
    <cellStyle name="Note 7 4 2 3" xfId="5388"/>
    <cellStyle name="Note 7 2 3 2 3" xfId="5389"/>
    <cellStyle name="Note 8 3 2 3" xfId="5390"/>
    <cellStyle name="Output 2 9 2 3" xfId="5391"/>
    <cellStyle name="Output 3 5 2 3" xfId="5392"/>
    <cellStyle name="Output 4 5 2 3" xfId="5393"/>
    <cellStyle name="Output 5 4 2 3" xfId="5394"/>
    <cellStyle name="Total 2 10 2 3" xfId="5395"/>
    <cellStyle name="Total 3 5 2 3" xfId="5396"/>
    <cellStyle name="Total 4 5 2 3" xfId="5397"/>
    <cellStyle name="Total 5 4 2 3" xfId="5398"/>
    <cellStyle name="Input 20 2 3" xfId="5399"/>
    <cellStyle name="Input 21 2 3" xfId="5400"/>
    <cellStyle name="20% - Accent1 4 5" xfId="5401"/>
    <cellStyle name="20% - Accent2 4 5" xfId="5402"/>
    <cellStyle name="20% - Accent3 4 5" xfId="5403"/>
    <cellStyle name="20% - Accent4 4 5" xfId="5404"/>
    <cellStyle name="20% - Accent5 4 5" xfId="5405"/>
    <cellStyle name="20% - Accent6 4 5" xfId="5406"/>
    <cellStyle name="40% - Accent1 4 5" xfId="5407"/>
    <cellStyle name="40% - Accent2 4 5" xfId="5408"/>
    <cellStyle name="40% - Accent3 4 5" xfId="5409"/>
    <cellStyle name="40% - Accent4 4 5" xfId="5410"/>
    <cellStyle name="40% - Accent5 4 5" xfId="5411"/>
    <cellStyle name="40% - Accent6 4 5" xfId="5412"/>
    <cellStyle name="Normal 10 3 4" xfId="5413"/>
    <cellStyle name="Normal 11 3 3 4" xfId="5414"/>
    <cellStyle name="Normal 18 3 3 4" xfId="5415"/>
    <cellStyle name="Normal 182 3 4" xfId="5416"/>
    <cellStyle name="Normal 183 3 4" xfId="5417"/>
    <cellStyle name="Normal 184 3 4" xfId="5418"/>
    <cellStyle name="Normal 185 2 3 4" xfId="5419"/>
    <cellStyle name="Normal 199 3 4" xfId="5420"/>
    <cellStyle name="Normal 20 3 3 4" xfId="5421"/>
    <cellStyle name="Normal 221 2 4" xfId="5422"/>
    <cellStyle name="Normal 222 2 4" xfId="5423"/>
    <cellStyle name="Normal 264 4" xfId="5424"/>
    <cellStyle name="Normal 3 3 2 3 4" xfId="5425"/>
    <cellStyle name="Normal 4 2 2 2 3 4" xfId="5426"/>
    <cellStyle name="Normal 4 2 2 4 4" xfId="5427"/>
    <cellStyle name="Normal 4 2 3 3 4" xfId="5428"/>
    <cellStyle name="Normal 4 2 5 4" xfId="5429"/>
    <cellStyle name="Normal 4 3 2 3 4" xfId="5430"/>
    <cellStyle name="Normal 4 3 5 4" xfId="5431"/>
    <cellStyle name="Normal 4 3 6 4" xfId="5432"/>
    <cellStyle name="Normal 4 4 2 3 4" xfId="5433"/>
    <cellStyle name="Normal 4 4 4 4" xfId="5434"/>
    <cellStyle name="Normal 4 7 4" xfId="5435"/>
    <cellStyle name="Normal 49 3 3 4" xfId="5436"/>
    <cellStyle name="Normal 5 2 3 4" xfId="5437"/>
    <cellStyle name="Normal 5 4 4" xfId="5438"/>
    <cellStyle name="Normal 6 2 3 4" xfId="5439"/>
    <cellStyle name="Normal 6 4 4" xfId="5440"/>
    <cellStyle name="Normal 7 2 3 4" xfId="5441"/>
    <cellStyle name="Normal 7 4 4" xfId="5442"/>
    <cellStyle name="Normal 8 2 3 4" xfId="5443"/>
    <cellStyle name="Normal 8 4 4" xfId="5444"/>
    <cellStyle name="Normal 9 3 4" xfId="5445"/>
    <cellStyle name="Comma 19 4" xfId="5446"/>
    <cellStyle name="Comma 6 10 4" xfId="5447"/>
    <cellStyle name="Comma 8 6 4" xfId="5448"/>
    <cellStyle name="Normal 51 3 4" xfId="5449"/>
    <cellStyle name="Normal 52 3 4" xfId="5450"/>
    <cellStyle name="Normal 345 6" xfId="5451"/>
    <cellStyle name="Comma 20 4" xfId="5452"/>
    <cellStyle name="20% - Accent1 6 6" xfId="5453"/>
    <cellStyle name="20% - Accent2 6 6" xfId="5454"/>
    <cellStyle name="20% - Accent3 6 6" xfId="5455"/>
    <cellStyle name="20% - Accent4 6 6" xfId="5456"/>
    <cellStyle name="20% - Accent5 6 6" xfId="5457"/>
    <cellStyle name="20% - Accent6 6 6" xfId="5458"/>
    <cellStyle name="40% - Accent1 6 6" xfId="5459"/>
    <cellStyle name="40% - Accent2 6 6" xfId="5460"/>
    <cellStyle name="40% - Accent3 6 6" xfId="5461"/>
    <cellStyle name="40% - Accent4 6 6" xfId="5462"/>
    <cellStyle name="40% - Accent5 6 6" xfId="5463"/>
    <cellStyle name="40% - Accent6 6 6" xfId="5464"/>
    <cellStyle name="Calculation 7 6" xfId="5465"/>
    <cellStyle name="Calculation 2 6 6" xfId="5466"/>
    <cellStyle name="Calculation 3 2 6" xfId="5467"/>
    <cellStyle name="Calculation 4 2 6" xfId="5468"/>
    <cellStyle name="Calculation 5 7" xfId="5469"/>
    <cellStyle name="Output 9 5" xfId="5470"/>
    <cellStyle name="Input 10 6" xfId="5471"/>
    <cellStyle name="Input 2 6 6" xfId="5472"/>
    <cellStyle name="Input 3 2 6" xfId="5473"/>
    <cellStyle name="Input 4 2 6" xfId="5474"/>
    <cellStyle name="Input 5 2 6" xfId="5475"/>
    <cellStyle name="Normal 10 5 4" xfId="5476"/>
    <cellStyle name="Normal 11 5 4" xfId="5477"/>
    <cellStyle name="Normal 14 3 4" xfId="5478"/>
    <cellStyle name="Normal 2 2 2 2 4" xfId="5479"/>
    <cellStyle name="Normal 8 6 4" xfId="5480"/>
    <cellStyle name="Note 11 5" xfId="5481"/>
    <cellStyle name="Note 2 6 5" xfId="5482"/>
    <cellStyle name="Note 2 2 3 5" xfId="5483"/>
    <cellStyle name="Note 3 4 5" xfId="5484"/>
    <cellStyle name="Note 3 2 4 5" xfId="5485"/>
    <cellStyle name="Note 4 3 5" xfId="5486"/>
    <cellStyle name="Note 4 2 2 5" xfId="5487"/>
    <cellStyle name="Note 5 8" xfId="5488"/>
    <cellStyle name="Note 5 2 7" xfId="5489"/>
    <cellStyle name="Note 6 8" xfId="5490"/>
    <cellStyle name="Note 6 2 7" xfId="5491"/>
    <cellStyle name="Note 7 8" xfId="5492"/>
    <cellStyle name="Note 7 2 7" xfId="5493"/>
    <cellStyle name="Note 8 7" xfId="5494"/>
    <cellStyle name="Note 9 6" xfId="5495"/>
    <cellStyle name="Output 7 5" xfId="5496"/>
    <cellStyle name="Output 2 6 5" xfId="5497"/>
    <cellStyle name="Output 3 2 5" xfId="5498"/>
    <cellStyle name="Output 4 2 5" xfId="5499"/>
    <cellStyle name="Output 5 8" xfId="5500"/>
    <cellStyle name="Total 7 5" xfId="5501"/>
    <cellStyle name="Total 2 7 5" xfId="5502"/>
    <cellStyle name="Total 3 2 5" xfId="5503"/>
    <cellStyle name="Total 4 2 5" xfId="5504"/>
    <cellStyle name="Total 5 8" xfId="5505"/>
    <cellStyle name="Calculation 8 6" xfId="5506"/>
    <cellStyle name="Input 12 6" xfId="5507"/>
    <cellStyle name="Input 11 6" xfId="5508"/>
    <cellStyle name="Calculation 9 6" xfId="5509"/>
    <cellStyle name="Output 8 5" xfId="5510"/>
    <cellStyle name="Total 8 5" xfId="5511"/>
    <cellStyle name="Total 9 5" xfId="5512"/>
    <cellStyle name="20% - Accent1 6 2 4" xfId="5513"/>
    <cellStyle name="20% - Accent2 6 2 4" xfId="5514"/>
    <cellStyle name="20% - Accent3 6 2 4" xfId="5515"/>
    <cellStyle name="20% - Accent4 6 2 4" xfId="5516"/>
    <cellStyle name="20% - Accent5 6 2 4" xfId="5517"/>
    <cellStyle name="20% - Accent6 6 2 4" xfId="5518"/>
    <cellStyle name="40% - Accent1 6 2 4" xfId="5519"/>
    <cellStyle name="40% - Accent2 6 2 4" xfId="5520"/>
    <cellStyle name="40% - Accent3 6 2 4" xfId="5521"/>
    <cellStyle name="40% - Accent4 6 2 4" xfId="5522"/>
    <cellStyle name="Output 5 2 5" xfId="5523"/>
    <cellStyle name="Output 4 3 5" xfId="5524"/>
    <cellStyle name="Output 3 3 5" xfId="5525"/>
    <cellStyle name="Output 2 7 5" xfId="5526"/>
    <cellStyle name="Output 11 5" xfId="5527"/>
    <cellStyle name="40% - Accent5 6 2 4" xfId="5528"/>
    <cellStyle name="40% - Accent6 6 2 4" xfId="5529"/>
    <cellStyle name="Input 5 3 6" xfId="5530"/>
    <cellStyle name="Input 4 3 6" xfId="5531"/>
    <cellStyle name="Input 3 3 6" xfId="5532"/>
    <cellStyle name="Input 2 7 6" xfId="5533"/>
    <cellStyle name="Calculation 10 6" xfId="5534"/>
    <cellStyle name="Input 14 6" xfId="5535"/>
    <cellStyle name="Input 16 6" xfId="5536"/>
    <cellStyle name="Input 17 6" xfId="5537"/>
    <cellStyle name="Input 15 6" xfId="5538"/>
    <cellStyle name="Input 13 6" xfId="5539"/>
    <cellStyle name="Calculation 5 2 6" xfId="5540"/>
    <cellStyle name="Calculation 4 3 6" xfId="5541"/>
    <cellStyle name="Calculation 3 3 6" xfId="5542"/>
    <cellStyle name="Calculation 2 7 6" xfId="5543"/>
    <cellStyle name="Calculation 11 6" xfId="5544"/>
    <cellStyle name="Normal 10 6 4" xfId="5545"/>
    <cellStyle name="Normal 11 6 4" xfId="5546"/>
    <cellStyle name="Normal 14 4 4" xfId="5547"/>
    <cellStyle name="Normal 2 2 2 3 4" xfId="5548"/>
    <cellStyle name="Normal 8 7 4" xfId="5549"/>
    <cellStyle name="Output 10 5" xfId="5550"/>
    <cellStyle name="Note 12 5" xfId="5551"/>
    <cellStyle name="Note 2 7 5" xfId="5552"/>
    <cellStyle name="Note 2 2 4 5" xfId="5553"/>
    <cellStyle name="Note 3 5 5" xfId="5554"/>
    <cellStyle name="Note 3 2 5 5" xfId="5555"/>
    <cellStyle name="Note 4 4 5" xfId="5556"/>
    <cellStyle name="Note 4 2 3 5" xfId="5557"/>
    <cellStyle name="Note 5 3 5" xfId="5558"/>
    <cellStyle name="Note 5 2 2 5" xfId="5559"/>
    <cellStyle name="Note 6 3 5" xfId="5560"/>
    <cellStyle name="Note 6 2 2 5" xfId="5561"/>
    <cellStyle name="Note 7 3 5" xfId="5562"/>
    <cellStyle name="Note 7 2 2 5" xfId="5563"/>
    <cellStyle name="Note 8 2 5" xfId="5564"/>
    <cellStyle name="Note 9 2 5" xfId="5565"/>
    <cellStyle name="Output 12 5" xfId="5566"/>
    <cellStyle name="Output 2 8 5" xfId="5567"/>
    <cellStyle name="Output 3 4 5" xfId="5568"/>
    <cellStyle name="Output 4 4 5" xfId="5569"/>
    <cellStyle name="Output 5 3 5" xfId="5570"/>
    <cellStyle name="Total 10 5" xfId="5571"/>
    <cellStyle name="Total 11 5" xfId="5572"/>
    <cellStyle name="Total 2 8 5" xfId="5573"/>
    <cellStyle name="Total 3 3 5" xfId="5574"/>
    <cellStyle name="Total 4 3 5" xfId="5575"/>
    <cellStyle name="Total 5 2 5" xfId="5576"/>
    <cellStyle name="Total 12 5" xfId="5577"/>
    <cellStyle name="Total 2 9 5" xfId="5578"/>
    <cellStyle name="Total 3 4 5" xfId="5579"/>
    <cellStyle name="Total 4 4 5" xfId="5580"/>
    <cellStyle name="Total 5 3 5" xfId="5581"/>
    <cellStyle name="20% - Accent1 6 3 4" xfId="5582"/>
    <cellStyle name="20% - Accent2 6 3 4" xfId="5583"/>
    <cellStyle name="20% - Accent3 6 3 4" xfId="5584"/>
    <cellStyle name="20% - Accent4 6 3 4" xfId="5585"/>
    <cellStyle name="20% - Accent5 6 3 4" xfId="5586"/>
    <cellStyle name="20% - Accent6 6 3 4" xfId="5587"/>
    <cellStyle name="40% - Accent1 6 3 4" xfId="5588"/>
    <cellStyle name="40% - Accent2 6 3 4" xfId="5589"/>
    <cellStyle name="40% - Accent3 6 3 4" xfId="5590"/>
    <cellStyle name="40% - Accent4 6 3 4" xfId="5591"/>
    <cellStyle name="40% - Accent5 6 3 4" xfId="5592"/>
    <cellStyle name="40% - Accent6 6 3 4" xfId="5593"/>
    <cellStyle name="Input 18 6" xfId="5594"/>
    <cellStyle name="Normal 10 7 4" xfId="5595"/>
    <cellStyle name="Normal 11 7 4" xfId="5596"/>
    <cellStyle name="Normal 14 5 4" xfId="5597"/>
    <cellStyle name="Normal 2 2 2 4 4" xfId="5598"/>
    <cellStyle name="Normal 8 8 4" xfId="5599"/>
    <cellStyle name="Calculation 12 6" xfId="5600"/>
    <cellStyle name="Input 19 6" xfId="5601"/>
    <cellStyle name="Note 13 6" xfId="5602"/>
    <cellStyle name="Output 13 6" xfId="5603"/>
    <cellStyle name="Total 13 6" xfId="5604"/>
    <cellStyle name="Normal 8 9 4" xfId="5605"/>
    <cellStyle name="Comma 13 4 4" xfId="5606"/>
    <cellStyle name="Currency 7 5 4" xfId="5607"/>
    <cellStyle name="Calculation 2 8 6" xfId="5608"/>
    <cellStyle name="Calculation 3 4 6" xfId="5609"/>
    <cellStyle name="Calculation 4 4 6" xfId="5610"/>
    <cellStyle name="Calculation 5 3 6" xfId="5611"/>
    <cellStyle name="Input 2 8 6" xfId="5612"/>
    <cellStyle name="Input 3 4 6" xfId="5613"/>
    <cellStyle name="Input 4 4 6" xfId="5614"/>
    <cellStyle name="Input 5 4 6" xfId="5615"/>
    <cellStyle name="Normal 10 8 4" xfId="5616"/>
    <cellStyle name="Note 2 8 6" xfId="5617"/>
    <cellStyle name="Note 2 2 5 6" xfId="5618"/>
    <cellStyle name="Note 3 6 6" xfId="5619"/>
    <cellStyle name="Note 3 2 6 6" xfId="5620"/>
    <cellStyle name="Note 4 5 6" xfId="5621"/>
    <cellStyle name="Note 4 2 4 6" xfId="5622"/>
    <cellStyle name="Note 5 4 6" xfId="5623"/>
    <cellStyle name="Note 5 2 3 6" xfId="5624"/>
    <cellStyle name="Note 6 4 6" xfId="5625"/>
    <cellStyle name="Note 6 2 3 6" xfId="5626"/>
    <cellStyle name="Note 7 4 6" xfId="5627"/>
    <cellStyle name="Note 7 2 3 6" xfId="5628"/>
    <cellStyle name="Note 8 3 6" xfId="5629"/>
    <cellStyle name="Output 2 9 6" xfId="5630"/>
    <cellStyle name="Output 3 5 6" xfId="5631"/>
    <cellStyle name="Output 4 5 6" xfId="5632"/>
    <cellStyle name="Output 5 4 6" xfId="5633"/>
    <cellStyle name="Total 2 10 6" xfId="5634"/>
    <cellStyle name="Total 3 5 6" xfId="5635"/>
    <cellStyle name="Total 4 5 6" xfId="5636"/>
    <cellStyle name="Total 5 4 6" xfId="5637"/>
    <cellStyle name="Normal 11 8 4" xfId="5638"/>
    <cellStyle name="Normal 14 6 4" xfId="5639"/>
    <cellStyle name="Normal 43 3 4" xfId="5640"/>
    <cellStyle name="Normal 44 3 4" xfId="5641"/>
    <cellStyle name="Input 20 6" xfId="5642"/>
    <cellStyle name="Normal 8 10 4" xfId="5643"/>
    <cellStyle name="Comma 13 5 4" xfId="5644"/>
    <cellStyle name="Currency 7 6 4" xfId="5645"/>
    <cellStyle name="Normal 10 9 4" xfId="5646"/>
    <cellStyle name="Normal 11 9 4" xfId="5647"/>
    <cellStyle name="Normal 14 7 4" xfId="5648"/>
    <cellStyle name="Normal 43 4 4" xfId="5649"/>
    <cellStyle name="Normal 44 4 4" xfId="5650"/>
    <cellStyle name="Normal 355 4" xfId="5651"/>
    <cellStyle name="Comma 22 4" xfId="5652"/>
    <cellStyle name="Input 21 6" xfId="5653"/>
    <cellStyle name="Normal 8 11 4" xfId="5654"/>
    <cellStyle name="Comma 13 6 4" xfId="5655"/>
    <cellStyle name="Currency 7 7 4" xfId="5656"/>
    <cellStyle name="Normal 10 10 4" xfId="5657"/>
    <cellStyle name="Normal 11 10 4" xfId="5658"/>
    <cellStyle name="Normal 14 8 4" xfId="5659"/>
    <cellStyle name="Normal 43 5 4" xfId="5660"/>
    <cellStyle name="Normal 44 5 4" xfId="5661"/>
    <cellStyle name="Normal 356 2" xfId="5662"/>
    <cellStyle name="Good 8" xfId="5663"/>
    <cellStyle name="Neutral 8" xfId="5664"/>
    <cellStyle name="Input 10 3 2" xfId="5665"/>
    <cellStyle name="Input 2 4 4 2" xfId="5666"/>
    <cellStyle name="Input 7 4 2" xfId="5667"/>
    <cellStyle name="Note 4 2 6 4" xfId="5668"/>
    <cellStyle name="Note 3 3 3 4" xfId="5669"/>
    <cellStyle name="Note 2 5 3 4" xfId="5670"/>
    <cellStyle name="Note 2 4 2 3 4" xfId="5671"/>
    <cellStyle name="Note 2 3 2 3 4" xfId="5672"/>
    <cellStyle name="Note 2 2 2 3 4" xfId="5673"/>
    <cellStyle name="Neutral 9" xfId="5674"/>
    <cellStyle name="Linked Cell 9" xfId="5675"/>
    <cellStyle name="Linked Cell 7" xfId="5676"/>
    <cellStyle name="Input 6 6" xfId="5677"/>
    <cellStyle name="Input 4 7" xfId="5678"/>
    <cellStyle name="Input 2 4 5" xfId="5679"/>
    <cellStyle name="Input 2 2 4 5" xfId="5680"/>
    <cellStyle name="Input 2 2 2 5" xfId="5681"/>
    <cellStyle name="Input 2 12" xfId="5682"/>
    <cellStyle name="Input 24" xfId="5683"/>
    <cellStyle name="Good 7" xfId="5684"/>
    <cellStyle name="Note 14" xfId="5685"/>
    <cellStyle name="Note 2 11" xfId="5686"/>
    <cellStyle name="Note 2 2 8" xfId="5687"/>
    <cellStyle name="Calculation 2 9 4" xfId="5688"/>
    <cellStyle name="Calculation 2 2 5 4" xfId="5689"/>
    <cellStyle name="Calculation 2 2 2 2 4" xfId="5690"/>
    <cellStyle name="Calculation 2 2 3 2 4" xfId="5691"/>
    <cellStyle name="Calculation 2 2 4 2 4" xfId="5692"/>
    <cellStyle name="Calculation 2 3 2 4" xfId="5693"/>
    <cellStyle name="Calculation 2 4 2 4" xfId="5694"/>
    <cellStyle name="Calculation 2 5 2 4" xfId="5695"/>
    <cellStyle name="Calculation 3 5 4" xfId="5696"/>
    <cellStyle name="Note 3 2 10" xfId="5697"/>
    <cellStyle name="Note 3 2 2 5" xfId="5698"/>
    <cellStyle name="Note 4 8" xfId="5699"/>
    <cellStyle name="Output 3 8 2" xfId="5700"/>
    <cellStyle name="Calculation 2 3 5" xfId="5701"/>
    <cellStyle name="Calculation 2 2 4 5" xfId="5702"/>
    <cellStyle name="Calculation 2 2 3 5" xfId="5703"/>
    <cellStyle name="Calculation 2 2 2 5" xfId="5704"/>
    <cellStyle name="Calculation 2 2 8" xfId="5705"/>
    <cellStyle name="Calculation 13" xfId="5706"/>
    <cellStyle name="Bad 7" xfId="5707"/>
    <cellStyle name="Accent6 7" xfId="5708"/>
    <cellStyle name="Accent5 7" xfId="5709"/>
    <cellStyle name="Accent3 7" xfId="5710"/>
    <cellStyle name="Comma 3 2 2 8 3 2" xfId="5711"/>
    <cellStyle name="Accent5 9" xfId="5712"/>
    <cellStyle name="60% - Accent6 11" xfId="5713"/>
    <cellStyle name="60% - Accent4 11" xfId="5714"/>
    <cellStyle name="Comma 3 4 5 3 2" xfId="5715"/>
    <cellStyle name="60% - Accent5 9" xfId="5716"/>
    <cellStyle name="Comma 3 5 5 3 2" xfId="5717"/>
    <cellStyle name="60% - Accent1 11" xfId="5718"/>
    <cellStyle name="40% - Accent6 11" xfId="5719"/>
    <cellStyle name="40% - Accent5 7" xfId="5720"/>
    <cellStyle name="40% - Accent4 11" xfId="5721"/>
    <cellStyle name="Comma 4 2 8 3 2" xfId="5722"/>
    <cellStyle name="20% - Accent6 7" xfId="5723"/>
    <cellStyle name="Comma 6 10 2 2" xfId="5724"/>
    <cellStyle name="20% - Accent5 7" xfId="5725"/>
    <cellStyle name="20% - Accent4 11" xfId="5726"/>
    <cellStyle name="20% - Accent3 11" xfId="5727"/>
    <cellStyle name="40% - Accent2 9" xfId="5728"/>
    <cellStyle name="20% - Accent6 9" xfId="5729"/>
    <cellStyle name="Comma 8 6 2 2" xfId="5730"/>
    <cellStyle name="Total 2 2 2 4 2" xfId="5731"/>
    <cellStyle name="Total 2 2 4 4 2" xfId="5732"/>
    <cellStyle name="Normal 358" xfId="5733"/>
    <cellStyle name="20% - Accent5 8" xfId="5734"/>
    <cellStyle name="Normal 359" xfId="5735"/>
    <cellStyle name="Explanatory Text 7" xfId="5736"/>
    <cellStyle name="Total 14" xfId="5737"/>
    <cellStyle name="Header2 2 4" xfId="5738"/>
    <cellStyle name="Input 2 5 3 4" xfId="5739"/>
    <cellStyle name="Input 2 9 4" xfId="5740"/>
    <cellStyle name="Input 2 2 5 4" xfId="5741"/>
    <cellStyle name="Input 2 2 2 2 4" xfId="5742"/>
    <cellStyle name="Input 2 2 3 2 4" xfId="5743"/>
    <cellStyle name="Input 2 2 4 2 4" xfId="5744"/>
    <cellStyle name="Input 2 3 2 4" xfId="5745"/>
    <cellStyle name="Input 2 4 2 4" xfId="5746"/>
    <cellStyle name="Input 2 5 2 4" xfId="5747"/>
    <cellStyle name="Input 3 5 4" xfId="5748"/>
    <cellStyle name="Input 4 5 4" xfId="5749"/>
    <cellStyle name="Input 5 5 4" xfId="5750"/>
    <cellStyle name="Input 6 3 4" xfId="5751"/>
    <cellStyle name="Input 7 2 4" xfId="5752"/>
    <cellStyle name="Input 8 2 4" xfId="5753"/>
    <cellStyle name="Normal 10 3 2 2" xfId="5754"/>
    <cellStyle name="Normal 11 11 2" xfId="5755"/>
    <cellStyle name="Calculation 2 5 3 4" xfId="5756"/>
    <cellStyle name="Comma 19 2 2" xfId="5757"/>
    <cellStyle name="Total 2 4 3 4" xfId="5758"/>
    <cellStyle name="Total 2 2 4 3 4" xfId="5759"/>
    <cellStyle name="Total 2 2 3 3 4" xfId="5760"/>
    <cellStyle name="Total 2 12 4" xfId="5761"/>
    <cellStyle name="Bad 8" xfId="5762"/>
    <cellStyle name="Output 14" xfId="5763"/>
    <cellStyle name="Note 2 4 6" xfId="5764"/>
    <cellStyle name="Normal 18 5 2" xfId="5765"/>
    <cellStyle name="Calculation 2 2 7 2" xfId="5766"/>
    <cellStyle name="Calculation 2 2 4 4 2" xfId="5767"/>
    <cellStyle name="Explanatory Text 8" xfId="5768"/>
    <cellStyle name="Normal 20 5 2" xfId="5769"/>
    <cellStyle name="Header2 3 2" xfId="5770"/>
    <cellStyle name="Linked Cell 8" xfId="5771"/>
    <cellStyle name="Input 2 2 7 2" xfId="5772"/>
    <cellStyle name="Input 2 3 4 2" xfId="5773"/>
    <cellStyle name="Input [yellow] 3" xfId="5774"/>
    <cellStyle name="Explanatory Text 9" xfId="5775"/>
    <cellStyle name="Accent4 11" xfId="5776"/>
    <cellStyle name="Normal 4 2 7 2" xfId="5777"/>
    <cellStyle name="Normal 4 2 2 5 2" xfId="5778"/>
    <cellStyle name="Normal 4 3 8 2" xfId="5779"/>
    <cellStyle name="Normal 4 4 5 2" xfId="5780"/>
    <cellStyle name="60% - Accent5 7" xfId="5781"/>
    <cellStyle name="Normal 4 7 2 2" xfId="5782"/>
    <cellStyle name="60% - Accent3 11" xfId="5783"/>
    <cellStyle name="Normal 49 5 2" xfId="5784"/>
    <cellStyle name="60% - Accent2 9" xfId="5785"/>
    <cellStyle name="Normal 5 4 2 2" xfId="5786"/>
    <cellStyle name="40% - Accent3 11" xfId="5787"/>
    <cellStyle name="Normal 51 3 2 2" xfId="5788"/>
    <cellStyle name="Normal 52 3 2 2" xfId="5789"/>
    <cellStyle name="Normal 6 4 2 2" xfId="5790"/>
    <cellStyle name="Normal 7 4 2 2" xfId="5791"/>
    <cellStyle name="Total 2 2 7 2" xfId="5792"/>
    <cellStyle name="Total 2 4 4 2" xfId="5793"/>
    <cellStyle name="Normal 8 4 2 2" xfId="5794"/>
    <cellStyle name="Normal 9 3 2 2" xfId="5795"/>
    <cellStyle name="Note 2 9 4" xfId="5796"/>
    <cellStyle name="Note 2 2 6 4" xfId="5797"/>
    <cellStyle name="Note 2 3 3 4" xfId="5798"/>
    <cellStyle name="Note 2 4 3 4" xfId="5799"/>
    <cellStyle name="Note 3 7 4" xfId="5800"/>
    <cellStyle name="Note 3 2 7 4" xfId="5801"/>
    <cellStyle name="Output 2 10 4" xfId="5802"/>
    <cellStyle name="Output 2 2 5 4" xfId="5803"/>
    <cellStyle name="Output 2 2 2 2 4" xfId="5804"/>
    <cellStyle name="Output 2 2 3 2 4" xfId="5805"/>
    <cellStyle name="Output 2 2 4 2 4" xfId="5806"/>
    <cellStyle name="Output 2 3 2 4" xfId="5807"/>
    <cellStyle name="Output 2 4 2 4" xfId="5808"/>
    <cellStyle name="Output 2 5 2 4" xfId="5809"/>
    <cellStyle name="Output 3 6 4" xfId="5810"/>
    <cellStyle name="Input 7 3 4" xfId="5811"/>
    <cellStyle name="Input 5 6 4" xfId="5812"/>
    <cellStyle name="Input 3 6 4" xfId="5813"/>
    <cellStyle name="Input 2 4 3 4" xfId="5814"/>
    <cellStyle name="Input 2 2 4 3 4" xfId="5815"/>
    <cellStyle name="Input 2 2 2 3 4" xfId="5816"/>
    <cellStyle name="Input 2 10 4" xfId="5817"/>
    <cellStyle name="Percent 18 5 2" xfId="5818"/>
    <cellStyle name="Percent 2 2 2 5 3 2" xfId="5819"/>
    <cellStyle name="Percent 20 5 2" xfId="5820"/>
    <cellStyle name="Calculation 3 6 4" xfId="5821"/>
    <cellStyle name="Calculation 2 4 3 4" xfId="5822"/>
    <cellStyle name="Calculation 2 2 4 3 4" xfId="5823"/>
    <cellStyle name="Calculation 2 2 2 3 4" xfId="5824"/>
    <cellStyle name="Calculation 2 10 4" xfId="5825"/>
    <cellStyle name="StmtTtl2 2 4" xfId="5826"/>
    <cellStyle name="Total 2 11 4" xfId="5827"/>
    <cellStyle name="Total 2 2 5 4" xfId="5828"/>
    <cellStyle name="Total 2 2 2 2 4" xfId="5829"/>
    <cellStyle name="Total 2 2 3 2 4" xfId="5830"/>
    <cellStyle name="Total 2 2 4 2 4" xfId="5831"/>
    <cellStyle name="Total 2 3 2 4" xfId="5832"/>
    <cellStyle name="Total 2 4 2 4" xfId="5833"/>
    <cellStyle name="Total 2 5 2 4" xfId="5834"/>
    <cellStyle name="Total 2 6 2 4" xfId="5835"/>
    <cellStyle name="Total 3 6 4" xfId="5836"/>
    <cellStyle name="20% - Accent1 4 3 2" xfId="5837"/>
    <cellStyle name="20% - Accent2 4 3 2" xfId="5838"/>
    <cellStyle name="20% - Accent3 4 3 2" xfId="5839"/>
    <cellStyle name="20% - Accent4 4 3 2" xfId="5840"/>
    <cellStyle name="20% - Accent5 4 3 2" xfId="5841"/>
    <cellStyle name="20% - Accent6 4 3 2" xfId="5842"/>
    <cellStyle name="40% - Accent1 4 3 2" xfId="5843"/>
    <cellStyle name="40% - Accent2 4 3 2" xfId="5844"/>
    <cellStyle name="40% - Accent3 4 3 2" xfId="5845"/>
    <cellStyle name="40% - Accent4 4 3 2" xfId="5846"/>
    <cellStyle name="40% - Accent5 4 3 2" xfId="5847"/>
    <cellStyle name="40% - Accent6 4 3 2" xfId="5848"/>
    <cellStyle name="Output 2 5 3 4" xfId="5849"/>
    <cellStyle name="Input 8 5" xfId="5850"/>
    <cellStyle name="Note 3 9" xfId="5851"/>
    <cellStyle name="Check Cell 11" xfId="5852"/>
    <cellStyle name="Note 2 3 5 2" xfId="5853"/>
    <cellStyle name="Note 2 4 5 2" xfId="5854"/>
    <cellStyle name="Note 3 2 9 2" xfId="5855"/>
    <cellStyle name="Output 2 12 2" xfId="5856"/>
    <cellStyle name="Output 2 2 7 2" xfId="5857"/>
    <cellStyle name="Output 2 2 2 4 2" xfId="5858"/>
    <cellStyle name="Output 2 3 4 2" xfId="5859"/>
    <cellStyle name="Output 2 4 4 2" xfId="5860"/>
    <cellStyle name="Bad 9" xfId="5861"/>
    <cellStyle name="60% - Accent2 7" xfId="5862"/>
    <cellStyle name="40% - Accent2 7" xfId="5863"/>
    <cellStyle name="Normal 11 3 3 2 2" xfId="5864"/>
    <cellStyle name="Calculation 2 4 4 2" xfId="5865"/>
    <cellStyle name="Normal 18 3 3 2 2" xfId="5866"/>
    <cellStyle name="Normal 182 3 2 2" xfId="5867"/>
    <cellStyle name="Normal 183 3 2 2" xfId="5868"/>
    <cellStyle name="Normal 184 3 2 2" xfId="5869"/>
    <cellStyle name="Normal 185 2 3 2 2" xfId="5870"/>
    <cellStyle name="Normal 199 3 2 2" xfId="5871"/>
    <cellStyle name="Normal 20 3 3 2 2" xfId="5872"/>
    <cellStyle name="Input 2 2 2 4 2" xfId="5873"/>
    <cellStyle name="Normal 221 2 2 2" xfId="5874"/>
    <cellStyle name="Normal 222 2 2 2" xfId="5875"/>
    <cellStyle name="Output 2 3 3 4" xfId="5876"/>
    <cellStyle name="Output 2 2 3 3 4" xfId="5877"/>
    <cellStyle name="Output 2 2 6 4" xfId="5878"/>
    <cellStyle name="Note 4 7 4" xfId="5879"/>
    <cellStyle name="Note 3 2 2 3 4" xfId="5880"/>
    <cellStyle name="Note 3 8 4" xfId="5881"/>
    <cellStyle name="Note 2 4 4 4" xfId="5882"/>
    <cellStyle name="Note 2 2 7 4" xfId="5883"/>
    <cellStyle name="Neutral 7" xfId="5884"/>
    <cellStyle name="Normal 264 2 2" xfId="5885"/>
    <cellStyle name="Input 7 5" xfId="5886"/>
    <cellStyle name="Input 3 7" xfId="5887"/>
    <cellStyle name="Input 2 2 3 5" xfId="5888"/>
    <cellStyle name="Normal 3 3 2 3 2 2" xfId="5889"/>
    <cellStyle name="Accent2 7" xfId="5890"/>
    <cellStyle name="Accent6 9" xfId="5891"/>
    <cellStyle name="Normal 4 2 2 2 3 2 2" xfId="5892"/>
    <cellStyle name="Normal 4 2 2 4 2 2" xfId="5893"/>
    <cellStyle name="Accent1 11" xfId="5894"/>
    <cellStyle name="Normal 4 2 3 3 2 2" xfId="5895"/>
    <cellStyle name="Normal 4 2 5 2 2" xfId="5896"/>
    <cellStyle name="Normal 4 3 2 3 2 2" xfId="5897"/>
    <cellStyle name="Normal 4 3 5 2 2" xfId="5898"/>
    <cellStyle name="Normal 4 3 6 2 2" xfId="5899"/>
    <cellStyle name="Normal 4 4 2 3 2 2" xfId="5900"/>
    <cellStyle name="Normal 4 4 4 2 2" xfId="5901"/>
    <cellStyle name="Accent3 9" xfId="5902"/>
    <cellStyle name="Normal 49 3 3 2 2" xfId="5903"/>
    <cellStyle name="Normal 5 2 3 2 2" xfId="5904"/>
    <cellStyle name="Normal 6 2 3 2 2" xfId="5905"/>
    <cellStyle name="Normal 7 2 3 2 2" xfId="5906"/>
    <cellStyle name="Normal 8 2 3 2 2" xfId="5907"/>
    <cellStyle name="Note 3 2 2 2 4" xfId="5908"/>
    <cellStyle name="Note 4 6 4" xfId="5909"/>
    <cellStyle name="Comma 23 2" xfId="5910"/>
    <cellStyle name="Percent 240 2" xfId="5911"/>
    <cellStyle name="Calculation 2 12" xfId="5912"/>
    <cellStyle name="Calculation 2 4 5" xfId="5913"/>
    <cellStyle name="40% - Accent1 11" xfId="5914"/>
    <cellStyle name="40% - Accent5 9" xfId="5915"/>
    <cellStyle name="Total 2 13 2" xfId="5916"/>
    <cellStyle name="Total 3 8 2" xfId="5917"/>
    <cellStyle name="Total 2 3 4 2" xfId="5918"/>
    <cellStyle name="Total 3 7 4" xfId="5919"/>
    <cellStyle name="Total 2 5 3 4" xfId="5920"/>
    <cellStyle name="Total 2 3 3 4" xfId="5921"/>
    <cellStyle name="Total 2 2 6 4" xfId="5922"/>
    <cellStyle name="Total 2 2 2 3 4" xfId="5923"/>
    <cellStyle name="StmtTtl2 3 4" xfId="5924"/>
    <cellStyle name="60% - Accent2 8" xfId="5925"/>
    <cellStyle name="60% - Accent5 8" xfId="5926"/>
    <cellStyle name="Accent6 8" xfId="5927"/>
    <cellStyle name="Calculation 2 11 2" xfId="5928"/>
    <cellStyle name="Input 23" xfId="5929"/>
    <cellStyle name="Input 2 11 2" xfId="5930"/>
    <cellStyle name="Input 2 2 4 4 2" xfId="5931"/>
    <cellStyle name="Input 8 4 2" xfId="5932"/>
    <cellStyle name="Output 3 7 4" xfId="5933"/>
    <cellStyle name="Input 22" xfId="5934"/>
    <cellStyle name="Header2 4 2" xfId="5935"/>
    <cellStyle name="20% - Accent2 11" xfId="5936"/>
    <cellStyle name="20% - Accent1 11" xfId="5937"/>
    <cellStyle name="20% - Accent5 9" xfId="5938"/>
    <cellStyle name="StmtTtl2 4 2" xfId="5939"/>
    <cellStyle name="Title 5" xfId="5940"/>
    <cellStyle name="Total 2 2 3 4 2" xfId="5941"/>
    <cellStyle name="Total 2 5 4 2" xfId="5942"/>
    <cellStyle name="Currency 10 2" xfId="5943"/>
    <cellStyle name="Note 2 5 2 4" xfId="5944"/>
    <cellStyle name="Note 2 2 2 2 4" xfId="5945"/>
    <cellStyle name="Note 2 3 2 2 4" xfId="5946"/>
    <cellStyle name="Note 2 4 2 2 4" xfId="5947"/>
    <cellStyle name="Note 3 3 2 4" xfId="5948"/>
    <cellStyle name="Input 8 3 4" xfId="5949"/>
    <cellStyle name="Input 6 4 4" xfId="5950"/>
    <cellStyle name="Input 4 6 4" xfId="5951"/>
    <cellStyle name="Input 2 3 3 4" xfId="5952"/>
    <cellStyle name="Input 2 2 3 3 4" xfId="5953"/>
    <cellStyle name="Input 2 2 6 4" xfId="5954"/>
    <cellStyle name="Calculation 2 3 3 4" xfId="5955"/>
    <cellStyle name="Calculation 2 2 3 3 4" xfId="5956"/>
    <cellStyle name="Calculation 2 2 6 4" xfId="5957"/>
    <cellStyle name="Calculation 3 8" xfId="5958"/>
    <cellStyle name="Note 3 2 2 4 2" xfId="5959"/>
    <cellStyle name="Output 2 2 4 4 2" xfId="5960"/>
    <cellStyle name="Output 2 2 3 4 2" xfId="5961"/>
    <cellStyle name="Good 9" xfId="5962"/>
    <cellStyle name="Input 2 2 3 4 2" xfId="5963"/>
    <cellStyle name="Output 2 4 3 4" xfId="5964"/>
    <cellStyle name="Output 2 2 4 3 4" xfId="5965"/>
    <cellStyle name="Output 2 2 2 3 4" xfId="5966"/>
    <cellStyle name="Output 2 11 4" xfId="5967"/>
    <cellStyle name="Note 3 2 8 4" xfId="5968"/>
    <cellStyle name="Note 2 3 4 4" xfId="5969"/>
    <cellStyle name="Note 2 10 4" xfId="5970"/>
    <cellStyle name="Input 5 8" xfId="5971"/>
    <cellStyle name="Input 2 3 5" xfId="5972"/>
    <cellStyle name="Input 2 2 8" xfId="5973"/>
    <cellStyle name="Accent2 9" xfId="5974"/>
    <cellStyle name="Note 4 2 5 4" xfId="5975"/>
    <cellStyle name="Style 21 5" xfId="5976"/>
    <cellStyle name="Style 21 2 5" xfId="5977"/>
    <cellStyle name="Style 22 5" xfId="5978"/>
    <cellStyle name="Style 22 2 5" xfId="5979"/>
    <cellStyle name="Style 23 5" xfId="5980"/>
    <cellStyle name="Style 23 2 5" xfId="5981"/>
    <cellStyle name="Style 24 5" xfId="5982"/>
    <cellStyle name="Style 24 2 5" xfId="5983"/>
    <cellStyle name="Style 25 5" xfId="5984"/>
    <cellStyle name="Style 25 2 5" xfId="5985"/>
    <cellStyle name="Style 26 5" xfId="5986"/>
    <cellStyle name="Style 26 2 5" xfId="5987"/>
    <cellStyle name="styleColumnTitles 5" xfId="5988"/>
    <cellStyle name="styleColumnTitles 2 5" xfId="5989"/>
    <cellStyle name="styleDateRange 5" xfId="5990"/>
    <cellStyle name="styleDateRange 2 5" xfId="5991"/>
    <cellStyle name="styleSeriesAttributes 5" xfId="5992"/>
    <cellStyle name="styleSeriesAttributes 2 5" xfId="5993"/>
    <cellStyle name="styleSeriesData 5" xfId="5994"/>
    <cellStyle name="styleSeriesData 2 5" xfId="5995"/>
    <cellStyle name="styleSeriesDataForecast 5" xfId="5996"/>
    <cellStyle name="styleSeriesDataForecast 2 5" xfId="5997"/>
    <cellStyle name="styleSeriesDataForecastNA 5" xfId="5998"/>
    <cellStyle name="styleSeriesDataForecastNA 2 5" xfId="5999"/>
    <cellStyle name="styleSeriesDataNA 5" xfId="6000"/>
    <cellStyle name="styleSeriesDataNA 2 5" xfId="6001"/>
    <cellStyle name="Style 21 2 2 4" xfId="6002"/>
    <cellStyle name="Style 22 2 2 4" xfId="6003"/>
    <cellStyle name="Style 23 2 2 4" xfId="6004"/>
    <cellStyle name="Style 24 2 2 4" xfId="6005"/>
    <cellStyle name="Style 25 2 2 4" xfId="6006"/>
    <cellStyle name="Style 26 2 2 4" xfId="6007"/>
    <cellStyle name="styleColumnTitles 2 2 4" xfId="6008"/>
    <cellStyle name="styleDateRange 2 2 4" xfId="6009"/>
    <cellStyle name="styleSeriesAttributes 2 2 4" xfId="6010"/>
    <cellStyle name="styleSeriesData 2 2 4" xfId="6011"/>
    <cellStyle name="styleSeriesDataForecast 2 2 4" xfId="6012"/>
    <cellStyle name="styleSeriesDataForecastNA 2 2 4" xfId="6013"/>
    <cellStyle name="styleSeriesDataNA 2 2 4" xfId="6014"/>
    <cellStyle name="Comma 19 3 2" xfId="6015"/>
    <cellStyle name="Calculation 3 7 2" xfId="6016"/>
    <cellStyle name="Calculation 2 3 4 2" xfId="6017"/>
    <cellStyle name="Calculation 2 2 3 4 2" xfId="6018"/>
    <cellStyle name="Calculation 2 2 2 4 2" xfId="6019"/>
    <cellStyle name="Note 2 3 6" xfId="6020"/>
    <cellStyle name="Accent5 8" xfId="6021"/>
    <cellStyle name="Accent3 8" xfId="6022"/>
    <cellStyle name="Accent2 8" xfId="6023"/>
    <cellStyle name="Total 2 6 3 4" xfId="6024"/>
    <cellStyle name="Normal 357" xfId="6025"/>
    <cellStyle name="Normal 345 4 2" xfId="6026"/>
    <cellStyle name="Comma 20 2 2" xfId="6027"/>
    <cellStyle name="20% - Accent1 6 4 2" xfId="6028"/>
    <cellStyle name="20% - Accent2 6 4 2" xfId="6029"/>
    <cellStyle name="20% - Accent3 6 4 2" xfId="6030"/>
    <cellStyle name="20% - Accent4 6 4 2" xfId="6031"/>
    <cellStyle name="20% - Accent5 6 4 2" xfId="6032"/>
    <cellStyle name="20% - Accent6 6 4 2" xfId="6033"/>
    <cellStyle name="40% - Accent1 6 4 2" xfId="6034"/>
    <cellStyle name="40% - Accent2 6 4 2" xfId="6035"/>
    <cellStyle name="40% - Accent3 6 4 2" xfId="6036"/>
    <cellStyle name="40% - Accent4 6 4 2" xfId="6037"/>
    <cellStyle name="40% - Accent5 6 4 2" xfId="6038"/>
    <cellStyle name="40% - Accent6 6 4 2" xfId="6039"/>
    <cellStyle name="Calculation 7 2 4" xfId="6040"/>
    <cellStyle name="Calculation 2 6 2 4" xfId="6041"/>
    <cellStyle name="Calculation 3 2 2 4" xfId="6042"/>
    <cellStyle name="Calculation 4 2 2 4" xfId="6043"/>
    <cellStyle name="Calculation 5 4 4" xfId="6044"/>
    <cellStyle name="Output 9 2 4" xfId="6045"/>
    <cellStyle name="Input 10 2 4" xfId="6046"/>
    <cellStyle name="Input 2 6 2 4" xfId="6047"/>
    <cellStyle name="Input 3 2 2 4" xfId="6048"/>
    <cellStyle name="Input 4 2 2 4" xfId="6049"/>
    <cellStyle name="Input 5 2 2 4" xfId="6050"/>
    <cellStyle name="Normal 10 5 2 2" xfId="6051"/>
    <cellStyle name="Normal 11 5 2 2" xfId="6052"/>
    <cellStyle name="Normal 14 3 2 2" xfId="6053"/>
    <cellStyle name="Normal 2 2 2 2 2 2" xfId="6054"/>
    <cellStyle name="Normal 8 6 2 2" xfId="6055"/>
    <cellStyle name="Note 11 2 4" xfId="6056"/>
    <cellStyle name="Note 2 6 2 4" xfId="6057"/>
    <cellStyle name="Note 2 2 3 2 4" xfId="6058"/>
    <cellStyle name="Note 3 4 2 4" xfId="6059"/>
    <cellStyle name="Note 3 2 4 2 4" xfId="6060"/>
    <cellStyle name="Note 4 3 2 4" xfId="6061"/>
    <cellStyle name="Note 4 2 2 2 4" xfId="6062"/>
    <cellStyle name="Note 5 5 4" xfId="6063"/>
    <cellStyle name="Note 5 2 4 4" xfId="6064"/>
    <cellStyle name="Note 6 5 4" xfId="6065"/>
    <cellStyle name="Note 6 2 4 4" xfId="6066"/>
    <cellStyle name="Note 7 5 4" xfId="6067"/>
    <cellStyle name="Note 7 2 4 4" xfId="6068"/>
    <cellStyle name="Note 8 4 4" xfId="6069"/>
    <cellStyle name="Note 9 3 4" xfId="6070"/>
    <cellStyle name="Output 7 2 4" xfId="6071"/>
    <cellStyle name="Output 2 6 2 4" xfId="6072"/>
    <cellStyle name="Output 3 2 2 4" xfId="6073"/>
    <cellStyle name="Output 4 2 2 4" xfId="6074"/>
    <cellStyle name="Output 5 5 4" xfId="6075"/>
    <cellStyle name="Input 5 7 2" xfId="6076"/>
    <cellStyle name="Input 6 5 2" xfId="6077"/>
    <cellStyle name="40% - Accent5 8" xfId="6078"/>
    <cellStyle name="Total 7 2 4" xfId="6079"/>
    <cellStyle name="Total 2 7 2 4" xfId="6080"/>
    <cellStyle name="Total 3 2 2 4" xfId="6081"/>
    <cellStyle name="Total 4 2 2 4" xfId="6082"/>
    <cellStyle name="Total 5 5 4" xfId="6083"/>
    <cellStyle name="20% - Accent6 8" xfId="6084"/>
    <cellStyle name="Calculation 8 2 4" xfId="6085"/>
    <cellStyle name="Input 12 2 4" xfId="6086"/>
    <cellStyle name="Input 11 2 4" xfId="6087"/>
    <cellStyle name="Calculation 9 2 4" xfId="6088"/>
    <cellStyle name="Output 8 2 4" xfId="6089"/>
    <cellStyle name="Total 8 2 4" xfId="6090"/>
    <cellStyle name="Total 9 2 4" xfId="6091"/>
    <cellStyle name="20% - Accent1 6 2 2 2" xfId="6092"/>
    <cellStyle name="20% - Accent2 6 2 2 2" xfId="6093"/>
    <cellStyle name="20% - Accent3 6 2 2 2" xfId="6094"/>
    <cellStyle name="20% - Accent4 6 2 2 2" xfId="6095"/>
    <cellStyle name="20% - Accent5 6 2 2 2" xfId="6096"/>
    <cellStyle name="20% - Accent6 6 2 2 2" xfId="6097"/>
    <cellStyle name="40% - Accent1 6 2 2 2" xfId="6098"/>
    <cellStyle name="40% - Accent2 6 2 2 2" xfId="6099"/>
    <cellStyle name="40% - Accent3 6 2 2 2" xfId="6100"/>
    <cellStyle name="40% - Accent4 6 2 2 2" xfId="6101"/>
    <cellStyle name="Output 5 2 2 4" xfId="6102"/>
    <cellStyle name="Output 4 3 2 4" xfId="6103"/>
    <cellStyle name="Output 3 3 2 4" xfId="6104"/>
    <cellStyle name="Output 2 7 2 4" xfId="6105"/>
    <cellStyle name="Output 11 2 4" xfId="6106"/>
    <cellStyle name="40% - Accent5 6 2 2 2" xfId="6107"/>
    <cellStyle name="40% - Accent6 6 2 2 2" xfId="6108"/>
    <cellStyle name="Input 5 3 2 4" xfId="6109"/>
    <cellStyle name="Input 4 3 2 4" xfId="6110"/>
    <cellStyle name="Input 3 3 2 4" xfId="6111"/>
    <cellStyle name="Input 2 7 2 4" xfId="6112"/>
    <cellStyle name="Calculation 10 2 4" xfId="6113"/>
    <cellStyle name="Input 14 2 4" xfId="6114"/>
    <cellStyle name="Input 16 2 4" xfId="6115"/>
    <cellStyle name="Input 17 2 4" xfId="6116"/>
    <cellStyle name="Input 15 2 4" xfId="6117"/>
    <cellStyle name="Input 13 2 4" xfId="6118"/>
    <cellStyle name="Calculation 5 2 2 4" xfId="6119"/>
    <cellStyle name="Calculation 4 3 2 4" xfId="6120"/>
    <cellStyle name="Calculation 3 3 2 4" xfId="6121"/>
    <cellStyle name="Calculation 2 7 2 4" xfId="6122"/>
    <cellStyle name="Calculation 11 2 4" xfId="6123"/>
    <cellStyle name="Normal 10 6 2 2" xfId="6124"/>
    <cellStyle name="Normal 11 6 2 2" xfId="6125"/>
    <cellStyle name="Normal 14 4 2 2" xfId="6126"/>
    <cellStyle name="Normal 2 2 2 3 2 2" xfId="6127"/>
    <cellStyle name="Normal 8 7 2 2" xfId="6128"/>
    <cellStyle name="Output 10 2 4" xfId="6129"/>
    <cellStyle name="Note 12 2 4" xfId="6130"/>
    <cellStyle name="Note 2 7 2 4" xfId="6131"/>
    <cellStyle name="Note 2 2 4 2 4" xfId="6132"/>
    <cellStyle name="Note 3 5 2 4" xfId="6133"/>
    <cellStyle name="Note 3 2 5 2 4" xfId="6134"/>
    <cellStyle name="Note 4 4 2 4" xfId="6135"/>
    <cellStyle name="Note 4 2 3 2 4" xfId="6136"/>
    <cellStyle name="Note 5 3 2 4" xfId="6137"/>
    <cellStyle name="Note 5 2 2 2 4" xfId="6138"/>
    <cellStyle name="Note 6 3 2 4" xfId="6139"/>
    <cellStyle name="Note 6 2 2 2 4" xfId="6140"/>
    <cellStyle name="Note 7 3 2 4" xfId="6141"/>
    <cellStyle name="Note 7 2 2 2 4" xfId="6142"/>
    <cellStyle name="Note 8 2 2 4" xfId="6143"/>
    <cellStyle name="Note 9 2 2 4" xfId="6144"/>
    <cellStyle name="Output 12 2 4" xfId="6145"/>
    <cellStyle name="Output 2 8 2 4" xfId="6146"/>
    <cellStyle name="Output 3 4 2 4" xfId="6147"/>
    <cellStyle name="Output 4 4 2 4" xfId="6148"/>
    <cellStyle name="Output 5 3 2 4" xfId="6149"/>
    <cellStyle name="Total 10 2 4" xfId="6150"/>
    <cellStyle name="Total 11 2 4" xfId="6151"/>
    <cellStyle name="Total 2 8 2 4" xfId="6152"/>
    <cellStyle name="Total 3 3 2 4" xfId="6153"/>
    <cellStyle name="Total 4 3 2 4" xfId="6154"/>
    <cellStyle name="Total 5 2 2 4" xfId="6155"/>
    <cellStyle name="Total 12 2 4" xfId="6156"/>
    <cellStyle name="Total 2 9 2 4" xfId="6157"/>
    <cellStyle name="Total 3 4 2 4" xfId="6158"/>
    <cellStyle name="Total 4 4 2 4" xfId="6159"/>
    <cellStyle name="Total 5 3 2 4" xfId="6160"/>
    <cellStyle name="20% - Accent1 6 3 2 2" xfId="6161"/>
    <cellStyle name="20% - Accent2 6 3 2 2" xfId="6162"/>
    <cellStyle name="20% - Accent3 6 3 2 2" xfId="6163"/>
    <cellStyle name="20% - Accent4 6 3 2 2" xfId="6164"/>
    <cellStyle name="20% - Accent5 6 3 2 2" xfId="6165"/>
    <cellStyle name="20% - Accent6 6 3 2 2" xfId="6166"/>
    <cellStyle name="40% - Accent1 6 3 2 2" xfId="6167"/>
    <cellStyle name="40% - Accent2 6 3 2 2" xfId="6168"/>
    <cellStyle name="40% - Accent3 6 3 2 2" xfId="6169"/>
    <cellStyle name="40% - Accent4 6 3 2 2" xfId="6170"/>
    <cellStyle name="40% - Accent5 6 3 2 2" xfId="6171"/>
    <cellStyle name="40% - Accent6 6 3 2 2" xfId="6172"/>
    <cellStyle name="Input 18 2 4" xfId="6173"/>
    <cellStyle name="Normal 10 7 2 2" xfId="6174"/>
    <cellStyle name="Normal 11 7 2 2" xfId="6175"/>
    <cellStyle name="Normal 14 5 2 2" xfId="6176"/>
    <cellStyle name="Normal 2 2 2 4 2 2" xfId="6177"/>
    <cellStyle name="Normal 8 8 2 2" xfId="6178"/>
    <cellStyle name="Calculation 12 2 4" xfId="6179"/>
    <cellStyle name="Input 19 2 4" xfId="6180"/>
    <cellStyle name="Note 13 2 4" xfId="6181"/>
    <cellStyle name="Output 13 2 4" xfId="6182"/>
    <cellStyle name="Total 13 2 4" xfId="6183"/>
    <cellStyle name="Normal 8 9 2 2" xfId="6184"/>
    <cellStyle name="Comma 13 4 2 2" xfId="6185"/>
    <cellStyle name="Currency 7 5 2 2" xfId="6186"/>
    <cellStyle name="Calculation 2 8 2 4" xfId="6187"/>
    <cellStyle name="Calculation 3 4 2 4" xfId="6188"/>
    <cellStyle name="Calculation 4 4 2 4" xfId="6189"/>
    <cellStyle name="Calculation 5 3 2 4" xfId="6190"/>
    <cellStyle name="Input 2 8 2 4" xfId="6191"/>
    <cellStyle name="Input 3 4 2 4" xfId="6192"/>
    <cellStyle name="Input 4 4 2 4" xfId="6193"/>
    <cellStyle name="Input 5 4 2 4" xfId="6194"/>
    <cellStyle name="Normal 10 8 2 2" xfId="6195"/>
    <cellStyle name="Note 2 8 2 4" xfId="6196"/>
    <cellStyle name="Note 2 2 5 2 4" xfId="6197"/>
    <cellStyle name="Note 3 6 2 4" xfId="6198"/>
    <cellStyle name="Note 3 2 6 2 4" xfId="6199"/>
    <cellStyle name="Note 4 5 2 4" xfId="6200"/>
    <cellStyle name="Note 4 2 4 2 4" xfId="6201"/>
    <cellStyle name="Note 5 4 2 4" xfId="6202"/>
    <cellStyle name="Note 5 2 3 2 4" xfId="6203"/>
    <cellStyle name="Note 6 4 2 4" xfId="6204"/>
    <cellStyle name="Note 6 2 3 2 4" xfId="6205"/>
    <cellStyle name="Note 7 4 2 4" xfId="6206"/>
    <cellStyle name="Note 7 2 3 2 4" xfId="6207"/>
    <cellStyle name="Note 8 3 2 4" xfId="6208"/>
    <cellStyle name="Output 2 9 2 4" xfId="6209"/>
    <cellStyle name="Output 3 5 2 4" xfId="6210"/>
    <cellStyle name="Output 4 5 2 4" xfId="6211"/>
    <cellStyle name="Output 5 4 2 4" xfId="6212"/>
    <cellStyle name="40% - Accent2 8" xfId="6213"/>
    <cellStyle name="Total 2 10 2 4" xfId="6214"/>
    <cellStyle name="Total 3 5 2 4" xfId="6215"/>
    <cellStyle name="Total 4 5 2 4" xfId="6216"/>
    <cellStyle name="Total 5 4 2 4" xfId="6217"/>
    <cellStyle name="Normal 11 8 2 2" xfId="6218"/>
    <cellStyle name="Normal 14 6 2 2" xfId="6219"/>
    <cellStyle name="Normal 43 3 2 2" xfId="6220"/>
    <cellStyle name="Normal 44 3 2 2" xfId="6221"/>
    <cellStyle name="Input 20 2 4" xfId="6222"/>
    <cellStyle name="Normal 8 10 2 2" xfId="6223"/>
    <cellStyle name="Comma 13 5 2 2" xfId="6224"/>
    <cellStyle name="Currency 7 6 2 2" xfId="6225"/>
    <cellStyle name="Normal 10 9 2 2" xfId="6226"/>
    <cellStyle name="Normal 11 9 2 2" xfId="6227"/>
    <cellStyle name="Normal 14 7 2 2" xfId="6228"/>
    <cellStyle name="Normal 43 4 2 2" xfId="6229"/>
    <cellStyle name="Normal 44 4 2 2" xfId="6230"/>
    <cellStyle name="Normal 355 2 2" xfId="6231"/>
    <cellStyle name="Comma 22 2 2" xfId="6232"/>
    <cellStyle name="Input 21 2 4" xfId="6233"/>
    <cellStyle name="Normal 8 11 2 2" xfId="6234"/>
    <cellStyle name="Comma 13 6 2 2" xfId="6235"/>
    <cellStyle name="Currency 7 7 2 2" xfId="6236"/>
    <cellStyle name="Normal 10 10 2 2" xfId="6237"/>
    <cellStyle name="Normal 11 10 2 2" xfId="6238"/>
    <cellStyle name="Normal 14 8 2 2" xfId="6239"/>
    <cellStyle name="Normal 43 5 2 2" xfId="6240"/>
    <cellStyle name="Normal 44 5 2 2" xfId="6241"/>
    <cellStyle name="20% - Accent1 4 6" xfId="6242"/>
    <cellStyle name="20% - Accent2 4 6" xfId="6243"/>
    <cellStyle name="20% - Accent3 4 6" xfId="6244"/>
    <cellStyle name="20% - Accent4 4 6" xfId="6245"/>
    <cellStyle name="20% - Accent5 4 6" xfId="6246"/>
    <cellStyle name="20% - Accent6 4 6" xfId="6247"/>
    <cellStyle name="40% - Accent1 4 6" xfId="6248"/>
    <cellStyle name="40% - Accent2 4 6" xfId="6249"/>
    <cellStyle name="40% - Accent3 4 6" xfId="6250"/>
    <cellStyle name="40% - Accent4 4 6" xfId="6251"/>
    <cellStyle name="40% - Accent5 4 6" xfId="6252"/>
    <cellStyle name="40% - Accent6 4 6" xfId="6253"/>
    <cellStyle name="Calculation 2 13" xfId="6254"/>
    <cellStyle name="Calculation 2 2 9" xfId="6255"/>
    <cellStyle name="Calculation 2 2 2 6" xfId="6256"/>
    <cellStyle name="Calculation 2 2 3 6" xfId="6257"/>
    <cellStyle name="Calculation 2 2 4 6" xfId="6258"/>
    <cellStyle name="Calculation 2 3 6" xfId="6259"/>
    <cellStyle name="Calculation 2 4 6" xfId="6260"/>
    <cellStyle name="Calculation 3 9" xfId="6261"/>
    <cellStyle name="Input 2 13" xfId="6262"/>
    <cellStyle name="Input 2 2 9" xfId="6263"/>
    <cellStyle name="Input 2 2 2 6" xfId="6264"/>
    <cellStyle name="Input 2 2 3 6" xfId="6265"/>
    <cellStyle name="Input 2 2 4 6" xfId="6266"/>
    <cellStyle name="Input 2 3 6" xfId="6267"/>
    <cellStyle name="Input 2 4 6" xfId="6268"/>
    <cellStyle name="Input 3 8" xfId="6269"/>
    <cellStyle name="Input 4 8" xfId="6270"/>
    <cellStyle name="Input 5 9" xfId="6271"/>
    <cellStyle name="Input 6 7" xfId="6272"/>
    <cellStyle name="Input 7 6" xfId="6273"/>
    <cellStyle name="Input 8 6" xfId="6274"/>
    <cellStyle name="Normal 10 3 5" xfId="6275"/>
    <cellStyle name="Normal 11 3 3 5" xfId="6276"/>
    <cellStyle name="Normal 18 3 3 5" xfId="6277"/>
    <cellStyle name="Normal 182 3 5" xfId="6278"/>
    <cellStyle name="Normal 183 3 5" xfId="6279"/>
    <cellStyle name="Normal 184 3 5" xfId="6280"/>
    <cellStyle name="Normal 185 2 3 5" xfId="6281"/>
    <cellStyle name="Normal 199 3 5" xfId="6282"/>
    <cellStyle name="Normal 20 3 3 5" xfId="6283"/>
    <cellStyle name="Normal 221 2 5" xfId="6284"/>
    <cellStyle name="Normal 222 2 5" xfId="6285"/>
    <cellStyle name="Normal 264 5" xfId="6286"/>
    <cellStyle name="Normal 3 3 2 3 5" xfId="6287"/>
    <cellStyle name="Normal 4 2 2 2 3 5" xfId="6288"/>
    <cellStyle name="Normal 4 2 2 4 5" xfId="6289"/>
    <cellStyle name="Normal 4 2 3 3 5" xfId="6290"/>
    <cellStyle name="Normal 4 2 5 5" xfId="6291"/>
    <cellStyle name="Normal 4 3 2 3 5" xfId="6292"/>
    <cellStyle name="Normal 4 3 5 5" xfId="6293"/>
    <cellStyle name="Normal 4 3 6 5" xfId="6294"/>
    <cellStyle name="Normal 4 4 2 3 5" xfId="6295"/>
    <cellStyle name="Normal 4 4 4 5" xfId="6296"/>
    <cellStyle name="Normal 4 7 5" xfId="6297"/>
    <cellStyle name="Normal 49 3 3 5" xfId="6298"/>
    <cellStyle name="Normal 5 2 3 5" xfId="6299"/>
    <cellStyle name="Normal 5 4 5" xfId="6300"/>
    <cellStyle name="Normal 6 2 3 5" xfId="6301"/>
    <cellStyle name="Normal 6 4 5" xfId="6302"/>
    <cellStyle name="Normal 7 2 3 5" xfId="6303"/>
    <cellStyle name="Normal 7 4 5" xfId="6304"/>
    <cellStyle name="Normal 8 2 3 5" xfId="6305"/>
    <cellStyle name="Normal 8 4 5" xfId="6306"/>
    <cellStyle name="Normal 9 3 5" xfId="6307"/>
    <cellStyle name="Note 2 12" xfId="6308"/>
    <cellStyle name="Note 2 2 9" xfId="6309"/>
    <cellStyle name="Note 2 3 7" xfId="6310"/>
    <cellStyle name="Note 2 4 7" xfId="6311"/>
    <cellStyle name="Note 3 10" xfId="6312"/>
    <cellStyle name="Note 3 2 11" xfId="6313"/>
    <cellStyle name="Note 3 2 2 6" xfId="6314"/>
    <cellStyle name="Note 4 9" xfId="6315"/>
    <cellStyle name="Output 2 13" xfId="6316"/>
    <cellStyle name="Output 2 2 8" xfId="6317"/>
    <cellStyle name="Output 2 2 2 5" xfId="6318"/>
    <cellStyle name="Output 2 2 3 5" xfId="6319"/>
    <cellStyle name="Output 2 2 4 5" xfId="6320"/>
    <cellStyle name="Output 2 3 5" xfId="6321"/>
    <cellStyle name="Output 2 4 5" xfId="6322"/>
    <cellStyle name="Output 3 9" xfId="6323"/>
    <cellStyle name="StmtTtl2 5" xfId="6324"/>
    <cellStyle name="Total 2 14" xfId="6325"/>
    <cellStyle name="Total 2 2 8" xfId="6326"/>
    <cellStyle name="Total 2 2 2 5" xfId="6327"/>
    <cellStyle name="Total 2 2 3 5" xfId="6328"/>
    <cellStyle name="Total 2 2 4 5" xfId="6329"/>
    <cellStyle name="Total 2 3 5" xfId="6330"/>
    <cellStyle name="Total 2 4 5" xfId="6331"/>
    <cellStyle name="Total 2 5 5" xfId="6332"/>
    <cellStyle name="Total 3 9" xfId="6333"/>
    <cellStyle name="Comma 19 5" xfId="6334"/>
    <cellStyle name="Calculation 2 5 5" xfId="6335"/>
    <cellStyle name="Comma 6 10 5" xfId="6336"/>
    <cellStyle name="Comma 8 6 5" xfId="6337"/>
    <cellStyle name="Input 2 5 5" xfId="6338"/>
    <cellStyle name="Input [yellow] 2 2" xfId="6339"/>
    <cellStyle name="Normal 51 3 5" xfId="6340"/>
    <cellStyle name="Normal 52 3 5" xfId="6341"/>
    <cellStyle name="Note 2 2 2 5" xfId="6342"/>
    <cellStyle name="Note 2 3 2 5" xfId="6343"/>
    <cellStyle name="Note 2 4 2 5" xfId="6344"/>
    <cellStyle name="Note 2 5 5" xfId="6345"/>
    <cellStyle name="Note 3 3 5" xfId="6346"/>
    <cellStyle name="Note 4 2 7" xfId="6347"/>
    <cellStyle name="Output 2 5 5" xfId="6348"/>
    <cellStyle name="Total 2 6 5" xfId="6349"/>
    <cellStyle name="Normal 345 7" xfId="6350"/>
    <cellStyle name="Comma 20 5" xfId="6351"/>
    <cellStyle name="20% - Accent1 6 7" xfId="6352"/>
    <cellStyle name="20% - Accent2 6 7" xfId="6353"/>
    <cellStyle name="20% - Accent3 6 7" xfId="6354"/>
    <cellStyle name="20% - Accent4 6 7" xfId="6355"/>
    <cellStyle name="20% - Accent5 6 7" xfId="6356"/>
    <cellStyle name="20% - Accent6 6 7" xfId="6357"/>
    <cellStyle name="40% - Accent1 6 7" xfId="6358"/>
    <cellStyle name="40% - Accent2 6 7" xfId="6359"/>
    <cellStyle name="40% - Accent3 6 7" xfId="6360"/>
    <cellStyle name="40% - Accent4 6 7" xfId="6361"/>
    <cellStyle name="40% - Accent5 6 7" xfId="6362"/>
    <cellStyle name="40% - Accent6 6 7" xfId="6363"/>
    <cellStyle name="Calculation 7 7" xfId="6364"/>
    <cellStyle name="Calculation 2 6 7" xfId="6365"/>
    <cellStyle name="Calculation 3 2 7" xfId="6366"/>
    <cellStyle name="Calculation 4 2 7" xfId="6367"/>
    <cellStyle name="Calculation 5 8" xfId="6368"/>
    <cellStyle name="Output 9 6" xfId="6369"/>
    <cellStyle name="Input 10 7" xfId="6370"/>
    <cellStyle name="Input 2 6 7" xfId="6371"/>
    <cellStyle name="Input 3 2 7" xfId="6372"/>
    <cellStyle name="Input 4 2 7" xfId="6373"/>
    <cellStyle name="Input 5 2 7" xfId="6374"/>
    <cellStyle name="Normal 10 5 5" xfId="6375"/>
    <cellStyle name="Normal 11 5 5" xfId="6376"/>
    <cellStyle name="Normal 14 3 5" xfId="6377"/>
    <cellStyle name="Normal 2 2 2 2 5" xfId="6378"/>
    <cellStyle name="Normal 8 6 5" xfId="6379"/>
    <cellStyle name="Note 11 6" xfId="6380"/>
    <cellStyle name="Note 2 6 6" xfId="6381"/>
    <cellStyle name="Note 2 2 3 6" xfId="6382"/>
    <cellStyle name="Note 3 4 6" xfId="6383"/>
    <cellStyle name="Note 3 2 4 6" xfId="6384"/>
    <cellStyle name="Note 4 3 6" xfId="6385"/>
    <cellStyle name="Note 4 2 2 6" xfId="6386"/>
    <cellStyle name="Note 5 9" xfId="6387"/>
    <cellStyle name="Note 5 2 8" xfId="6388"/>
    <cellStyle name="Note 6 9" xfId="6389"/>
    <cellStyle name="Note 6 2 8" xfId="6390"/>
    <cellStyle name="Note 7 9" xfId="6391"/>
    <cellStyle name="Note 7 2 8" xfId="6392"/>
    <cellStyle name="Note 8 8" xfId="6393"/>
    <cellStyle name="Note 9 7" xfId="6394"/>
    <cellStyle name="Output 7 6" xfId="6395"/>
    <cellStyle name="Output 2 6 6" xfId="6396"/>
    <cellStyle name="Output 3 2 6" xfId="6397"/>
    <cellStyle name="Output 4 2 6" xfId="6398"/>
    <cellStyle name="Output 5 9" xfId="6399"/>
    <cellStyle name="Total 7 6" xfId="6400"/>
    <cellStyle name="Total 2 7 6" xfId="6401"/>
    <cellStyle name="Total 3 2 6" xfId="6402"/>
    <cellStyle name="Total 4 2 6" xfId="6403"/>
    <cellStyle name="Total 5 9" xfId="6404"/>
    <cellStyle name="Calculation 8 7" xfId="6405"/>
    <cellStyle name="Input 12 7" xfId="6406"/>
    <cellStyle name="Input 11 7" xfId="6407"/>
    <cellStyle name="Calculation 9 7" xfId="6408"/>
    <cellStyle name="Output 8 6" xfId="6409"/>
    <cellStyle name="Total 8 6" xfId="6410"/>
    <cellStyle name="Total 9 6" xfId="6411"/>
    <cellStyle name="20% - Accent1 6 2 5" xfId="6412"/>
    <cellStyle name="20% - Accent2 6 2 5" xfId="6413"/>
    <cellStyle name="20% - Accent3 6 2 5" xfId="6414"/>
    <cellStyle name="20% - Accent4 6 2 5" xfId="6415"/>
    <cellStyle name="20% - Accent5 6 2 5" xfId="6416"/>
    <cellStyle name="20% - Accent6 6 2 5" xfId="6417"/>
    <cellStyle name="40% - Accent1 6 2 5" xfId="6418"/>
    <cellStyle name="40% - Accent2 6 2 5" xfId="6419"/>
    <cellStyle name="40% - Accent3 6 2 5" xfId="6420"/>
    <cellStyle name="40% - Accent4 6 2 5" xfId="6421"/>
    <cellStyle name="Output 5 2 6" xfId="6422"/>
    <cellStyle name="Output 4 3 6" xfId="6423"/>
    <cellStyle name="Output 3 3 6" xfId="6424"/>
    <cellStyle name="Output 2 7 6" xfId="6425"/>
    <cellStyle name="Output 11 6" xfId="6426"/>
    <cellStyle name="40% - Accent5 6 2 5" xfId="6427"/>
    <cellStyle name="40% - Accent6 6 2 5" xfId="6428"/>
    <cellStyle name="Input 5 3 7" xfId="6429"/>
    <cellStyle name="Input 4 3 7" xfId="6430"/>
    <cellStyle name="Input 3 3 7" xfId="6431"/>
    <cellStyle name="Input 2 7 7" xfId="6432"/>
    <cellStyle name="Calculation 10 7" xfId="6433"/>
    <cellStyle name="Input 14 7" xfId="6434"/>
    <cellStyle name="Input 16 7" xfId="6435"/>
    <cellStyle name="Input 17 7" xfId="6436"/>
    <cellStyle name="Input 15 7" xfId="6437"/>
    <cellStyle name="Input 13 7" xfId="6438"/>
    <cellStyle name="Calculation 5 2 7" xfId="6439"/>
    <cellStyle name="Calculation 4 3 7" xfId="6440"/>
    <cellStyle name="Calculation 3 3 7" xfId="6441"/>
    <cellStyle name="Calculation 2 7 7" xfId="6442"/>
    <cellStyle name="Calculation 11 7" xfId="6443"/>
    <cellStyle name="Normal 10 6 5" xfId="6444"/>
    <cellStyle name="Normal 11 6 5" xfId="6445"/>
    <cellStyle name="Normal 14 4 5" xfId="6446"/>
    <cellStyle name="Normal 2 2 2 3 5" xfId="6447"/>
    <cellStyle name="Normal 8 7 5" xfId="6448"/>
    <cellStyle name="Output 10 6" xfId="6449"/>
    <cellStyle name="Note 12 6" xfId="6450"/>
    <cellStyle name="Note 2 7 6" xfId="6451"/>
    <cellStyle name="Note 2 2 4 6" xfId="6452"/>
    <cellStyle name="Note 3 5 6" xfId="6453"/>
    <cellStyle name="Note 3 2 5 6" xfId="6454"/>
    <cellStyle name="Note 4 4 6" xfId="6455"/>
    <cellStyle name="Note 4 2 3 6" xfId="6456"/>
    <cellStyle name="Note 5 3 6" xfId="6457"/>
    <cellStyle name="Note 5 2 2 6" xfId="6458"/>
    <cellStyle name="Note 6 3 6" xfId="6459"/>
    <cellStyle name="Note 6 2 2 6" xfId="6460"/>
    <cellStyle name="Note 7 3 6" xfId="6461"/>
    <cellStyle name="Note 7 2 2 6" xfId="6462"/>
    <cellStyle name="Note 8 2 6" xfId="6463"/>
    <cellStyle name="Note 9 2 6" xfId="6464"/>
    <cellStyle name="Output 12 6" xfId="6465"/>
    <cellStyle name="Output 2 8 6" xfId="6466"/>
    <cellStyle name="Output 3 4 6" xfId="6467"/>
    <cellStyle name="Output 4 4 6" xfId="6468"/>
    <cellStyle name="Output 5 3 6" xfId="6469"/>
    <cellStyle name="Total 10 6" xfId="6470"/>
    <cellStyle name="Total 11 6" xfId="6471"/>
    <cellStyle name="Total 2 8 6" xfId="6472"/>
    <cellStyle name="Total 3 3 6" xfId="6473"/>
    <cellStyle name="Total 4 3 6" xfId="6474"/>
    <cellStyle name="Total 5 2 6" xfId="6475"/>
    <cellStyle name="Total 12 6" xfId="6476"/>
    <cellStyle name="Total 2 9 6" xfId="6477"/>
    <cellStyle name="Total 3 4 6" xfId="6478"/>
    <cellStyle name="Total 4 4 6" xfId="6479"/>
    <cellStyle name="Total 5 3 6" xfId="6480"/>
    <cellStyle name="20% - Accent1 6 3 5" xfId="6481"/>
    <cellStyle name="20% - Accent2 6 3 5" xfId="6482"/>
    <cellStyle name="20% - Accent3 6 3 5" xfId="6483"/>
    <cellStyle name="20% - Accent4 6 3 5" xfId="6484"/>
    <cellStyle name="20% - Accent5 6 3 5" xfId="6485"/>
    <cellStyle name="20% - Accent6 6 3 5" xfId="6486"/>
    <cellStyle name="40% - Accent1 6 3 5" xfId="6487"/>
    <cellStyle name="40% - Accent2 6 3 5" xfId="6488"/>
    <cellStyle name="40% - Accent3 6 3 5" xfId="6489"/>
    <cellStyle name="40% - Accent4 6 3 5" xfId="6490"/>
    <cellStyle name="40% - Accent5 6 3 5" xfId="6491"/>
    <cellStyle name="40% - Accent6 6 3 5" xfId="6492"/>
    <cellStyle name="Input 18 7" xfId="6493"/>
    <cellStyle name="Normal 10 7 5" xfId="6494"/>
    <cellStyle name="Normal 11 7 5" xfId="6495"/>
    <cellStyle name="Normal 14 5 5" xfId="6496"/>
    <cellStyle name="Normal 2 2 2 4 5" xfId="6497"/>
    <cellStyle name="Normal 8 8 5" xfId="6498"/>
    <cellStyle name="Calculation 12 7" xfId="6499"/>
    <cellStyle name="Input 19 7" xfId="6500"/>
    <cellStyle name="Note 13 7" xfId="6501"/>
    <cellStyle name="Output 13 7" xfId="6502"/>
    <cellStyle name="Total 13 7" xfId="6503"/>
    <cellStyle name="Normal 8 9 5" xfId="6504"/>
    <cellStyle name="Comma 13 4 5" xfId="6505"/>
    <cellStyle name="Currency 7 5 5" xfId="6506"/>
    <cellStyle name="Calculation 2 8 7" xfId="6507"/>
    <cellStyle name="Calculation 3 4 7" xfId="6508"/>
    <cellStyle name="Calculation 4 4 7" xfId="6509"/>
    <cellStyle name="Calculation 5 3 7" xfId="6510"/>
    <cellStyle name="Input 2 8 7" xfId="6511"/>
    <cellStyle name="Input 3 4 7" xfId="6512"/>
    <cellStyle name="Input 4 4 7" xfId="6513"/>
    <cellStyle name="Input 5 4 7" xfId="6514"/>
    <cellStyle name="Normal 10 8 5" xfId="6515"/>
    <cellStyle name="Note 2 8 7" xfId="6516"/>
    <cellStyle name="Note 2 2 5 7" xfId="6517"/>
    <cellStyle name="Note 3 6 7" xfId="6518"/>
    <cellStyle name="Note 3 2 6 7" xfId="6519"/>
    <cellStyle name="Note 4 5 7" xfId="6520"/>
    <cellStyle name="Note 4 2 4 7" xfId="6521"/>
    <cellStyle name="Note 5 4 7" xfId="6522"/>
    <cellStyle name="Note 5 2 3 7" xfId="6523"/>
    <cellStyle name="Note 6 4 7" xfId="6524"/>
    <cellStyle name="Note 6 2 3 7" xfId="6525"/>
    <cellStyle name="Note 7 4 7" xfId="6526"/>
    <cellStyle name="Note 7 2 3 7" xfId="6527"/>
    <cellStyle name="Note 8 3 7" xfId="6528"/>
    <cellStyle name="Output 2 9 7" xfId="6529"/>
    <cellStyle name="Output 3 5 7" xfId="6530"/>
    <cellStyle name="Output 4 5 7" xfId="6531"/>
    <cellStyle name="Output 5 4 7" xfId="6532"/>
    <cellStyle name="Total 2 10 7" xfId="6533"/>
    <cellStyle name="Total 3 5 7" xfId="6534"/>
    <cellStyle name="Total 4 5 7" xfId="6535"/>
    <cellStyle name="Total 5 4 7" xfId="6536"/>
    <cellStyle name="Normal 11 8 5" xfId="6537"/>
    <cellStyle name="Normal 14 6 5" xfId="6538"/>
    <cellStyle name="Normal 43 3 5" xfId="6539"/>
    <cellStyle name="Normal 44 3 5" xfId="6540"/>
    <cellStyle name="Input 20 7" xfId="6541"/>
    <cellStyle name="Normal 8 10 5" xfId="6542"/>
    <cellStyle name="Comma 13 5 5" xfId="6543"/>
    <cellStyle name="Currency 7 6 5" xfId="6544"/>
    <cellStyle name="Normal 10 9 5" xfId="6545"/>
    <cellStyle name="Normal 11 9 5" xfId="6546"/>
    <cellStyle name="Normal 14 7 5" xfId="6547"/>
    <cellStyle name="Normal 43 4 5" xfId="6548"/>
    <cellStyle name="Normal 44 4 5" xfId="6549"/>
    <cellStyle name="Normal 355 5" xfId="6550"/>
    <cellStyle name="Comma 22 5" xfId="6551"/>
    <cellStyle name="Input 21 7" xfId="6552"/>
    <cellStyle name="Normal 8 11 5" xfId="6553"/>
    <cellStyle name="Comma 13 6 5" xfId="6554"/>
    <cellStyle name="Currency 7 7 5" xfId="6555"/>
    <cellStyle name="Normal 10 10 5" xfId="6556"/>
    <cellStyle name="Normal 11 10 5" xfId="6557"/>
    <cellStyle name="Normal 14 8 5" xfId="6558"/>
    <cellStyle name="Normal 43 5 5" xfId="6559"/>
    <cellStyle name="Normal 44 5 5" xfId="6560"/>
    <cellStyle name="Note 6 7 2" xfId="6561"/>
    <cellStyle name="Note 5 7 2" xfId="6562"/>
    <cellStyle name="Note 4 3 4 2" xfId="6563"/>
    <cellStyle name="Note 3 4 4 2" xfId="6564"/>
    <cellStyle name="Note 2 6 4 2" xfId="6565"/>
    <cellStyle name="Input 5 2 4 2" xfId="6566"/>
    <cellStyle name="Input 4 2 4 2" xfId="6567"/>
    <cellStyle name="Input 3 2 4 2" xfId="6568"/>
    <cellStyle name="20% - Accent1 4 4 2" xfId="6569"/>
    <cellStyle name="20% - Accent2 4 4 2" xfId="6570"/>
    <cellStyle name="20% - Accent3 4 4 2" xfId="6571"/>
    <cellStyle name="20% - Accent4 4 4 2" xfId="6572"/>
    <cellStyle name="20% - Accent5 4 4 2" xfId="6573"/>
    <cellStyle name="Calculation 5 6 2" xfId="6574"/>
    <cellStyle name="Calculation 4 2 4 2" xfId="6575"/>
    <cellStyle name="Calculation 3 2 4 2" xfId="6576"/>
    <cellStyle name="Calculation 2 6 4 2" xfId="6577"/>
    <cellStyle name="Calculation 7 4 2" xfId="6578"/>
    <cellStyle name="20% - Accent6 4 4 2" xfId="6579"/>
    <cellStyle name="Calculation 3 2 5 2" xfId="6580"/>
    <cellStyle name="Calculation 4 2 5 2" xfId="6581"/>
    <cellStyle name="40% - Accent1 4 4 2" xfId="6582"/>
    <cellStyle name="Input 10 5 2" xfId="6583"/>
    <cellStyle name="40% - Accent2 4 4 2" xfId="6584"/>
    <cellStyle name="40% - Accent3 4 4 2" xfId="6585"/>
    <cellStyle name="Calculation 8 5 2" xfId="6586"/>
    <cellStyle name="40% - Accent4 4 4 2" xfId="6587"/>
    <cellStyle name="Input 16 5 2" xfId="6588"/>
    <cellStyle name="40% - Accent5 4 4 2" xfId="6589"/>
    <cellStyle name="Total 13 5 2" xfId="6590"/>
    <cellStyle name="Calculation 3 4 5 2" xfId="6591"/>
    <cellStyle name="40% - Accent6 4 4 2" xfId="6592"/>
    <cellStyle name="Calculation 2 9 3 2" xfId="6593"/>
    <cellStyle name="Calculation 2 2 5 3 2" xfId="6594"/>
    <cellStyle name="Calculation 2 2 3 2 3 2" xfId="6595"/>
    <cellStyle name="Calculation 2 3 2 3 2" xfId="6596"/>
    <cellStyle name="Total 2 4 3 3 2" xfId="6597"/>
    <cellStyle name="Calculation 2 11 3" xfId="6598"/>
    <cellStyle name="Calculation 2 2 7 3" xfId="6599"/>
    <cellStyle name="Calculation 2 2 2 4 3" xfId="6600"/>
    <cellStyle name="Calculation 2 2 3 4 3" xfId="6601"/>
    <cellStyle name="Calculation 2 2 4 4 3" xfId="6602"/>
    <cellStyle name="Calculation 2 3 4 3" xfId="6603"/>
    <cellStyle name="Calculation 2 4 4 3" xfId="6604"/>
    <cellStyle name="Calculation 3 7 3" xfId="6605"/>
    <cellStyle name="Header2 3 3" xfId="6606"/>
    <cellStyle name="Input 2 11 3" xfId="6607"/>
    <cellStyle name="Input 2 2 7 3" xfId="6608"/>
    <cellStyle name="Input 2 2 2 4 3" xfId="6609"/>
    <cellStyle name="Input 2 2 3 4 3" xfId="6610"/>
    <cellStyle name="Input 2 2 4 4 3" xfId="6611"/>
    <cellStyle name="Input 2 3 4 3" xfId="6612"/>
    <cellStyle name="Input 2 4 4 3" xfId="6613"/>
    <cellStyle name="Input 5 7 3" xfId="6614"/>
    <cellStyle name="Input 6 5 3" xfId="6615"/>
    <cellStyle name="Input 7 4 3" xfId="6616"/>
    <cellStyle name="Input 8 4 3" xfId="6617"/>
    <cellStyle name="Normal 10 3 3 2" xfId="6618"/>
    <cellStyle name="Normal 11 3 3 3 2" xfId="6619"/>
    <cellStyle name="Calculation 5 2 5 2" xfId="6620"/>
    <cellStyle name="Input 18 5 2" xfId="6621"/>
    <cellStyle name="Calculation 3 5 3 2" xfId="6622"/>
    <cellStyle name="Input 7 2 3 2" xfId="6623"/>
    <cellStyle name="Normal 18 3 3 3 2" xfId="6624"/>
    <cellStyle name="Normal 182 3 3 2" xfId="6625"/>
    <cellStyle name="Normal 183 3 3 2" xfId="6626"/>
    <cellStyle name="Normal 184 3 3 2" xfId="6627"/>
    <cellStyle name="Normal 185 2 3 3 2" xfId="6628"/>
    <cellStyle name="Normal 199 3 3 2" xfId="6629"/>
    <cellStyle name="Normal 20 3 3 3 2" xfId="6630"/>
    <cellStyle name="Normal 221 2 3 2" xfId="6631"/>
    <cellStyle name="Normal 222 2 3 2" xfId="6632"/>
    <cellStyle name="Normal 264 3 2" xfId="6633"/>
    <cellStyle name="Normal 3 3 2 3 3 2" xfId="6634"/>
    <cellStyle name="Normal 4 2 2 2 3 3 2" xfId="6635"/>
    <cellStyle name="Normal 4 2 2 4 3 2" xfId="6636"/>
    <cellStyle name="Normal 4 2 3 3 3 2" xfId="6637"/>
    <cellStyle name="Normal 4 2 5 3 2" xfId="6638"/>
    <cellStyle name="Normal 4 3 2 3 3 2" xfId="6639"/>
    <cellStyle name="Normal 4 3 5 3 2" xfId="6640"/>
    <cellStyle name="Normal 4 3 6 3 2" xfId="6641"/>
    <cellStyle name="Normal 4 4 2 3 3 2" xfId="6642"/>
    <cellStyle name="Normal 4 4 4 3 2" xfId="6643"/>
    <cellStyle name="Normal 4 7 3 2" xfId="6644"/>
    <cellStyle name="Normal 49 3 3 3 2" xfId="6645"/>
    <cellStyle name="Normal 5 2 3 3 2" xfId="6646"/>
    <cellStyle name="Normal 5 4 3 2" xfId="6647"/>
    <cellStyle name="Normal 6 2 3 3 2" xfId="6648"/>
    <cellStyle name="Normal 6 4 3 2" xfId="6649"/>
    <cellStyle name="Normal 7 2 3 3 2" xfId="6650"/>
    <cellStyle name="Normal 7 4 3 2" xfId="6651"/>
    <cellStyle name="Normal 8 2 3 3 2" xfId="6652"/>
    <cellStyle name="Normal 8 4 3 2" xfId="6653"/>
    <cellStyle name="Normal 9 3 3 2" xfId="6654"/>
    <cellStyle name="Note 2 3 5 3" xfId="6655"/>
    <cellStyle name="Note 2 4 5 3" xfId="6656"/>
    <cellStyle name="Note 3 2 9 3" xfId="6657"/>
    <cellStyle name="Note 3 2 2 4 3" xfId="6658"/>
    <cellStyle name="Output 2 12 3" xfId="6659"/>
    <cellStyle name="Output 2 2 7 3" xfId="6660"/>
    <cellStyle name="Output 2 2 2 4 3" xfId="6661"/>
    <cellStyle name="Output 2 2 3 4 3" xfId="6662"/>
    <cellStyle name="Output 2 2 4 4 3" xfId="6663"/>
    <cellStyle name="Output 2 3 4 3" xfId="6664"/>
    <cellStyle name="Output 2 4 4 3" xfId="6665"/>
    <cellStyle name="Output 3 8 3" xfId="6666"/>
    <cellStyle name="Header2 4 3" xfId="6667"/>
    <cellStyle name="Calculation 7 5 2" xfId="6668"/>
    <cellStyle name="Input 2 6 5 2" xfId="6669"/>
    <cellStyle name="Input 11 5 2" xfId="6670"/>
    <cellStyle name="Input 17 5 2" xfId="6671"/>
    <cellStyle name="Calculation 11 5 2" xfId="6672"/>
    <cellStyle name="Input 5 4 5 2" xfId="6673"/>
    <cellStyle name="Note 2 8 5 2" xfId="6674"/>
    <cellStyle name="Note 3 6 5 2" xfId="6675"/>
    <cellStyle name="StmtTtl2 4 3" xfId="6676"/>
    <cellStyle name="Input 21 5 2" xfId="6677"/>
    <cellStyle name="Calculation 2 2 4 2 3 2" xfId="6678"/>
    <cellStyle name="Calculation 2 4 2 3 2" xfId="6679"/>
    <cellStyle name="Header2 2 3 2" xfId="6680"/>
    <cellStyle name="Input 2 5 3 3 2" xfId="6681"/>
    <cellStyle name="Input 2 2 2 2 3 2" xfId="6682"/>
    <cellStyle name="Input 2 2 3 2 3 2" xfId="6683"/>
    <cellStyle name="Input 2 3 2 3 2" xfId="6684"/>
    <cellStyle name="Input 2 4 2 3 2" xfId="6685"/>
    <cellStyle name="Input 2 5 2 3 2" xfId="6686"/>
    <cellStyle name="Input 3 5 3 2" xfId="6687"/>
    <cellStyle name="Total 2 13 3" xfId="6688"/>
    <cellStyle name="Total 2 2 7 3" xfId="6689"/>
    <cellStyle name="Total 2 2 2 4 3" xfId="6690"/>
    <cellStyle name="Total 2 2 3 4 3" xfId="6691"/>
    <cellStyle name="Total 2 2 4 4 3" xfId="6692"/>
    <cellStyle name="Total 2 3 4 3" xfId="6693"/>
    <cellStyle name="Total 2 4 4 3" xfId="6694"/>
    <cellStyle name="Total 2 5 4 3" xfId="6695"/>
    <cellStyle name="Total 3 8 3" xfId="6696"/>
    <cellStyle name="Input 4 5 3 2" xfId="6697"/>
    <cellStyle name="Input 8 2 3 2" xfId="6698"/>
    <cellStyle name="Total 2 2 4 3 3 2" xfId="6699"/>
    <cellStyle name="Total 2 2 3 3 3 2" xfId="6700"/>
    <cellStyle name="Comma 19 3 3" xfId="6701"/>
    <cellStyle name="Note 3 2 4 4 2" xfId="6702"/>
    <cellStyle name="Note 11 4 2" xfId="6703"/>
    <cellStyle name="Input 2 6 4 2" xfId="6704"/>
    <cellStyle name="Input 3 2 5 2" xfId="6705"/>
    <cellStyle name="Note 4 2 6 3 2" xfId="6706"/>
    <cellStyle name="Calculation 2 5 4 2" xfId="6707"/>
    <cellStyle name="Comma 6 10 3 2" xfId="6708"/>
    <cellStyle name="Comma 8 6 3 2" xfId="6709"/>
    <cellStyle name="Input 2 5 4 2" xfId="6710"/>
    <cellStyle name="Total 3 5 5 2" xfId="6711"/>
    <cellStyle name="Input 2 2 5 3 2" xfId="6712"/>
    <cellStyle name="Input 5 5 3 2" xfId="6713"/>
    <cellStyle name="Total 2 12 3 2" xfId="6714"/>
    <cellStyle name="Normal 51 3 3 2" xfId="6715"/>
    <cellStyle name="Normal 52 3 3 2" xfId="6716"/>
    <cellStyle name="Note 2 2 2 4 2" xfId="6717"/>
    <cellStyle name="Note 2 3 2 4 2" xfId="6718"/>
    <cellStyle name="Note 2 4 2 4 2" xfId="6719"/>
    <cellStyle name="Note 2 5 4 2" xfId="6720"/>
    <cellStyle name="Note 3 3 4 2" xfId="6721"/>
    <cellStyle name="Output 2 5 4 2" xfId="6722"/>
    <cellStyle name="Calculation 2 6 5 2" xfId="6723"/>
    <cellStyle name="Input 4 2 5 2" xfId="6724"/>
    <cellStyle name="Input 5 2 5 2" xfId="6725"/>
    <cellStyle name="Calculation 9 5 2" xfId="6726"/>
    <cellStyle name="Note 2 2 5 5 2" xfId="6727"/>
    <cellStyle name="Input 20 5 2" xfId="6728"/>
    <cellStyle name="Input 2 2 4 2 3 2" xfId="6729"/>
    <cellStyle name="Total 2 6 4 2" xfId="6730"/>
    <cellStyle name="Normal 345 5 2" xfId="6731"/>
    <cellStyle name="Comma 20 3 2" xfId="6732"/>
    <cellStyle name="Note 5 2 6 2" xfId="6733"/>
    <cellStyle name="Note 4 2 2 4 2" xfId="6734"/>
    <cellStyle name="Note 2 2 3 4 2" xfId="6735"/>
    <cellStyle name="20% - Accent1 6 5 2" xfId="6736"/>
    <cellStyle name="20% - Accent2 6 5 2" xfId="6737"/>
    <cellStyle name="20% - Accent3 6 5 2" xfId="6738"/>
    <cellStyle name="20% - Accent4 6 5 2" xfId="6739"/>
    <cellStyle name="Output 9 4 2" xfId="6740"/>
    <cellStyle name="20% - Accent5 6 5 2" xfId="6741"/>
    <cellStyle name="20% - Accent6 6 5 2" xfId="6742"/>
    <cellStyle name="40% - Accent1 6 5 2" xfId="6743"/>
    <cellStyle name="40% - Accent2 6 5 2" xfId="6744"/>
    <cellStyle name="40% - Accent3 6 5 2" xfId="6745"/>
    <cellStyle name="40% - Accent4 6 5 2" xfId="6746"/>
    <cellStyle name="40% - Accent5 6 5 2" xfId="6747"/>
    <cellStyle name="Note 8 3 5 2" xfId="6748"/>
    <cellStyle name="Output 2 9 5 2" xfId="6749"/>
    <cellStyle name="Output 4 5 5 2" xfId="6750"/>
    <cellStyle name="40% - Accent6 6 5 2" xfId="6751"/>
    <cellStyle name="Calculation 2 5 3 3 2" xfId="6752"/>
    <cellStyle name="Calculation 7 3 2" xfId="6753"/>
    <cellStyle name="Calculation 2 6 3 2" xfId="6754"/>
    <cellStyle name="Calculation 3 2 3 2" xfId="6755"/>
    <cellStyle name="Calculation 4 2 3 2" xfId="6756"/>
    <cellStyle name="Calculation 5 5 2" xfId="6757"/>
    <cellStyle name="Output 9 3 2" xfId="6758"/>
    <cellStyle name="Note 5 4 5 2" xfId="6759"/>
    <cellStyle name="Input 10 3 3" xfId="6760"/>
    <cellStyle name="Input 2 6 3 2" xfId="6761"/>
    <cellStyle name="Input 3 2 3 2" xfId="6762"/>
    <cellStyle name="Input 4 2 3 2" xfId="6763"/>
    <cellStyle name="Input 5 2 3 2" xfId="6764"/>
    <cellStyle name="Normal 10 5 3 2" xfId="6765"/>
    <cellStyle name="Normal 11 5 3 2" xfId="6766"/>
    <cellStyle name="Normal 14 3 3 2" xfId="6767"/>
    <cellStyle name="Normal 2 2 2 2 3 2" xfId="6768"/>
    <cellStyle name="Normal 8 6 3 2" xfId="6769"/>
    <cellStyle name="Note 11 3 2" xfId="6770"/>
    <cellStyle name="Note 2 6 3 2" xfId="6771"/>
    <cellStyle name="Note 2 2 3 3 2" xfId="6772"/>
    <cellStyle name="Note 3 4 3 2" xfId="6773"/>
    <cellStyle name="Note 3 2 4 3 2" xfId="6774"/>
    <cellStyle name="Note 4 3 3 2" xfId="6775"/>
    <cellStyle name="Note 4 2 2 3 2" xfId="6776"/>
    <cellStyle name="Note 5 6 2" xfId="6777"/>
    <cellStyle name="Note 5 2 5 2" xfId="6778"/>
    <cellStyle name="Note 6 6 2" xfId="6779"/>
    <cellStyle name="Note 6 2 5 2" xfId="6780"/>
    <cellStyle name="Note 7 6 2" xfId="6781"/>
    <cellStyle name="Note 7 2 5 2" xfId="6782"/>
    <cellStyle name="Note 8 5 2" xfId="6783"/>
    <cellStyle name="Note 9 4 2" xfId="6784"/>
    <cellStyle name="Output 7 3 2" xfId="6785"/>
    <cellStyle name="Output 2 6 3 2" xfId="6786"/>
    <cellStyle name="Output 3 2 3 2" xfId="6787"/>
    <cellStyle name="Output 4 2 3 2" xfId="6788"/>
    <cellStyle name="Output 5 6 2" xfId="6789"/>
    <cellStyle name="Input 15 5 2" xfId="6790"/>
    <cellStyle name="Input 13 5 2" xfId="6791"/>
    <cellStyle name="Calculation 4 3 5 2" xfId="6792"/>
    <cellStyle name="Calculation 3 3 5 2" xfId="6793"/>
    <cellStyle name="Calculation 2 7 5 2" xfId="6794"/>
    <cellStyle name="Calculation 2 8 5 2" xfId="6795"/>
    <cellStyle name="Input 2 8 5 2" xfId="6796"/>
    <cellStyle name="Output 5 4 5 2" xfId="6797"/>
    <cellStyle name="Total 2 10 5 2" xfId="6798"/>
    <cellStyle name="Total 4 5 5 2" xfId="6799"/>
    <cellStyle name="Total 5 4 5 2" xfId="6800"/>
    <cellStyle name="Calculation 2 5 2 3 2" xfId="6801"/>
    <cellStyle name="Total 7 3 2" xfId="6802"/>
    <cellStyle name="Total 2 7 3 2" xfId="6803"/>
    <cellStyle name="Total 3 2 3 2" xfId="6804"/>
    <cellStyle name="Total 4 2 3 2" xfId="6805"/>
    <cellStyle name="Total 5 6 2" xfId="6806"/>
    <cellStyle name="Input 6 3 3 2" xfId="6807"/>
    <cellStyle name="Calculation 8 3 2" xfId="6808"/>
    <cellStyle name="Input 12 3 2" xfId="6809"/>
    <cellStyle name="Input 11 3 2" xfId="6810"/>
    <cellStyle name="Calculation 9 3 2" xfId="6811"/>
    <cellStyle name="Output 8 3 2" xfId="6812"/>
    <cellStyle name="Total 8 3 2" xfId="6813"/>
    <cellStyle name="Total 9 3 2" xfId="6814"/>
    <cellStyle name="Input 10 4 2" xfId="6815"/>
    <cellStyle name="20% - Accent1 6 2 3 2" xfId="6816"/>
    <cellStyle name="20% - Accent2 6 2 3 2" xfId="6817"/>
    <cellStyle name="20% - Accent3 6 2 3 2" xfId="6818"/>
    <cellStyle name="20% - Accent4 6 2 3 2" xfId="6819"/>
    <cellStyle name="20% - Accent5 6 2 3 2" xfId="6820"/>
    <cellStyle name="20% - Accent6 6 2 3 2" xfId="6821"/>
    <cellStyle name="40% - Accent1 6 2 3 2" xfId="6822"/>
    <cellStyle name="40% - Accent2 6 2 3 2" xfId="6823"/>
    <cellStyle name="40% - Accent3 6 2 3 2" xfId="6824"/>
    <cellStyle name="40% - Accent4 6 2 3 2" xfId="6825"/>
    <cellStyle name="Output 5 2 3 2" xfId="6826"/>
    <cellStyle name="Output 4 3 3 2" xfId="6827"/>
    <cellStyle name="Output 3 3 3 2" xfId="6828"/>
    <cellStyle name="Output 2 7 3 2" xfId="6829"/>
    <cellStyle name="Output 11 3 2" xfId="6830"/>
    <cellStyle name="40% - Accent5 6 2 3 2" xfId="6831"/>
    <cellStyle name="40% - Accent6 6 2 3 2" xfId="6832"/>
    <cellStyle name="Input 5 3 3 2" xfId="6833"/>
    <cellStyle name="Input 4 3 3 2" xfId="6834"/>
    <cellStyle name="Input 3 3 3 2" xfId="6835"/>
    <cellStyle name="Input 2 7 3 2" xfId="6836"/>
    <cellStyle name="Calculation 10 3 2" xfId="6837"/>
    <cellStyle name="Input 14 3 2" xfId="6838"/>
    <cellStyle name="Input 16 3 2" xfId="6839"/>
    <cellStyle name="Input 17 3 2" xfId="6840"/>
    <cellStyle name="Input 15 3 2" xfId="6841"/>
    <cellStyle name="Input 13 3 2" xfId="6842"/>
    <cellStyle name="Calculation 5 2 3 2" xfId="6843"/>
    <cellStyle name="Calculation 4 3 3 2" xfId="6844"/>
    <cellStyle name="Calculation 3 3 3 2" xfId="6845"/>
    <cellStyle name="Calculation 2 7 3 2" xfId="6846"/>
    <cellStyle name="Calculation 11 3 2" xfId="6847"/>
    <cellStyle name="Normal 10 6 3 2" xfId="6848"/>
    <cellStyle name="Normal 11 6 3 2" xfId="6849"/>
    <cellStyle name="Normal 14 4 3 2" xfId="6850"/>
    <cellStyle name="Normal 2 2 2 3 3 2" xfId="6851"/>
    <cellStyle name="Normal 8 7 3 2" xfId="6852"/>
    <cellStyle name="Output 10 3 2" xfId="6853"/>
    <cellStyle name="Note 12 3 2" xfId="6854"/>
    <cellStyle name="Note 2 7 3 2" xfId="6855"/>
    <cellStyle name="Note 2 2 4 3 2" xfId="6856"/>
    <cellStyle name="Note 3 5 3 2" xfId="6857"/>
    <cellStyle name="Note 3 2 5 3 2" xfId="6858"/>
    <cellStyle name="Note 4 4 3 2" xfId="6859"/>
    <cellStyle name="Note 4 2 3 3 2" xfId="6860"/>
    <cellStyle name="Note 5 3 3 2" xfId="6861"/>
    <cellStyle name="Note 5 2 2 3 2" xfId="6862"/>
    <cellStyle name="Note 6 3 3 2" xfId="6863"/>
    <cellStyle name="Note 6 2 2 3 2" xfId="6864"/>
    <cellStyle name="Note 7 3 3 2" xfId="6865"/>
    <cellStyle name="Note 7 2 2 3 2" xfId="6866"/>
    <cellStyle name="Note 8 2 3 2" xfId="6867"/>
    <cellStyle name="Note 9 2 3 2" xfId="6868"/>
    <cellStyle name="Output 12 3 2" xfId="6869"/>
    <cellStyle name="Output 2 8 3 2" xfId="6870"/>
    <cellStyle name="Output 3 4 3 2" xfId="6871"/>
    <cellStyle name="Output 4 4 3 2" xfId="6872"/>
    <cellStyle name="Output 5 3 3 2" xfId="6873"/>
    <cellStyle name="Total 10 3 2" xfId="6874"/>
    <cellStyle name="Total 11 3 2" xfId="6875"/>
    <cellStyle name="Total 2 8 3 2" xfId="6876"/>
    <cellStyle name="Total 3 3 3 2" xfId="6877"/>
    <cellStyle name="Total 4 3 3 2" xfId="6878"/>
    <cellStyle name="Total 5 2 3 2" xfId="6879"/>
    <cellStyle name="Total 12 3 2" xfId="6880"/>
    <cellStyle name="Total 2 9 3 2" xfId="6881"/>
    <cellStyle name="Total 3 4 3 2" xfId="6882"/>
    <cellStyle name="Total 4 4 3 2" xfId="6883"/>
    <cellStyle name="Total 5 3 3 2" xfId="6884"/>
    <cellStyle name="20% - Accent1 6 3 3 2" xfId="6885"/>
    <cellStyle name="20% - Accent2 6 3 3 2" xfId="6886"/>
    <cellStyle name="20% - Accent3 6 3 3 2" xfId="6887"/>
    <cellStyle name="20% - Accent4 6 3 3 2" xfId="6888"/>
    <cellStyle name="20% - Accent5 6 3 3 2" xfId="6889"/>
    <cellStyle name="20% - Accent6 6 3 3 2" xfId="6890"/>
    <cellStyle name="40% - Accent1 6 3 3 2" xfId="6891"/>
    <cellStyle name="40% - Accent2 6 3 3 2" xfId="6892"/>
    <cellStyle name="40% - Accent3 6 3 3 2" xfId="6893"/>
    <cellStyle name="40% - Accent4 6 3 3 2" xfId="6894"/>
    <cellStyle name="40% - Accent5 6 3 3 2" xfId="6895"/>
    <cellStyle name="40% - Accent6 6 3 3 2" xfId="6896"/>
    <cellStyle name="Input 18 3 2" xfId="6897"/>
    <cellStyle name="Normal 10 7 3 2" xfId="6898"/>
    <cellStyle name="Normal 11 7 3 2" xfId="6899"/>
    <cellStyle name="Normal 14 5 3 2" xfId="6900"/>
    <cellStyle name="Normal 2 2 2 4 3 2" xfId="6901"/>
    <cellStyle name="Normal 8 8 3 2" xfId="6902"/>
    <cellStyle name="Calculation 12 3 2" xfId="6903"/>
    <cellStyle name="Input 19 3 2" xfId="6904"/>
    <cellStyle name="Note 13 3 2" xfId="6905"/>
    <cellStyle name="Output 13 3 2" xfId="6906"/>
    <cellStyle name="Total 13 3 2" xfId="6907"/>
    <cellStyle name="Normal 8 9 3 2" xfId="6908"/>
    <cellStyle name="Comma 13 4 3 2" xfId="6909"/>
    <cellStyle name="Currency 7 5 3 2" xfId="6910"/>
    <cellStyle name="Calculation 2 8 3 2" xfId="6911"/>
    <cellStyle name="Calculation 3 4 3 2" xfId="6912"/>
    <cellStyle name="Calculation 4 4 3 2" xfId="6913"/>
    <cellStyle name="Calculation 5 3 3 2" xfId="6914"/>
    <cellStyle name="Input 2 8 3 2" xfId="6915"/>
    <cellStyle name="Input 3 4 3 2" xfId="6916"/>
    <cellStyle name="Input 4 4 3 2" xfId="6917"/>
    <cellStyle name="Input 5 4 3 2" xfId="6918"/>
    <cellStyle name="Normal 10 8 3 2" xfId="6919"/>
    <cellStyle name="Note 2 8 3 2" xfId="6920"/>
    <cellStyle name="Note 2 2 5 3 2" xfId="6921"/>
    <cellStyle name="Note 3 6 3 2" xfId="6922"/>
    <cellStyle name="Note 3 2 6 3 2" xfId="6923"/>
    <cellStyle name="Note 4 5 3 2" xfId="6924"/>
    <cellStyle name="Note 4 2 4 3 2" xfId="6925"/>
    <cellStyle name="Note 5 4 3 2" xfId="6926"/>
    <cellStyle name="Note 5 2 3 3 2" xfId="6927"/>
    <cellStyle name="Note 6 4 3 2" xfId="6928"/>
    <cellStyle name="Note 6 2 3 3 2" xfId="6929"/>
    <cellStyle name="Note 7 4 3 2" xfId="6930"/>
    <cellStyle name="Note 7 2 3 3 2" xfId="6931"/>
    <cellStyle name="Note 8 3 3 2" xfId="6932"/>
    <cellStyle name="Output 2 9 3 2" xfId="6933"/>
    <cellStyle name="Output 3 5 3 2" xfId="6934"/>
    <cellStyle name="Output 4 5 3 2" xfId="6935"/>
    <cellStyle name="Output 5 4 3 2" xfId="6936"/>
    <cellStyle name="Total 2 10 3 2" xfId="6937"/>
    <cellStyle name="Total 3 5 3 2" xfId="6938"/>
    <cellStyle name="Total 4 5 3 2" xfId="6939"/>
    <cellStyle name="Total 5 4 3 2" xfId="6940"/>
    <cellStyle name="Normal 11 8 3 2" xfId="6941"/>
    <cellStyle name="Normal 14 6 3 2" xfId="6942"/>
    <cellStyle name="Normal 43 3 3 2" xfId="6943"/>
    <cellStyle name="Normal 44 3 3 2" xfId="6944"/>
    <cellStyle name="Input 20 3 2" xfId="6945"/>
    <cellStyle name="Normal 8 10 3 2" xfId="6946"/>
    <cellStyle name="Comma 13 5 3 2" xfId="6947"/>
    <cellStyle name="Currency 7 6 3 2" xfId="6948"/>
    <cellStyle name="Normal 10 9 3 2" xfId="6949"/>
    <cellStyle name="Input 4 4 5 2" xfId="6950"/>
    <cellStyle name="Calculation 5 3 5 2" xfId="6951"/>
    <cellStyle name="Calculation 4 4 5 2" xfId="6952"/>
    <cellStyle name="Input 3 4 5 2" xfId="6953"/>
    <cellStyle name="Normal 11 9 3 2" xfId="6954"/>
    <cellStyle name="Normal 14 7 3 2" xfId="6955"/>
    <cellStyle name="Normal 43 4 3 2" xfId="6956"/>
    <cellStyle name="Normal 44 4 3 2" xfId="6957"/>
    <cellStyle name="Normal 355 3 2" xfId="6958"/>
    <cellStyle name="Comma 22 3 2" xfId="6959"/>
    <cellStyle name="Input 21 3 2" xfId="6960"/>
    <cellStyle name="Normal 8 11 3 2" xfId="6961"/>
    <cellStyle name="Comma 13 6 3 2" xfId="6962"/>
    <cellStyle name="Currency 7 7 3 2" xfId="6963"/>
    <cellStyle name="Normal 10 10 3 2" xfId="6964"/>
    <cellStyle name="Normal 11 10 3 2" xfId="6965"/>
    <cellStyle name="Normal 14 8 3 2" xfId="6966"/>
    <cellStyle name="Normal 43 5 3 2" xfId="6967"/>
    <cellStyle name="Normal 44 5 3 2" xfId="6968"/>
    <cellStyle name="Normal 356 3" xfId="6969"/>
    <cellStyle name="Note 4 2 6 5" xfId="6970"/>
    <cellStyle name="Note 3 3 3 5" xfId="6971"/>
    <cellStyle name="Note 2 5 3 5" xfId="6972"/>
    <cellStyle name="Note 2 4 2 3 5" xfId="6973"/>
    <cellStyle name="Note 2 3 2 3 5" xfId="6974"/>
    <cellStyle name="Note 2 2 2 3 5" xfId="6975"/>
    <cellStyle name="Calculation 2 9 5" xfId="6976"/>
    <cellStyle name="Calculation 2 2 5 5" xfId="6977"/>
    <cellStyle name="Calculation 2 2 2 2 5" xfId="6978"/>
    <cellStyle name="Calculation 2 2 3 2 5" xfId="6979"/>
    <cellStyle name="Calculation 2 2 4 2 5" xfId="6980"/>
    <cellStyle name="Calculation 2 3 2 5" xfId="6981"/>
    <cellStyle name="Calculation 2 4 2 5" xfId="6982"/>
    <cellStyle name="Calculation 2 5 2 5" xfId="6983"/>
    <cellStyle name="Calculation 3 5 5" xfId="6984"/>
    <cellStyle name="Comma 3 2 2 8 3 3" xfId="6985"/>
    <cellStyle name="Comma 3 4 5 3 3" xfId="6986"/>
    <cellStyle name="Comma 3 5 5 3 3" xfId="6987"/>
    <cellStyle name="Comma 4 2 8 3 3" xfId="6988"/>
    <cellStyle name="Comma 6 10 2 3" xfId="6989"/>
    <cellStyle name="Comma 8 6 2 3" xfId="6990"/>
    <cellStyle name="Header2 2 5" xfId="6991"/>
    <cellStyle name="Input 2 5 3 5" xfId="6992"/>
    <cellStyle name="Input 2 9 5" xfId="6993"/>
    <cellStyle name="Input 2 2 5 5" xfId="6994"/>
    <cellStyle name="Input 2 2 2 2 5" xfId="6995"/>
    <cellStyle name="Input 2 2 3 2 5" xfId="6996"/>
    <cellStyle name="Input 2 2 4 2 5" xfId="6997"/>
    <cellStyle name="Input 2 3 2 5" xfId="6998"/>
    <cellStyle name="Input 2 4 2 5" xfId="6999"/>
    <cellStyle name="Input 2 5 2 5" xfId="7000"/>
    <cellStyle name="Input 3 5 5" xfId="7001"/>
    <cellStyle name="Input 4 5 5" xfId="7002"/>
    <cellStyle name="Input 5 5 5" xfId="7003"/>
    <cellStyle name="Input 6 3 5" xfId="7004"/>
    <cellStyle name="Input 7 2 5" xfId="7005"/>
    <cellStyle name="Input 8 2 5" xfId="7006"/>
    <cellStyle name="Normal 10 3 2 3" xfId="7007"/>
    <cellStyle name="Normal 11 11 3" xfId="7008"/>
    <cellStyle name="Calculation 2 5 3 5" xfId="7009"/>
    <cellStyle name="Comma 19 2 3" xfId="7010"/>
    <cellStyle name="Total 2 4 3 5" xfId="7011"/>
    <cellStyle name="Total 2 2 4 3 5" xfId="7012"/>
    <cellStyle name="Total 2 2 3 3 5" xfId="7013"/>
    <cellStyle name="Total 2 12 5" xfId="7014"/>
    <cellStyle name="Normal 18 5 3" xfId="7015"/>
    <cellStyle name="Normal 20 5 3" xfId="7016"/>
    <cellStyle name="Normal 4 2 7 3" xfId="7017"/>
    <cellStyle name="Normal 4 2 2 5 3" xfId="7018"/>
    <cellStyle name="Normal 4 3 8 3" xfId="7019"/>
    <cellStyle name="Normal 4 4 5 3" xfId="7020"/>
    <cellStyle name="Normal 4 7 2 3" xfId="7021"/>
    <cellStyle name="Normal 49 5 3" xfId="7022"/>
    <cellStyle name="Normal 5 4 2 3" xfId="7023"/>
    <cellStyle name="Normal 51 3 2 3" xfId="7024"/>
    <cellStyle name="Normal 52 3 2 3" xfId="7025"/>
    <cellStyle name="Normal 6 4 2 3" xfId="7026"/>
    <cellStyle name="Normal 7 4 2 3" xfId="7027"/>
    <cellStyle name="Normal 8 4 2 3" xfId="7028"/>
    <cellStyle name="Normal 9 3 2 3" xfId="7029"/>
    <cellStyle name="Note 2 9 5" xfId="7030"/>
    <cellStyle name="Note 2 2 6 5" xfId="7031"/>
    <cellStyle name="Note 2 3 3 5" xfId="7032"/>
    <cellStyle name="Note 2 4 3 5" xfId="7033"/>
    <cellStyle name="Note 3 7 5" xfId="7034"/>
    <cellStyle name="Note 3 2 7 5" xfId="7035"/>
    <cellStyle name="Output 2 10 5" xfId="7036"/>
    <cellStyle name="Output 2 2 5 5" xfId="7037"/>
    <cellStyle name="Output 2 2 2 2 5" xfId="7038"/>
    <cellStyle name="Output 2 2 3 2 5" xfId="7039"/>
    <cellStyle name="Output 2 2 4 2 5" xfId="7040"/>
    <cellStyle name="Output 2 3 2 5" xfId="7041"/>
    <cellStyle name="Output 2 4 2 5" xfId="7042"/>
    <cellStyle name="Output 2 5 2 5" xfId="7043"/>
    <cellStyle name="Output 3 6 5" xfId="7044"/>
    <cellStyle name="Input 7 3 5" xfId="7045"/>
    <cellStyle name="Input 5 6 5" xfId="7046"/>
    <cellStyle name="Input 3 6 5" xfId="7047"/>
    <cellStyle name="Input 2 4 3 5" xfId="7048"/>
    <cellStyle name="Input 2 2 4 3 5" xfId="7049"/>
    <cellStyle name="Input 2 2 2 3 5" xfId="7050"/>
    <cellStyle name="Input 2 10 5" xfId="7051"/>
    <cellStyle name="Percent 18 5 3" xfId="7052"/>
    <cellStyle name="Percent 2 2 2 5 3 3" xfId="7053"/>
    <cellStyle name="Percent 20 5 3" xfId="7054"/>
    <cellStyle name="Calculation 3 6 5" xfId="7055"/>
    <cellStyle name="Calculation 2 4 3 5" xfId="7056"/>
    <cellStyle name="Calculation 2 2 4 3 5" xfId="7057"/>
    <cellStyle name="Calculation 2 2 2 3 5" xfId="7058"/>
    <cellStyle name="Calculation 2 10 5" xfId="7059"/>
    <cellStyle name="StmtTtl2 2 5" xfId="7060"/>
    <cellStyle name="Total 2 11 5" xfId="7061"/>
    <cellStyle name="Total 2 2 5 5" xfId="7062"/>
    <cellStyle name="Total 2 2 2 2 5" xfId="7063"/>
    <cellStyle name="Total 2 2 3 2 5" xfId="7064"/>
    <cellStyle name="Total 2 2 4 2 5" xfId="7065"/>
    <cellStyle name="Total 2 3 2 5" xfId="7066"/>
    <cellStyle name="Total 2 4 2 5" xfId="7067"/>
    <cellStyle name="Total 2 5 2 5" xfId="7068"/>
    <cellStyle name="Total 2 6 2 5" xfId="7069"/>
    <cellStyle name="Total 3 6 5" xfId="7070"/>
    <cellStyle name="20% - Accent1 4 3 3" xfId="7071"/>
    <cellStyle name="20% - Accent2 4 3 3" xfId="7072"/>
    <cellStyle name="20% - Accent3 4 3 3" xfId="7073"/>
    <cellStyle name="20% - Accent4 4 3 3" xfId="7074"/>
    <cellStyle name="20% - Accent5 4 3 3" xfId="7075"/>
    <cellStyle name="20% - Accent6 4 3 3" xfId="7076"/>
    <cellStyle name="40% - Accent1 4 3 3" xfId="7077"/>
    <cellStyle name="40% - Accent2 4 3 3" xfId="7078"/>
    <cellStyle name="40% - Accent3 4 3 3" xfId="7079"/>
    <cellStyle name="40% - Accent4 4 3 3" xfId="7080"/>
    <cellStyle name="40% - Accent5 4 3 3" xfId="7081"/>
    <cellStyle name="40% - Accent6 4 3 3" xfId="7082"/>
    <cellStyle name="Output 2 5 3 5" xfId="7083"/>
    <cellStyle name="Normal 11 3 3 2 3" xfId="7084"/>
    <cellStyle name="Normal 18 3 3 2 3" xfId="7085"/>
    <cellStyle name="Normal 182 3 2 3" xfId="7086"/>
    <cellStyle name="Normal 183 3 2 3" xfId="7087"/>
    <cellStyle name="Normal 184 3 2 3" xfId="7088"/>
    <cellStyle name="Normal 185 2 3 2 3" xfId="7089"/>
    <cellStyle name="Normal 199 3 2 3" xfId="7090"/>
    <cellStyle name="Normal 20 3 3 2 3" xfId="7091"/>
    <cellStyle name="Normal 221 2 2 3" xfId="7092"/>
    <cellStyle name="Normal 222 2 2 3" xfId="7093"/>
    <cellStyle name="Output 2 3 3 5" xfId="7094"/>
    <cellStyle name="Output 2 2 3 3 5" xfId="7095"/>
    <cellStyle name="Output 2 2 6 5" xfId="7096"/>
    <cellStyle name="Note 4 7 5" xfId="7097"/>
    <cellStyle name="Note 3 2 2 3 5" xfId="7098"/>
    <cellStyle name="Note 3 8 5" xfId="7099"/>
    <cellStyle name="Note 2 4 4 5" xfId="7100"/>
    <cellStyle name="Note 2 2 7 5" xfId="7101"/>
    <cellStyle name="Normal 264 2 3" xfId="7102"/>
    <cellStyle name="Normal 3 3 2 3 2 3" xfId="7103"/>
    <cellStyle name="Normal 4 2 2 2 3 2 3" xfId="7104"/>
    <cellStyle name="Normal 4 2 2 4 2 3" xfId="7105"/>
    <cellStyle name="Normal 4 2 3 3 2 3" xfId="7106"/>
    <cellStyle name="Normal 4 2 5 2 3" xfId="7107"/>
    <cellStyle name="Normal 4 3 2 3 2 3" xfId="7108"/>
    <cellStyle name="Normal 4 3 5 2 3" xfId="7109"/>
    <cellStyle name="Normal 4 3 6 2 3" xfId="7110"/>
    <cellStyle name="Normal 4 4 2 3 2 3" xfId="7111"/>
    <cellStyle name="Normal 4 4 4 2 3" xfId="7112"/>
    <cellStyle name="Normal 49 3 3 2 3" xfId="7113"/>
    <cellStyle name="Normal 5 2 3 2 3" xfId="7114"/>
    <cellStyle name="Normal 6 2 3 2 3" xfId="7115"/>
    <cellStyle name="Normal 7 2 3 2 3" xfId="7116"/>
    <cellStyle name="Normal 8 2 3 2 3" xfId="7117"/>
    <cellStyle name="Note 3 2 2 2 5" xfId="7118"/>
    <cellStyle name="Note 4 6 5" xfId="7119"/>
    <cellStyle name="Comma 23 3" xfId="7120"/>
    <cellStyle name="Percent 240 3" xfId="7121"/>
    <cellStyle name="Total 3 7 5" xfId="7122"/>
    <cellStyle name="Total 2 5 3 5" xfId="7123"/>
    <cellStyle name="Total 2 3 3 5" xfId="7124"/>
    <cellStyle name="Total 2 2 6 5" xfId="7125"/>
    <cellStyle name="Total 2 2 2 3 5" xfId="7126"/>
    <cellStyle name="StmtTtl2 3 5" xfId="7127"/>
    <cellStyle name="Output 3 7 5" xfId="7128"/>
    <cellStyle name="Note 2 5 2 5" xfId="7129"/>
    <cellStyle name="Note 2 2 2 2 5" xfId="7130"/>
    <cellStyle name="Note 2 3 2 2 5" xfId="7131"/>
    <cellStyle name="Note 2 4 2 2 5" xfId="7132"/>
    <cellStyle name="Note 3 3 2 5" xfId="7133"/>
    <cellStyle name="Input 8 3 5" xfId="7134"/>
    <cellStyle name="Input 6 4 5" xfId="7135"/>
    <cellStyle name="Input 4 6 5" xfId="7136"/>
    <cellStyle name="Input 2 3 3 5" xfId="7137"/>
    <cellStyle name="Input 2 2 3 3 5" xfId="7138"/>
    <cellStyle name="Input 2 2 6 5" xfId="7139"/>
    <cellStyle name="Calculation 2 3 3 5" xfId="7140"/>
    <cellStyle name="Calculation 2 2 3 3 5" xfId="7141"/>
    <cellStyle name="Calculation 2 2 6 5" xfId="7142"/>
    <cellStyle name="Output 2 4 3 5" xfId="7143"/>
    <cellStyle name="Output 2 2 4 3 5" xfId="7144"/>
    <cellStyle name="Output 2 2 2 3 5" xfId="7145"/>
    <cellStyle name="Output 2 11 5" xfId="7146"/>
    <cellStyle name="Note 3 2 8 5" xfId="7147"/>
    <cellStyle name="Note 2 3 4 5" xfId="7148"/>
    <cellStyle name="Note 2 10 5" xfId="7149"/>
    <cellStyle name="Note 4 2 5 5" xfId="7150"/>
    <cellStyle name="Style 21 6" xfId="7151"/>
    <cellStyle name="Style 21 2 6" xfId="7152"/>
    <cellStyle name="Style 22 6" xfId="7153"/>
    <cellStyle name="Style 22 2 6" xfId="7154"/>
    <cellStyle name="Style 23 6" xfId="7155"/>
    <cellStyle name="Style 23 2 6" xfId="7156"/>
    <cellStyle name="Style 24 6" xfId="7157"/>
    <cellStyle name="Style 24 2 6" xfId="7158"/>
    <cellStyle name="Style 25 6" xfId="7159"/>
    <cellStyle name="Style 25 2 6" xfId="7160"/>
    <cellStyle name="Style 26 6" xfId="7161"/>
    <cellStyle name="Style 26 2 6" xfId="7162"/>
    <cellStyle name="styleColumnTitles 6" xfId="7163"/>
    <cellStyle name="styleColumnTitles 2 6" xfId="7164"/>
    <cellStyle name="styleDateRange 6" xfId="7165"/>
    <cellStyle name="styleDateRange 2 6" xfId="7166"/>
    <cellStyle name="styleSeriesAttributes 6" xfId="7167"/>
    <cellStyle name="styleSeriesAttributes 2 6" xfId="7168"/>
    <cellStyle name="styleSeriesData 6" xfId="7169"/>
    <cellStyle name="styleSeriesData 2 6" xfId="7170"/>
    <cellStyle name="styleSeriesDataForecast 6" xfId="7171"/>
    <cellStyle name="styleSeriesDataForecast 2 6" xfId="7172"/>
    <cellStyle name="styleSeriesDataForecastNA 6" xfId="7173"/>
    <cellStyle name="styleSeriesDataForecastNA 2 6" xfId="7174"/>
    <cellStyle name="styleSeriesDataNA 6" xfId="7175"/>
    <cellStyle name="styleSeriesDataNA 2 6" xfId="7176"/>
    <cellStyle name="Style 21 2 2 5" xfId="7177"/>
    <cellStyle name="Style 22 2 2 5" xfId="7178"/>
    <cellStyle name="Style 23 2 2 5" xfId="7179"/>
    <cellStyle name="Style 24 2 2 5" xfId="7180"/>
    <cellStyle name="Style 25 2 2 5" xfId="7181"/>
    <cellStyle name="Style 26 2 2 5" xfId="7182"/>
    <cellStyle name="styleColumnTitles 2 2 5" xfId="7183"/>
    <cellStyle name="styleDateRange 2 2 5" xfId="7184"/>
    <cellStyle name="styleSeriesAttributes 2 2 5" xfId="7185"/>
    <cellStyle name="styleSeriesData 2 2 5" xfId="7186"/>
    <cellStyle name="styleSeriesDataForecast 2 2 5" xfId="7187"/>
    <cellStyle name="styleSeriesDataForecastNA 2 2 5" xfId="7188"/>
    <cellStyle name="styleSeriesDataNA 2 2 5" xfId="7189"/>
    <cellStyle name="Total 2 6 3 5" xfId="7190"/>
    <cellStyle name="Normal 345 4 3" xfId="7191"/>
    <cellStyle name="Comma 20 2 3" xfId="7192"/>
    <cellStyle name="20% - Accent1 6 4 3" xfId="7193"/>
    <cellStyle name="20% - Accent2 6 4 3" xfId="7194"/>
    <cellStyle name="20% - Accent3 6 4 3" xfId="7195"/>
    <cellStyle name="20% - Accent4 6 4 3" xfId="7196"/>
    <cellStyle name="20% - Accent5 6 4 3" xfId="7197"/>
    <cellStyle name="20% - Accent6 6 4 3" xfId="7198"/>
    <cellStyle name="40% - Accent1 6 4 3" xfId="7199"/>
    <cellStyle name="40% - Accent2 6 4 3" xfId="7200"/>
    <cellStyle name="40% - Accent3 6 4 3" xfId="7201"/>
    <cellStyle name="40% - Accent4 6 4 3" xfId="7202"/>
    <cellStyle name="40% - Accent5 6 4 3" xfId="7203"/>
    <cellStyle name="40% - Accent6 6 4 3" xfId="7204"/>
    <cellStyle name="Calculation 7 2 5" xfId="7205"/>
    <cellStyle name="Calculation 2 6 2 5" xfId="7206"/>
    <cellStyle name="Calculation 3 2 2 5" xfId="7207"/>
    <cellStyle name="Calculation 4 2 2 5" xfId="7208"/>
    <cellStyle name="Calculation 5 4 5" xfId="7209"/>
    <cellStyle name="Output 9 2 5" xfId="7210"/>
    <cellStyle name="Input 10 2 5" xfId="7211"/>
    <cellStyle name="Input 2 6 2 5" xfId="7212"/>
    <cellStyle name="Input 3 2 2 5" xfId="7213"/>
    <cellStyle name="Input 4 2 2 5" xfId="7214"/>
    <cellStyle name="Input 5 2 2 5" xfId="7215"/>
    <cellStyle name="Normal 10 5 2 3" xfId="7216"/>
    <cellStyle name="Normal 11 5 2 3" xfId="7217"/>
    <cellStyle name="Normal 14 3 2 3" xfId="7218"/>
    <cellStyle name="Normal 2 2 2 2 2 3" xfId="7219"/>
    <cellStyle name="Normal 8 6 2 3" xfId="7220"/>
    <cellStyle name="Note 11 2 5" xfId="7221"/>
    <cellStyle name="Note 2 6 2 5" xfId="7222"/>
    <cellStyle name="Note 2 2 3 2 5" xfId="7223"/>
    <cellStyle name="Note 3 4 2 5" xfId="7224"/>
    <cellStyle name="Note 3 2 4 2 5" xfId="7225"/>
    <cellStyle name="Note 4 3 2 5" xfId="7226"/>
    <cellStyle name="Note 4 2 2 2 5" xfId="7227"/>
    <cellStyle name="Note 5 5 5" xfId="7228"/>
    <cellStyle name="Note 5 2 4 5" xfId="7229"/>
    <cellStyle name="Note 6 5 5" xfId="7230"/>
    <cellStyle name="Note 6 2 4 5" xfId="7231"/>
    <cellStyle name="Note 7 5 5" xfId="7232"/>
    <cellStyle name="Note 7 2 4 5" xfId="7233"/>
    <cellStyle name="Note 8 4 5" xfId="7234"/>
    <cellStyle name="Note 9 3 5" xfId="7235"/>
    <cellStyle name="Output 7 2 5" xfId="7236"/>
    <cellStyle name="Output 2 6 2 5" xfId="7237"/>
    <cellStyle name="Output 3 2 2 5" xfId="7238"/>
    <cellStyle name="Output 4 2 2 5" xfId="7239"/>
    <cellStyle name="Output 5 5 5" xfId="7240"/>
    <cellStyle name="Total 7 2 5" xfId="7241"/>
    <cellStyle name="Total 2 7 2 5" xfId="7242"/>
    <cellStyle name="Total 3 2 2 5" xfId="7243"/>
    <cellStyle name="Total 4 2 2 5" xfId="7244"/>
    <cellStyle name="Total 5 5 5" xfId="7245"/>
    <cellStyle name="Calculation 8 2 5" xfId="7246"/>
    <cellStyle name="Input 12 2 5" xfId="7247"/>
    <cellStyle name="Input 11 2 5" xfId="7248"/>
    <cellStyle name="Calculation 9 2 5" xfId="7249"/>
    <cellStyle name="Output 8 2 5" xfId="7250"/>
    <cellStyle name="Total 8 2 5" xfId="7251"/>
    <cellStyle name="Total 9 2 5" xfId="7252"/>
    <cellStyle name="20% - Accent1 6 2 2 3" xfId="7253"/>
    <cellStyle name="20% - Accent2 6 2 2 3" xfId="7254"/>
    <cellStyle name="20% - Accent3 6 2 2 3" xfId="7255"/>
    <cellStyle name="20% - Accent4 6 2 2 3" xfId="7256"/>
    <cellStyle name="20% - Accent5 6 2 2 3" xfId="7257"/>
    <cellStyle name="20% - Accent6 6 2 2 3" xfId="7258"/>
    <cellStyle name="40% - Accent1 6 2 2 3" xfId="7259"/>
    <cellStyle name="40% - Accent2 6 2 2 3" xfId="7260"/>
    <cellStyle name="40% - Accent3 6 2 2 3" xfId="7261"/>
    <cellStyle name="40% - Accent4 6 2 2 3" xfId="7262"/>
    <cellStyle name="Output 5 2 2 5" xfId="7263"/>
    <cellStyle name="Output 4 3 2 5" xfId="7264"/>
    <cellStyle name="Output 3 3 2 5" xfId="7265"/>
    <cellStyle name="Output 2 7 2 5" xfId="7266"/>
    <cellStyle name="Output 11 2 5" xfId="7267"/>
    <cellStyle name="40% - Accent5 6 2 2 3" xfId="7268"/>
    <cellStyle name="40% - Accent6 6 2 2 3" xfId="7269"/>
    <cellStyle name="Input 5 3 2 5" xfId="7270"/>
    <cellStyle name="Input 4 3 2 5" xfId="7271"/>
    <cellStyle name="Input 3 3 2 5" xfId="7272"/>
    <cellStyle name="Input 2 7 2 5" xfId="7273"/>
    <cellStyle name="Calculation 10 2 5" xfId="7274"/>
    <cellStyle name="Input 14 2 5" xfId="7275"/>
    <cellStyle name="Input 16 2 5" xfId="7276"/>
    <cellStyle name="Input 17 2 5" xfId="7277"/>
    <cellStyle name="Input 15 2 5" xfId="7278"/>
    <cellStyle name="Input 13 2 5" xfId="7279"/>
    <cellStyle name="Calculation 5 2 2 5" xfId="7280"/>
    <cellStyle name="Calculation 4 3 2 5" xfId="7281"/>
    <cellStyle name="Calculation 3 3 2 5" xfId="7282"/>
    <cellStyle name="Calculation 2 7 2 5" xfId="7283"/>
    <cellStyle name="Calculation 11 2 5" xfId="7284"/>
    <cellStyle name="Normal 10 6 2 3" xfId="7285"/>
    <cellStyle name="Normal 11 6 2 3" xfId="7286"/>
    <cellStyle name="Normal 14 4 2 3" xfId="7287"/>
    <cellStyle name="Normal 2 2 2 3 2 3" xfId="7288"/>
    <cellStyle name="Normal 8 7 2 3" xfId="7289"/>
    <cellStyle name="Output 10 2 5" xfId="7290"/>
    <cellStyle name="Note 12 2 5" xfId="7291"/>
    <cellStyle name="Note 2 7 2 5" xfId="7292"/>
    <cellStyle name="Note 2 2 4 2 5" xfId="7293"/>
    <cellStyle name="Note 3 5 2 5" xfId="7294"/>
    <cellStyle name="Note 3 2 5 2 5" xfId="7295"/>
    <cellStyle name="Note 4 4 2 5" xfId="7296"/>
    <cellStyle name="Note 4 2 3 2 5" xfId="7297"/>
    <cellStyle name="Note 5 3 2 5" xfId="7298"/>
    <cellStyle name="Note 5 2 2 2 5" xfId="7299"/>
    <cellStyle name="Note 6 3 2 5" xfId="7300"/>
    <cellStyle name="Note 6 2 2 2 5" xfId="7301"/>
    <cellStyle name="Note 7 3 2 5" xfId="7302"/>
    <cellStyle name="Note 7 2 2 2 5" xfId="7303"/>
    <cellStyle name="Note 8 2 2 5" xfId="7304"/>
    <cellStyle name="Note 9 2 2 5" xfId="7305"/>
    <cellStyle name="Output 12 2 5" xfId="7306"/>
    <cellStyle name="Output 2 8 2 5" xfId="7307"/>
    <cellStyle name="Output 3 4 2 5" xfId="7308"/>
    <cellStyle name="Output 4 4 2 5" xfId="7309"/>
    <cellStyle name="Output 5 3 2 5" xfId="7310"/>
    <cellStyle name="Total 10 2 5" xfId="7311"/>
    <cellStyle name="Total 11 2 5" xfId="7312"/>
    <cellStyle name="Total 2 8 2 5" xfId="7313"/>
    <cellStyle name="Total 3 3 2 5" xfId="7314"/>
    <cellStyle name="Total 4 3 2 5" xfId="7315"/>
    <cellStyle name="Total 5 2 2 5" xfId="7316"/>
    <cellStyle name="Total 12 2 5" xfId="7317"/>
    <cellStyle name="Total 2 9 2 5" xfId="7318"/>
    <cellStyle name="Total 3 4 2 5" xfId="7319"/>
    <cellStyle name="Total 4 4 2 5" xfId="7320"/>
    <cellStyle name="Total 5 3 2 5" xfId="7321"/>
    <cellStyle name="20% - Accent1 6 3 2 3" xfId="7322"/>
    <cellStyle name="20% - Accent2 6 3 2 3" xfId="7323"/>
    <cellStyle name="20% - Accent3 6 3 2 3" xfId="7324"/>
    <cellStyle name="20% - Accent4 6 3 2 3" xfId="7325"/>
    <cellStyle name="20% - Accent5 6 3 2 3" xfId="7326"/>
    <cellStyle name="20% - Accent6 6 3 2 3" xfId="7327"/>
    <cellStyle name="40% - Accent1 6 3 2 3" xfId="7328"/>
    <cellStyle name="40% - Accent2 6 3 2 3" xfId="7329"/>
    <cellStyle name="40% - Accent3 6 3 2 3" xfId="7330"/>
    <cellStyle name="40% - Accent4 6 3 2 3" xfId="7331"/>
    <cellStyle name="40% - Accent5 6 3 2 3" xfId="7332"/>
    <cellStyle name="40% - Accent6 6 3 2 3" xfId="7333"/>
    <cellStyle name="Input 18 2 5" xfId="7334"/>
    <cellStyle name="Normal 10 7 2 3" xfId="7335"/>
    <cellStyle name="Normal 11 7 2 3" xfId="7336"/>
    <cellStyle name="Normal 14 5 2 3" xfId="7337"/>
    <cellStyle name="Normal 2 2 2 4 2 3" xfId="7338"/>
    <cellStyle name="Normal 8 8 2 3" xfId="7339"/>
    <cellStyle name="Calculation 12 2 5" xfId="7340"/>
    <cellStyle name="Input 19 2 5" xfId="7341"/>
    <cellStyle name="Note 13 2 5" xfId="7342"/>
    <cellStyle name="Output 13 2 5" xfId="7343"/>
    <cellStyle name="Total 13 2 5" xfId="7344"/>
    <cellStyle name="Normal 8 9 2 3" xfId="7345"/>
    <cellStyle name="Comma 13 4 2 3" xfId="7346"/>
    <cellStyle name="Currency 7 5 2 3" xfId="7347"/>
    <cellStyle name="Calculation 2 8 2 5" xfId="7348"/>
    <cellStyle name="Calculation 3 4 2 5" xfId="7349"/>
    <cellStyle name="Calculation 4 4 2 5" xfId="7350"/>
    <cellStyle name="Calculation 5 3 2 5" xfId="7351"/>
    <cellStyle name="Input 2 8 2 5" xfId="7352"/>
    <cellStyle name="Input 3 4 2 5" xfId="7353"/>
    <cellStyle name="Input 4 4 2 5" xfId="7354"/>
    <cellStyle name="Input 5 4 2 5" xfId="7355"/>
    <cellStyle name="Normal 10 8 2 3" xfId="7356"/>
    <cellStyle name="Note 2 8 2 5" xfId="7357"/>
    <cellStyle name="Note 2 2 5 2 5" xfId="7358"/>
    <cellStyle name="Note 3 6 2 5" xfId="7359"/>
    <cellStyle name="Note 3 2 6 2 5" xfId="7360"/>
    <cellStyle name="Note 4 5 2 5" xfId="7361"/>
    <cellStyle name="Note 4 2 4 2 5" xfId="7362"/>
    <cellStyle name="Note 5 4 2 5" xfId="7363"/>
    <cellStyle name="Note 5 2 3 2 5" xfId="7364"/>
    <cellStyle name="Note 6 4 2 5" xfId="7365"/>
    <cellStyle name="Note 6 2 3 2 5" xfId="7366"/>
    <cellStyle name="Note 7 4 2 5" xfId="7367"/>
    <cellStyle name="Note 7 2 3 2 5" xfId="7368"/>
    <cellStyle name="Note 8 3 2 5" xfId="7369"/>
    <cellStyle name="Output 2 9 2 5" xfId="7370"/>
    <cellStyle name="Output 3 5 2 5" xfId="7371"/>
    <cellStyle name="Output 4 5 2 5" xfId="7372"/>
    <cellStyle name="Output 5 4 2 5" xfId="7373"/>
    <cellStyle name="Total 2 10 2 5" xfId="7374"/>
    <cellStyle name="Total 3 5 2 5" xfId="7375"/>
    <cellStyle name="Total 4 5 2 5" xfId="7376"/>
    <cellStyle name="Total 5 4 2 5" xfId="7377"/>
    <cellStyle name="Normal 11 8 2 3" xfId="7378"/>
    <cellStyle name="Normal 14 6 2 3" xfId="7379"/>
    <cellStyle name="Normal 43 3 2 3" xfId="7380"/>
    <cellStyle name="Normal 44 3 2 3" xfId="7381"/>
    <cellStyle name="Input 20 2 5" xfId="7382"/>
    <cellStyle name="Normal 8 10 2 3" xfId="7383"/>
    <cellStyle name="Comma 13 5 2 3" xfId="7384"/>
    <cellStyle name="Currency 7 6 2 3" xfId="7385"/>
    <cellStyle name="Normal 10 9 2 3" xfId="7386"/>
    <cellStyle name="Normal 11 9 2 3" xfId="7387"/>
    <cellStyle name="Normal 14 7 2 3" xfId="7388"/>
    <cellStyle name="Normal 43 4 2 3" xfId="7389"/>
    <cellStyle name="Normal 44 4 2 3" xfId="7390"/>
    <cellStyle name="Normal 355 2 3" xfId="7391"/>
    <cellStyle name="Comma 22 2 3" xfId="7392"/>
    <cellStyle name="Input 21 2 5" xfId="7393"/>
    <cellStyle name="Normal 8 11 2 3" xfId="7394"/>
    <cellStyle name="Comma 13 6 2 3" xfId="7395"/>
    <cellStyle name="Currency 7 7 2 3" xfId="7396"/>
    <cellStyle name="Normal 10 10 2 3" xfId="7397"/>
    <cellStyle name="Normal 11 10 2 3" xfId="7398"/>
    <cellStyle name="Normal 14 8 2 3" xfId="7399"/>
    <cellStyle name="Normal 43 5 2 3" xfId="7400"/>
    <cellStyle name="Normal 44 5 2 3" xfId="7401"/>
    <cellStyle name="Note 6 2 6 2" xfId="7402"/>
    <cellStyle name="Note 7 7 2" xfId="7403"/>
    <cellStyle name="Note 7 2 6 2" xfId="7404"/>
    <cellStyle name="Note 8 6 2" xfId="7405"/>
    <cellStyle name="Note 9 5 2" xfId="7406"/>
    <cellStyle name="Output 7 4 2" xfId="7407"/>
    <cellStyle name="Output 2 6 4 2" xfId="7408"/>
    <cellStyle name="Output 3 2 4 2" xfId="7409"/>
    <cellStyle name="Output 4 2 4 2" xfId="7410"/>
    <cellStyle name="Output 5 7 2" xfId="7411"/>
    <cellStyle name="Note 4 2 4 5 2" xfId="7412"/>
    <cellStyle name="Total 7 4 2" xfId="7413"/>
    <cellStyle name="Total 2 7 4 2" xfId="7414"/>
    <cellStyle name="Total 3 2 4 2" xfId="7415"/>
    <cellStyle name="Total 4 2 4 2" xfId="7416"/>
    <cellStyle name="Total 5 7 2" xfId="7417"/>
    <cellStyle name="Calculation 8 4 2" xfId="7418"/>
    <cellStyle name="Input 12 4 2" xfId="7419"/>
    <cellStyle name="Input 11 4 2" xfId="7420"/>
    <cellStyle name="Calculation 9 4 2" xfId="7421"/>
    <cellStyle name="Output 8 4 2" xfId="7422"/>
    <cellStyle name="Note 4 5 5 2" xfId="7423"/>
    <cellStyle name="Total 8 4 2" xfId="7424"/>
    <cellStyle name="Total 9 4 2" xfId="7425"/>
    <cellStyle name="Input 2 9 3 2" xfId="7426"/>
    <cellStyle name="Note 2 2 2 3 3 2" xfId="7427"/>
    <cellStyle name="Note 7 2 3 5 2" xfId="7428"/>
    <cellStyle name="Note 3 2 6 5 2" xfId="7429"/>
    <cellStyle name="Output 13 5 2" xfId="7430"/>
    <cellStyle name="Input 14 5 2" xfId="7431"/>
    <cellStyle name="Input 5 3 5 2" xfId="7432"/>
    <cellStyle name="Output 5 2 4 2" xfId="7433"/>
    <cellStyle name="Output 4 3 4 2" xfId="7434"/>
    <cellStyle name="Output 3 3 4 2" xfId="7435"/>
    <cellStyle name="Output 2 7 4 2" xfId="7436"/>
    <cellStyle name="Output 11 4 2" xfId="7437"/>
    <cellStyle name="Input 5 3 4 2" xfId="7438"/>
    <cellStyle name="Input 4 3 4 2" xfId="7439"/>
    <cellStyle name="Input 3 3 4 2" xfId="7440"/>
    <cellStyle name="Input 2 7 4 2" xfId="7441"/>
    <cellStyle name="Calculation 10 4 2" xfId="7442"/>
    <cellStyle name="Input 14 4 2" xfId="7443"/>
    <cellStyle name="Input 16 4 2" xfId="7444"/>
    <cellStyle name="Input 17 4 2" xfId="7445"/>
    <cellStyle name="Input 15 4 2" xfId="7446"/>
    <cellStyle name="Input 13 4 2" xfId="7447"/>
    <cellStyle name="Calculation 5 2 4 2" xfId="7448"/>
    <cellStyle name="Calculation 4 3 4 2" xfId="7449"/>
    <cellStyle name="Calculation 3 3 4 2" xfId="7450"/>
    <cellStyle name="Calculation 2 7 4 2" xfId="7451"/>
    <cellStyle name="Calculation 11 4 2" xfId="7452"/>
    <cellStyle name="Output 10 4 2" xfId="7453"/>
    <cellStyle name="Note 12 4 2" xfId="7454"/>
    <cellStyle name="Note 2 7 4 2" xfId="7455"/>
    <cellStyle name="Note 2 2 4 4 2" xfId="7456"/>
    <cellStyle name="Note 3 5 4 2" xfId="7457"/>
    <cellStyle name="Note 3 2 5 4 2" xfId="7458"/>
    <cellStyle name="Note 4 4 4 2" xfId="7459"/>
    <cellStyle name="Note 4 2 3 4 2" xfId="7460"/>
    <cellStyle name="Note 5 3 4 2" xfId="7461"/>
    <cellStyle name="Note 5 2 2 4 2" xfId="7462"/>
    <cellStyle name="Note 6 3 4 2" xfId="7463"/>
    <cellStyle name="Note 6 2 2 4 2" xfId="7464"/>
    <cellStyle name="Note 7 3 4 2" xfId="7465"/>
    <cellStyle name="Note 7 2 2 4 2" xfId="7466"/>
    <cellStyle name="Note 8 2 4 2" xfId="7467"/>
    <cellStyle name="Note 9 2 4 2" xfId="7468"/>
    <cellStyle name="Output 12 4 2" xfId="7469"/>
    <cellStyle name="Output 2 8 4 2" xfId="7470"/>
    <cellStyle name="Output 3 4 4 2" xfId="7471"/>
    <cellStyle name="Output 4 4 4 2" xfId="7472"/>
    <cellStyle name="Output 5 3 4 2" xfId="7473"/>
    <cellStyle name="Total 10 4 2" xfId="7474"/>
    <cellStyle name="Total 11 4 2" xfId="7475"/>
    <cellStyle name="Total 2 8 4 2" xfId="7476"/>
    <cellStyle name="Total 3 3 4 2" xfId="7477"/>
    <cellStyle name="Total 4 3 4 2" xfId="7478"/>
    <cellStyle name="Total 5 2 4 2" xfId="7479"/>
    <cellStyle name="Total 12 4 2" xfId="7480"/>
    <cellStyle name="Total 2 9 4 2" xfId="7481"/>
    <cellStyle name="Total 3 4 4 2" xfId="7482"/>
    <cellStyle name="Total 4 4 4 2" xfId="7483"/>
    <cellStyle name="Total 5 3 4 2" xfId="7484"/>
    <cellStyle name="Note 2 4 2 3 3 2" xfId="7485"/>
    <cellStyle name="Note 6 2 3 5 2" xfId="7486"/>
    <cellStyle name="Input 19 5 2" xfId="7487"/>
    <cellStyle name="Input 2 7 5 2" xfId="7488"/>
    <cellStyle name="Input 18 4 2" xfId="7489"/>
    <cellStyle name="Calculation 12 4 2" xfId="7490"/>
    <cellStyle name="Input 19 4 2" xfId="7491"/>
    <cellStyle name="Note 13 4 2" xfId="7492"/>
    <cellStyle name="Output 13 4 2" xfId="7493"/>
    <cellStyle name="Total 13 4 2" xfId="7494"/>
    <cellStyle name="Calculation 2 8 4 2" xfId="7495"/>
    <cellStyle name="Calculation 3 4 4 2" xfId="7496"/>
    <cellStyle name="Calculation 4 4 4 2" xfId="7497"/>
    <cellStyle name="Calculation 5 3 4 2" xfId="7498"/>
    <cellStyle name="Input 2 8 4 2" xfId="7499"/>
    <cellStyle name="Input 3 4 4 2" xfId="7500"/>
    <cellStyle name="Input 4 4 4 2" xfId="7501"/>
    <cellStyle name="Input 5 4 4 2" xfId="7502"/>
    <cellStyle name="Note 2 8 4 2" xfId="7503"/>
    <cellStyle name="Note 2 2 5 4 2" xfId="7504"/>
    <cellStyle name="Note 3 6 4 2" xfId="7505"/>
    <cellStyle name="Note 3 2 6 4 2" xfId="7506"/>
    <cellStyle name="Note 4 5 4 2" xfId="7507"/>
    <cellStyle name="Note 4 2 4 4 2" xfId="7508"/>
    <cellStyle name="Note 5 4 4 2" xfId="7509"/>
    <cellStyle name="Note 5 2 3 4 2" xfId="7510"/>
    <cellStyle name="Note 6 4 4 2" xfId="7511"/>
    <cellStyle name="Note 6 2 3 4 2" xfId="7512"/>
    <cellStyle name="Note 7 4 4 2" xfId="7513"/>
    <cellStyle name="Note 7 2 3 4 2" xfId="7514"/>
    <cellStyle name="Note 8 3 4 2" xfId="7515"/>
    <cellStyle name="Output 2 9 4 2" xfId="7516"/>
    <cellStyle name="Output 3 5 4 2" xfId="7517"/>
    <cellStyle name="Output 4 5 4 2" xfId="7518"/>
    <cellStyle name="Output 5 4 4 2" xfId="7519"/>
    <cellStyle name="Total 2 10 4 2" xfId="7520"/>
    <cellStyle name="Total 3 5 4 2" xfId="7521"/>
    <cellStyle name="Total 4 5 4 2" xfId="7522"/>
    <cellStyle name="Total 5 4 4 2" xfId="7523"/>
    <cellStyle name="Input 20 4 2" xfId="7524"/>
    <cellStyle name="Input 21 4 2" xfId="7525"/>
    <cellStyle name="Note 4 2 6 2 2" xfId="7526"/>
    <cellStyle name="Note 3 3 3 2 2" xfId="7527"/>
    <cellStyle name="Note 2 5 3 2 2" xfId="7528"/>
    <cellStyle name="Note 2 4 2 3 2 2" xfId="7529"/>
    <cellStyle name="Note 2 3 2 3 2 2" xfId="7530"/>
    <cellStyle name="Note 2 2 2 3 2 2" xfId="7531"/>
    <cellStyle name="Calculation 2 9 2 2" xfId="7532"/>
    <cellStyle name="Calculation 2 2 5 2 2" xfId="7533"/>
    <cellStyle name="Calculation 2 2 2 2 2 2" xfId="7534"/>
    <cellStyle name="Calculation 2 2 3 2 2 2" xfId="7535"/>
    <cellStyle name="Calculation 2 2 4 2 2 2" xfId="7536"/>
    <cellStyle name="Calculation 2 3 2 2 2" xfId="7537"/>
    <cellStyle name="Calculation 2 4 2 2 2" xfId="7538"/>
    <cellStyle name="Calculation 2 5 2 2 2" xfId="7539"/>
    <cellStyle name="Calculation 3 5 2 2" xfId="7540"/>
    <cellStyle name="Header2 2 2 2" xfId="7541"/>
    <cellStyle name="Input 2 5 3 2 2" xfId="7542"/>
    <cellStyle name="Input 2 9 2 2" xfId="7543"/>
    <cellStyle name="Input 2 2 5 2 2" xfId="7544"/>
    <cellStyle name="Input 2 2 2 2 2 2" xfId="7545"/>
    <cellStyle name="Input 2 2 3 2 2 2" xfId="7546"/>
    <cellStyle name="Input 2 2 4 2 2 2" xfId="7547"/>
    <cellStyle name="Input 2 3 2 2 2" xfId="7548"/>
    <cellStyle name="Input 2 4 2 2 2" xfId="7549"/>
    <cellStyle name="Input 2 5 2 2 2" xfId="7550"/>
    <cellStyle name="Input 3 5 2 2" xfId="7551"/>
    <cellStyle name="Input 4 5 2 2" xfId="7552"/>
    <cellStyle name="Input 5 5 2 2" xfId="7553"/>
    <cellStyle name="Input 6 3 2 2" xfId="7554"/>
    <cellStyle name="Input 7 2 2 2" xfId="7555"/>
    <cellStyle name="Input 8 2 2 2" xfId="7556"/>
    <cellStyle name="Calculation 2 5 3 2 2" xfId="7557"/>
    <cellStyle name="Total 2 4 3 2 2" xfId="7558"/>
    <cellStyle name="Total 2 2 4 3 2 2" xfId="7559"/>
    <cellStyle name="Total 2 2 3 3 2 2" xfId="7560"/>
    <cellStyle name="Total 2 12 2 2" xfId="7561"/>
    <cellStyle name="Note 2 9 2 2" xfId="7562"/>
    <cellStyle name="Note 2 2 6 2 2" xfId="7563"/>
    <cellStyle name="Note 2 3 3 2 2" xfId="7564"/>
    <cellStyle name="Note 2 4 3 2 2" xfId="7565"/>
    <cellStyle name="Note 3 7 2 2" xfId="7566"/>
    <cellStyle name="Note 3 2 7 2 2" xfId="7567"/>
    <cellStyle name="Output 2 10 2 2" xfId="7568"/>
    <cellStyle name="Output 2 2 5 2 2" xfId="7569"/>
    <cellStyle name="Output 2 2 2 2 2 2" xfId="7570"/>
    <cellStyle name="Output 2 2 3 2 2 2" xfId="7571"/>
    <cellStyle name="Output 2 2 4 2 2 2" xfId="7572"/>
    <cellStyle name="Output 2 3 2 2 2" xfId="7573"/>
    <cellStyle name="Output 2 4 2 2 2" xfId="7574"/>
    <cellStyle name="Output 2 5 2 2 2" xfId="7575"/>
    <cellStyle name="Output 3 6 2 2" xfId="7576"/>
    <cellStyle name="Input 7 3 2 2" xfId="7577"/>
    <cellStyle name="Input 5 6 2 2" xfId="7578"/>
    <cellStyle name="Input 3 6 2 2" xfId="7579"/>
    <cellStyle name="Input 2 4 3 2 2" xfId="7580"/>
    <cellStyle name="Input 2 2 4 3 2 2" xfId="7581"/>
    <cellStyle name="Input 2 2 2 3 2 2" xfId="7582"/>
    <cellStyle name="Input 2 10 2 2" xfId="7583"/>
    <cellStyle name="Calculation 3 6 2 2" xfId="7584"/>
    <cellStyle name="Calculation 2 4 3 2 2" xfId="7585"/>
    <cellStyle name="Calculation 2 2 4 3 2 2" xfId="7586"/>
    <cellStyle name="Calculation 2 2 2 3 2 2" xfId="7587"/>
    <cellStyle name="Calculation 2 10 2 2" xfId="7588"/>
    <cellStyle name="StmtTtl2 2 2 2" xfId="7589"/>
    <cellStyle name="Total 2 11 2 2" xfId="7590"/>
    <cellStyle name="Total 2 2 5 2 2" xfId="7591"/>
    <cellStyle name="Total 2 2 2 2 2 2" xfId="7592"/>
    <cellStyle name="Total 2 2 3 2 2 2" xfId="7593"/>
    <cellStyle name="Total 2 2 4 2 2 2" xfId="7594"/>
    <cellStyle name="Total 2 3 2 2 2" xfId="7595"/>
    <cellStyle name="Total 2 4 2 2 2" xfId="7596"/>
    <cellStyle name="Total 2 5 2 2 2" xfId="7597"/>
    <cellStyle name="Total 2 6 2 2 2" xfId="7598"/>
    <cellStyle name="Total 3 6 2 2" xfId="7599"/>
    <cellStyle name="Calculation 2 2 2 2 3 2" xfId="7600"/>
    <cellStyle name="Output 3 5 5 2" xfId="7601"/>
    <cellStyle name="Input 12 5 2" xfId="7602"/>
    <cellStyle name="Output 2 5 3 2 2" xfId="7603"/>
    <cellStyle name="Output 2 3 3 2 2" xfId="7604"/>
    <cellStyle name="Output 2 2 3 3 2 2" xfId="7605"/>
    <cellStyle name="Output 2 2 6 2 2" xfId="7606"/>
    <cellStyle name="Note 4 7 2 2" xfId="7607"/>
    <cellStyle name="Note 3 2 2 3 2 2" xfId="7608"/>
    <cellStyle name="Note 3 8 2 2" xfId="7609"/>
    <cellStyle name="Note 2 4 4 2 2" xfId="7610"/>
    <cellStyle name="Note 2 2 7 2 2" xfId="7611"/>
    <cellStyle name="Note 3 2 2 2 2 2" xfId="7612"/>
    <cellStyle name="Note 4 6 2 2" xfId="7613"/>
    <cellStyle name="Total 3 7 2 2" xfId="7614"/>
    <cellStyle name="Total 2 5 3 2 2" xfId="7615"/>
    <cellStyle name="Total 2 3 3 2 2" xfId="7616"/>
    <cellStyle name="Total 2 2 6 2 2" xfId="7617"/>
    <cellStyle name="Total 2 2 2 3 2 2" xfId="7618"/>
    <cellStyle name="StmtTtl2 3 2 2" xfId="7619"/>
    <cellStyle name="Output 3 7 2 2" xfId="7620"/>
    <cellStyle name="Note 2 5 2 2 2" xfId="7621"/>
    <cellStyle name="Note 2 2 2 2 2 2" xfId="7622"/>
    <cellStyle name="Note 2 3 2 2 2 2" xfId="7623"/>
    <cellStyle name="Note 2 4 2 2 2 2" xfId="7624"/>
    <cellStyle name="Note 3 3 2 2 2" xfId="7625"/>
    <cellStyle name="Input 8 3 2 2" xfId="7626"/>
    <cellStyle name="Input 6 4 2 2" xfId="7627"/>
    <cellStyle name="Input 4 6 2 2" xfId="7628"/>
    <cellStyle name="Input 2 3 3 2 2" xfId="7629"/>
    <cellStyle name="Input 2 2 3 3 2 2" xfId="7630"/>
    <cellStyle name="Input 2 2 6 2 2" xfId="7631"/>
    <cellStyle name="Calculation 2 3 3 2 2" xfId="7632"/>
    <cellStyle name="Calculation 2 2 3 3 2 2" xfId="7633"/>
    <cellStyle name="Calculation 2 2 6 2 2" xfId="7634"/>
    <cellStyle name="Output 2 4 3 2 2" xfId="7635"/>
    <cellStyle name="Output 2 2 4 3 2 2" xfId="7636"/>
    <cellStyle name="Output 2 2 2 3 2 2" xfId="7637"/>
    <cellStyle name="Output 2 11 2 2" xfId="7638"/>
    <cellStyle name="Note 3 2 8 2 2" xfId="7639"/>
    <cellStyle name="Note 2 3 4 2 2" xfId="7640"/>
    <cellStyle name="Note 2 10 2 2" xfId="7641"/>
    <cellStyle name="Note 4 2 5 2 2" xfId="7642"/>
    <cellStyle name="Style 21 3 2" xfId="7643"/>
    <cellStyle name="Style 21 2 3 2" xfId="7644"/>
    <cellStyle name="Style 22 3 2" xfId="7645"/>
    <cellStyle name="Style 22 2 3 2" xfId="7646"/>
    <cellStyle name="Style 23 3 2" xfId="7647"/>
    <cellStyle name="Style 23 2 3 2" xfId="7648"/>
    <cellStyle name="Style 24 3 2" xfId="7649"/>
    <cellStyle name="Style 24 2 3 2" xfId="7650"/>
    <cellStyle name="Style 25 3 2" xfId="7651"/>
    <cellStyle name="Style 25 2 3 2" xfId="7652"/>
    <cellStyle name="Style 26 3 2" xfId="7653"/>
    <cellStyle name="Style 26 2 3 2" xfId="7654"/>
    <cellStyle name="styleColumnTitles 3 2" xfId="7655"/>
    <cellStyle name="styleColumnTitles 2 3 2" xfId="7656"/>
    <cellStyle name="styleDateRange 3 2" xfId="7657"/>
    <cellStyle name="styleDateRange 2 3 2" xfId="7658"/>
    <cellStyle name="styleSeriesAttributes 3 2" xfId="7659"/>
    <cellStyle name="styleSeriesAttributes 2 3 2" xfId="7660"/>
    <cellStyle name="styleSeriesData 3 2" xfId="7661"/>
    <cellStyle name="styleSeriesData 2 3 2" xfId="7662"/>
    <cellStyle name="styleSeriesDataForecast 3 2" xfId="7663"/>
    <cellStyle name="styleSeriesDataForecast 2 3 2" xfId="7664"/>
    <cellStyle name="styleSeriesDataForecastNA 3 2" xfId="7665"/>
    <cellStyle name="styleSeriesDataForecastNA 2 3 2" xfId="7666"/>
    <cellStyle name="styleSeriesDataNA 3 2" xfId="7667"/>
    <cellStyle name="styleSeriesDataNA 2 3 2" xfId="7668"/>
    <cellStyle name="Style 21 2 2 2 2" xfId="7669"/>
    <cellStyle name="Style 22 2 2 2 2" xfId="7670"/>
    <cellStyle name="Style 23 2 2 2 2" xfId="7671"/>
    <cellStyle name="Style 24 2 2 2 2" xfId="7672"/>
    <cellStyle name="Style 25 2 2 2 2" xfId="7673"/>
    <cellStyle name="Style 26 2 2 2 2" xfId="7674"/>
    <cellStyle name="styleColumnTitles 2 2 2 2" xfId="7675"/>
    <cellStyle name="styleDateRange 2 2 2 2" xfId="7676"/>
    <cellStyle name="styleSeriesAttributes 2 2 2 2" xfId="7677"/>
    <cellStyle name="styleSeriesData 2 2 2 2" xfId="7678"/>
    <cellStyle name="styleSeriesDataForecast 2 2 2 2" xfId="7679"/>
    <cellStyle name="styleSeriesDataForecastNA 2 2 2 2" xfId="7680"/>
    <cellStyle name="styleSeriesDataNA 2 2 2 2" xfId="7681"/>
    <cellStyle name="Total 2 6 3 2 2" xfId="7682"/>
    <cellStyle name="Note 3 3 3 3 2" xfId="7683"/>
    <cellStyle name="Note 5 2 3 5 2" xfId="7684"/>
    <cellStyle name="Input 4 3 5 2" xfId="7685"/>
    <cellStyle name="Calculation 7 2 2 2" xfId="7686"/>
    <cellStyle name="Calculation 2 6 2 2 2" xfId="7687"/>
    <cellStyle name="Calculation 3 2 2 2 2" xfId="7688"/>
    <cellStyle name="Calculation 4 2 2 2 2" xfId="7689"/>
    <cellStyle name="Calculation 5 4 2 2" xfId="7690"/>
    <cellStyle name="Output 9 2 2 2" xfId="7691"/>
    <cellStyle name="Input 10 2 2 2" xfId="7692"/>
    <cellStyle name="Input 2 6 2 2 2" xfId="7693"/>
    <cellStyle name="Input 3 2 2 2 2" xfId="7694"/>
    <cellStyle name="Input 4 2 2 2 2" xfId="7695"/>
    <cellStyle name="Input 5 2 2 2 2" xfId="7696"/>
    <cellStyle name="Note 11 2 2 2" xfId="7697"/>
    <cellStyle name="Note 2 6 2 2 2" xfId="7698"/>
    <cellStyle name="Note 2 2 3 2 2 2" xfId="7699"/>
    <cellStyle name="Note 3 4 2 2 2" xfId="7700"/>
    <cellStyle name="Note 3 2 4 2 2 2" xfId="7701"/>
    <cellStyle name="Note 4 3 2 2 2" xfId="7702"/>
    <cellStyle name="Note 4 2 2 2 2 2" xfId="7703"/>
    <cellStyle name="Note 5 5 2 2" xfId="7704"/>
    <cellStyle name="Note 5 2 4 2 2" xfId="7705"/>
    <cellStyle name="Note 6 5 2 2" xfId="7706"/>
    <cellStyle name="Note 6 2 4 2 2" xfId="7707"/>
    <cellStyle name="Note 7 5 2 2" xfId="7708"/>
    <cellStyle name="Note 7 2 4 2 2" xfId="7709"/>
    <cellStyle name="Note 8 4 2 2" xfId="7710"/>
    <cellStyle name="Note 9 3 2 2" xfId="7711"/>
    <cellStyle name="Output 7 2 2 2" xfId="7712"/>
    <cellStyle name="Output 2 6 2 2 2" xfId="7713"/>
    <cellStyle name="Output 3 2 2 2 2" xfId="7714"/>
    <cellStyle name="Output 4 2 2 2 2" xfId="7715"/>
    <cellStyle name="Output 5 5 2 2" xfId="7716"/>
    <cellStyle name="Total 7 2 2 2" xfId="7717"/>
    <cellStyle name="Total 2 7 2 2 2" xfId="7718"/>
    <cellStyle name="Total 3 2 2 2 2" xfId="7719"/>
    <cellStyle name="Total 4 2 2 2 2" xfId="7720"/>
    <cellStyle name="Total 5 5 2 2" xfId="7721"/>
    <cellStyle name="Calculation 8 2 2 2" xfId="7722"/>
    <cellStyle name="Input 12 2 2 2" xfId="7723"/>
    <cellStyle name="Input 11 2 2 2" xfId="7724"/>
    <cellStyle name="Calculation 9 2 2 2" xfId="7725"/>
    <cellStyle name="Output 8 2 2 2" xfId="7726"/>
    <cellStyle name="Total 8 2 2 2" xfId="7727"/>
    <cellStyle name="Total 9 2 2 2" xfId="7728"/>
    <cellStyle name="Note 2 3 2 3 3 2" xfId="7729"/>
    <cellStyle name="Note 7 4 5 2" xfId="7730"/>
    <cellStyle name="Note 13 5 2" xfId="7731"/>
    <cellStyle name="Calculation 10 5 2" xfId="7732"/>
    <cellStyle name="Output 5 2 2 2 2" xfId="7733"/>
    <cellStyle name="Output 4 3 2 2 2" xfId="7734"/>
    <cellStyle name="Output 3 3 2 2 2" xfId="7735"/>
    <cellStyle name="Output 2 7 2 2 2" xfId="7736"/>
    <cellStyle name="Output 11 2 2 2" xfId="7737"/>
    <cellStyle name="Input 5 3 2 2 2" xfId="7738"/>
    <cellStyle name="Input 4 3 2 2 2" xfId="7739"/>
    <cellStyle name="Input 3 3 2 2 2" xfId="7740"/>
    <cellStyle name="Input 2 7 2 2 2" xfId="7741"/>
    <cellStyle name="Calculation 10 2 2 2" xfId="7742"/>
    <cellStyle name="Input 14 2 2 2" xfId="7743"/>
    <cellStyle name="Input 16 2 2 2" xfId="7744"/>
    <cellStyle name="Input 17 2 2 2" xfId="7745"/>
    <cellStyle name="Input 15 2 2 2" xfId="7746"/>
    <cellStyle name="Input 13 2 2 2" xfId="7747"/>
    <cellStyle name="Calculation 5 2 2 2 2" xfId="7748"/>
    <cellStyle name="Calculation 4 3 2 2 2" xfId="7749"/>
    <cellStyle name="Calculation 3 3 2 2 2" xfId="7750"/>
    <cellStyle name="Calculation 2 7 2 2 2" xfId="7751"/>
    <cellStyle name="Calculation 11 2 2 2" xfId="7752"/>
    <cellStyle name="Output 10 2 2 2" xfId="7753"/>
    <cellStyle name="Note 12 2 2 2" xfId="7754"/>
    <cellStyle name="Note 2 7 2 2 2" xfId="7755"/>
    <cellStyle name="Note 2 2 4 2 2 2" xfId="7756"/>
    <cellStyle name="Note 3 5 2 2 2" xfId="7757"/>
    <cellStyle name="Note 3 2 5 2 2 2" xfId="7758"/>
    <cellStyle name="Note 4 4 2 2 2" xfId="7759"/>
    <cellStyle name="Note 4 2 3 2 2 2" xfId="7760"/>
    <cellStyle name="Note 5 3 2 2 2" xfId="7761"/>
    <cellStyle name="Note 5 2 2 2 2 2" xfId="7762"/>
    <cellStyle name="Note 6 3 2 2 2" xfId="7763"/>
    <cellStyle name="Note 6 2 2 2 2 2" xfId="7764"/>
    <cellStyle name="Note 7 3 2 2 2" xfId="7765"/>
    <cellStyle name="Note 7 2 2 2 2 2" xfId="7766"/>
    <cellStyle name="Note 8 2 2 2 2" xfId="7767"/>
    <cellStyle name="Note 9 2 2 2 2" xfId="7768"/>
    <cellStyle name="Output 12 2 2 2" xfId="7769"/>
    <cellStyle name="Output 2 8 2 2 2" xfId="7770"/>
    <cellStyle name="Output 3 4 2 2 2" xfId="7771"/>
    <cellStyle name="Output 4 4 2 2 2" xfId="7772"/>
    <cellStyle name="Output 5 3 2 2 2" xfId="7773"/>
    <cellStyle name="Total 10 2 2 2" xfId="7774"/>
    <cellStyle name="Total 11 2 2 2" xfId="7775"/>
    <cellStyle name="Total 2 8 2 2 2" xfId="7776"/>
    <cellStyle name="Total 3 3 2 2 2" xfId="7777"/>
    <cellStyle name="Total 4 3 2 2 2" xfId="7778"/>
    <cellStyle name="Total 5 2 2 2 2" xfId="7779"/>
    <cellStyle name="Total 12 2 2 2" xfId="7780"/>
    <cellStyle name="Total 2 9 2 2 2" xfId="7781"/>
    <cellStyle name="Total 3 4 2 2 2" xfId="7782"/>
    <cellStyle name="Total 4 4 2 2 2" xfId="7783"/>
    <cellStyle name="Total 5 3 2 2 2" xfId="7784"/>
    <cellStyle name="Note 2 5 3 3 2" xfId="7785"/>
    <cellStyle name="Note 6 4 5 2" xfId="7786"/>
    <cellStyle name="Calculation 12 5 2" xfId="7787"/>
    <cellStyle name="Input 3 3 5 2" xfId="7788"/>
    <cellStyle name="Input 18 2 2 2" xfId="7789"/>
    <cellStyle name="Calculation 12 2 2 2" xfId="7790"/>
    <cellStyle name="Input 19 2 2 2" xfId="7791"/>
    <cellStyle name="Note 13 2 2 2" xfId="7792"/>
    <cellStyle name="Output 13 2 2 2" xfId="7793"/>
    <cellStyle name="Total 13 2 2 2" xfId="7794"/>
    <cellStyle name="Calculation 2 8 2 2 2" xfId="7795"/>
    <cellStyle name="Calculation 3 4 2 2 2" xfId="7796"/>
    <cellStyle name="Calculation 4 4 2 2 2" xfId="7797"/>
    <cellStyle name="Calculation 5 3 2 2 2" xfId="7798"/>
    <cellStyle name="Input 2 8 2 2 2" xfId="7799"/>
    <cellStyle name="Input 3 4 2 2 2" xfId="7800"/>
    <cellStyle name="Input 4 4 2 2 2" xfId="7801"/>
    <cellStyle name="Input 5 4 2 2 2" xfId="7802"/>
    <cellStyle name="Note 2 8 2 2 2" xfId="7803"/>
    <cellStyle name="Note 2 2 5 2 2 2" xfId="7804"/>
    <cellStyle name="Note 3 6 2 2 2" xfId="7805"/>
    <cellStyle name="Note 3 2 6 2 2 2" xfId="7806"/>
    <cellStyle name="Note 4 5 2 2 2" xfId="7807"/>
    <cellStyle name="Note 4 2 4 2 2 2" xfId="7808"/>
    <cellStyle name="Note 5 4 2 2 2" xfId="7809"/>
    <cellStyle name="Note 5 2 3 2 2 2" xfId="7810"/>
    <cellStyle name="Note 6 4 2 2 2" xfId="7811"/>
    <cellStyle name="Note 6 2 3 2 2 2" xfId="7812"/>
    <cellStyle name="Note 7 4 2 2 2" xfId="7813"/>
    <cellStyle name="Note 7 2 3 2 2 2" xfId="7814"/>
    <cellStyle name="Note 8 3 2 2 2" xfId="7815"/>
    <cellStyle name="Output 2 9 2 2 2" xfId="7816"/>
    <cellStyle name="Output 3 5 2 2 2" xfId="7817"/>
    <cellStyle name="Output 4 5 2 2 2" xfId="7818"/>
    <cellStyle name="Output 5 4 2 2 2" xfId="7819"/>
    <cellStyle name="Total 2 10 2 2 2" xfId="7820"/>
    <cellStyle name="Total 3 5 2 2 2" xfId="7821"/>
    <cellStyle name="Total 4 5 2 2 2" xfId="7822"/>
    <cellStyle name="Total 5 4 2 2 2" xfId="7823"/>
    <cellStyle name="Input 20 2 2 2" xfId="7824"/>
    <cellStyle name="Input 21 2 2 2" xfId="7825"/>
    <cellStyle name="Note 2 9 3 2" xfId="7826"/>
    <cellStyle name="Note 2 2 6 3 2" xfId="7827"/>
    <cellStyle name="Note 2 3 3 3 2" xfId="7828"/>
    <cellStyle name="Note 2 4 3 3 2" xfId="7829"/>
    <cellStyle name="Note 3 7 3 2" xfId="7830"/>
    <cellStyle name="Note 3 2 7 3 2" xfId="7831"/>
    <cellStyle name="Output 2 10 3 2" xfId="7832"/>
    <cellStyle name="Output 2 2 5 3 2" xfId="7833"/>
    <cellStyle name="Output 2 2 2 2 3 2" xfId="7834"/>
    <cellStyle name="Output 2 2 3 2 3 2" xfId="7835"/>
    <cellStyle name="Output 2 2 4 2 3 2" xfId="7836"/>
    <cellStyle name="Output 2 3 2 3 2" xfId="7837"/>
    <cellStyle name="Output 2 4 2 3 2" xfId="7838"/>
    <cellStyle name="Output 2 5 2 3 2" xfId="7839"/>
    <cellStyle name="Output 3 6 3 2" xfId="7840"/>
    <cellStyle name="Input 7 3 3 2" xfId="7841"/>
    <cellStyle name="Input 5 6 3 2" xfId="7842"/>
    <cellStyle name="Input 3 6 3 2" xfId="7843"/>
    <cellStyle name="Input 2 4 3 3 2" xfId="7844"/>
    <cellStyle name="Input 2 2 4 3 3 2" xfId="7845"/>
    <cellStyle name="Input 2 2 2 3 3 2" xfId="7846"/>
    <cellStyle name="Input 2 10 3 2" xfId="7847"/>
    <cellStyle name="Calculation 3 6 3 2" xfId="7848"/>
    <cellStyle name="Calculation 2 4 3 3 2" xfId="7849"/>
    <cellStyle name="Calculation 2 2 4 3 3 2" xfId="7850"/>
    <cellStyle name="Calculation 2 2 2 3 3 2" xfId="7851"/>
    <cellStyle name="Calculation 2 10 3 2" xfId="7852"/>
    <cellStyle name="StmtTtl2 2 3 2" xfId="7853"/>
    <cellStyle name="Total 2 11 3 2" xfId="7854"/>
    <cellStyle name="Total 2 2 5 3 2" xfId="7855"/>
    <cellStyle name="Total 2 2 2 2 3 2" xfId="7856"/>
    <cellStyle name="Total 2 2 3 2 3 2" xfId="7857"/>
    <cellStyle name="Total 2 2 4 2 3 2" xfId="7858"/>
    <cellStyle name="Total 2 3 2 3 2" xfId="7859"/>
    <cellStyle name="Total 2 4 2 3 2" xfId="7860"/>
    <cellStyle name="Total 2 5 2 3 2" xfId="7861"/>
    <cellStyle name="Total 2 6 2 3 2" xfId="7862"/>
    <cellStyle name="Total 3 6 3 2" xfId="7863"/>
    <cellStyle name="Output 2 5 3 3 2" xfId="7864"/>
    <cellStyle name="Output 2 3 3 3 2" xfId="7865"/>
    <cellStyle name="Output 2 2 3 3 3 2" xfId="7866"/>
    <cellStyle name="Output 2 2 6 3 2" xfId="7867"/>
    <cellStyle name="Note 4 7 3 2" xfId="7868"/>
    <cellStyle name="Note 3 2 2 3 3 2" xfId="7869"/>
    <cellStyle name="Note 3 8 3 2" xfId="7870"/>
    <cellStyle name="Note 2 4 4 3 2" xfId="7871"/>
    <cellStyle name="Note 2 2 7 3 2" xfId="7872"/>
    <cellStyle name="Note 3 2 2 2 3 2" xfId="7873"/>
    <cellStyle name="Note 4 6 3 2" xfId="7874"/>
    <cellStyle name="Total 3 7 3 2" xfId="7875"/>
    <cellStyle name="Total 2 5 3 3 2" xfId="7876"/>
    <cellStyle name="Total 2 3 3 3 2" xfId="7877"/>
    <cellStyle name="Total 2 2 6 3 2" xfId="7878"/>
    <cellStyle name="Total 2 2 2 3 3 2" xfId="7879"/>
    <cellStyle name="StmtTtl2 3 3 2" xfId="7880"/>
    <cellStyle name="Output 3 7 3 2" xfId="7881"/>
    <cellStyle name="Note 2 5 2 3 2" xfId="7882"/>
    <cellStyle name="Note 2 2 2 2 3 2" xfId="7883"/>
    <cellStyle name="Note 2 3 2 2 3 2" xfId="7884"/>
    <cellStyle name="Note 2 4 2 2 3 2" xfId="7885"/>
    <cellStyle name="Note 3 3 2 3 2" xfId="7886"/>
    <cellStyle name="Input 8 3 3 2" xfId="7887"/>
    <cellStyle name="Input 6 4 3 2" xfId="7888"/>
    <cellStyle name="Input 4 6 3 2" xfId="7889"/>
    <cellStyle name="Input 2 3 3 3 2" xfId="7890"/>
    <cellStyle name="Input 2 2 3 3 3 2" xfId="7891"/>
    <cellStyle name="Input 2 2 6 3 2" xfId="7892"/>
    <cellStyle name="Calculation 2 3 3 3 2" xfId="7893"/>
    <cellStyle name="Calculation 2 2 3 3 3 2" xfId="7894"/>
    <cellStyle name="Calculation 2 2 6 3 2" xfId="7895"/>
    <cellStyle name="Output 2 4 3 3 2" xfId="7896"/>
    <cellStyle name="Output 2 2 4 3 3 2" xfId="7897"/>
    <cellStyle name="Output 2 2 2 3 3 2" xfId="7898"/>
    <cellStyle name="Output 2 11 3 2" xfId="7899"/>
    <cellStyle name="Note 3 2 8 3 2" xfId="7900"/>
    <cellStyle name="Note 2 3 4 3 2" xfId="7901"/>
    <cellStyle name="Note 2 10 3 2" xfId="7902"/>
    <cellStyle name="Note 4 2 5 3 2" xfId="7903"/>
    <cellStyle name="Style 21 4 2" xfId="7904"/>
    <cellStyle name="Style 21 2 4 2" xfId="7905"/>
    <cellStyle name="Style 22 4 2" xfId="7906"/>
    <cellStyle name="Style 22 2 4 2" xfId="7907"/>
    <cellStyle name="Style 23 4 2" xfId="7908"/>
    <cellStyle name="Style 23 2 4 2" xfId="7909"/>
    <cellStyle name="Style 24 4 2" xfId="7910"/>
    <cellStyle name="Style 24 2 4 2" xfId="7911"/>
    <cellStyle name="Style 25 4 2" xfId="7912"/>
    <cellStyle name="Style 25 2 4 2" xfId="7913"/>
    <cellStyle name="Style 26 4 2" xfId="7914"/>
    <cellStyle name="Style 26 2 4 2" xfId="7915"/>
    <cellStyle name="styleColumnTitles 4 2" xfId="7916"/>
    <cellStyle name="styleColumnTitles 2 4 2" xfId="7917"/>
    <cellStyle name="styleDateRange 4 2" xfId="7918"/>
    <cellStyle name="styleDateRange 2 4 2" xfId="7919"/>
    <cellStyle name="styleSeriesAttributes 4 2" xfId="7920"/>
    <cellStyle name="styleSeriesAttributes 2 4 2" xfId="7921"/>
    <cellStyle name="styleSeriesData 4 2" xfId="7922"/>
    <cellStyle name="styleSeriesData 2 4 2" xfId="7923"/>
    <cellStyle name="styleSeriesDataForecast 4 2" xfId="7924"/>
    <cellStyle name="styleSeriesDataForecast 2 4 2" xfId="7925"/>
    <cellStyle name="styleSeriesDataForecastNA 4 2" xfId="7926"/>
    <cellStyle name="styleSeriesDataForecastNA 2 4 2" xfId="7927"/>
    <cellStyle name="styleSeriesDataNA 4 2" xfId="7928"/>
    <cellStyle name="styleSeriesDataNA 2 4 2" xfId="7929"/>
    <cellStyle name="Style 21 2 2 3 2" xfId="7930"/>
    <cellStyle name="Style 22 2 2 3 2" xfId="7931"/>
    <cellStyle name="Style 23 2 2 3 2" xfId="7932"/>
    <cellStyle name="Style 24 2 2 3 2" xfId="7933"/>
    <cellStyle name="Style 25 2 2 3 2" xfId="7934"/>
    <cellStyle name="Style 26 2 2 3 2" xfId="7935"/>
    <cellStyle name="styleColumnTitles 2 2 3 2" xfId="7936"/>
    <cellStyle name="styleDateRange 2 2 3 2" xfId="7937"/>
    <cellStyle name="styleSeriesAttributes 2 2 3 2" xfId="7938"/>
    <cellStyle name="styleSeriesData 2 2 3 2" xfId="7939"/>
    <cellStyle name="styleSeriesDataForecast 2 2 3 2" xfId="7940"/>
    <cellStyle name="styleSeriesDataForecastNA 2 2 3 2" xfId="7941"/>
    <cellStyle name="styleSeriesDataNA 2 2 3 2" xfId="7942"/>
    <cellStyle name="Total 2 6 3 3 2" xfId="7943"/>
    <cellStyle name="Calculation 7 2 3 2" xfId="7944"/>
    <cellStyle name="Calculation 2 6 2 3 2" xfId="7945"/>
    <cellStyle name="Calculation 3 2 2 3 2" xfId="7946"/>
    <cellStyle name="Calculation 4 2 2 3 2" xfId="7947"/>
    <cellStyle name="Calculation 5 4 3 2" xfId="7948"/>
    <cellStyle name="Output 9 2 3 2" xfId="7949"/>
    <cellStyle name="Input 10 2 3 2" xfId="7950"/>
    <cellStyle name="Input 2 6 2 3 2" xfId="7951"/>
    <cellStyle name="Input 3 2 2 3 2" xfId="7952"/>
    <cellStyle name="Input 4 2 2 3 2" xfId="7953"/>
    <cellStyle name="Input 5 2 2 3 2" xfId="7954"/>
    <cellStyle name="Note 11 2 3 2" xfId="7955"/>
    <cellStyle name="Note 2 6 2 3 2" xfId="7956"/>
    <cellStyle name="Note 2 2 3 2 3 2" xfId="7957"/>
    <cellStyle name="Note 3 4 2 3 2" xfId="7958"/>
    <cellStyle name="Note 3 2 4 2 3 2" xfId="7959"/>
    <cellStyle name="Note 4 3 2 3 2" xfId="7960"/>
    <cellStyle name="Note 4 2 2 2 3 2" xfId="7961"/>
    <cellStyle name="Note 5 5 3 2" xfId="7962"/>
    <cellStyle name="Note 5 2 4 3 2" xfId="7963"/>
    <cellStyle name="Note 6 5 3 2" xfId="7964"/>
    <cellStyle name="Note 6 2 4 3 2" xfId="7965"/>
    <cellStyle name="Note 7 5 3 2" xfId="7966"/>
    <cellStyle name="Note 7 2 4 3 2" xfId="7967"/>
    <cellStyle name="Note 8 4 3 2" xfId="7968"/>
    <cellStyle name="Note 9 3 3 2" xfId="7969"/>
    <cellStyle name="Output 7 2 3 2" xfId="7970"/>
    <cellStyle name="Output 2 6 2 3 2" xfId="7971"/>
    <cellStyle name="Output 3 2 2 3 2" xfId="7972"/>
    <cellStyle name="Output 4 2 2 3 2" xfId="7973"/>
    <cellStyle name="Output 5 5 3 2" xfId="7974"/>
    <cellStyle name="Total 7 2 3 2" xfId="7975"/>
    <cellStyle name="Total 2 7 2 3 2" xfId="7976"/>
    <cellStyle name="Total 3 2 2 3 2" xfId="7977"/>
    <cellStyle name="Total 4 2 2 3 2" xfId="7978"/>
    <cellStyle name="Total 5 5 3 2" xfId="7979"/>
    <cellStyle name="Calculation 8 2 3 2" xfId="7980"/>
    <cellStyle name="Input 12 2 3 2" xfId="7981"/>
    <cellStyle name="Input 11 2 3 2" xfId="7982"/>
    <cellStyle name="Calculation 9 2 3 2" xfId="7983"/>
    <cellStyle name="Output 8 2 3 2" xfId="7984"/>
    <cellStyle name="Total 8 2 3 2" xfId="7985"/>
    <cellStyle name="Total 9 2 3 2" xfId="7986"/>
    <cellStyle name="Output 5 2 2 3 2" xfId="7987"/>
    <cellStyle name="Output 4 3 2 3 2" xfId="7988"/>
    <cellStyle name="Output 3 3 2 3 2" xfId="7989"/>
    <cellStyle name="Output 2 7 2 3 2" xfId="7990"/>
    <cellStyle name="Output 11 2 3 2" xfId="7991"/>
    <cellStyle name="Input 5 3 2 3 2" xfId="7992"/>
    <cellStyle name="Input 4 3 2 3 2" xfId="7993"/>
    <cellStyle name="Input 3 3 2 3 2" xfId="7994"/>
    <cellStyle name="Input 2 7 2 3 2" xfId="7995"/>
    <cellStyle name="Calculation 10 2 3 2" xfId="7996"/>
    <cellStyle name="Input 14 2 3 2" xfId="7997"/>
    <cellStyle name="Input 16 2 3 2" xfId="7998"/>
    <cellStyle name="Input 17 2 3 2" xfId="7999"/>
    <cellStyle name="Input 15 2 3 2" xfId="8000"/>
    <cellStyle name="Input 13 2 3 2" xfId="8001"/>
    <cellStyle name="Calculation 5 2 2 3 2" xfId="8002"/>
    <cellStyle name="Calculation 4 3 2 3 2" xfId="8003"/>
    <cellStyle name="Calculation 3 3 2 3 2" xfId="8004"/>
    <cellStyle name="Calculation 2 7 2 3 2" xfId="8005"/>
    <cellStyle name="Calculation 11 2 3 2" xfId="8006"/>
    <cellStyle name="Output 10 2 3 2" xfId="8007"/>
    <cellStyle name="Note 12 2 3 2" xfId="8008"/>
    <cellStyle name="Note 2 7 2 3 2" xfId="8009"/>
    <cellStyle name="Note 2 2 4 2 3 2" xfId="8010"/>
    <cellStyle name="Note 3 5 2 3 2" xfId="8011"/>
    <cellStyle name="Note 3 2 5 2 3 2" xfId="8012"/>
    <cellStyle name="Note 4 4 2 3 2" xfId="8013"/>
    <cellStyle name="Note 4 2 3 2 3 2" xfId="8014"/>
    <cellStyle name="Note 5 3 2 3 2" xfId="8015"/>
    <cellStyle name="Note 5 2 2 2 3 2" xfId="8016"/>
    <cellStyle name="Note 6 3 2 3 2" xfId="8017"/>
    <cellStyle name="Note 6 2 2 2 3 2" xfId="8018"/>
    <cellStyle name="Note 7 3 2 3 2" xfId="8019"/>
    <cellStyle name="Note 7 2 2 2 3 2" xfId="8020"/>
    <cellStyle name="Note 8 2 2 3 2" xfId="8021"/>
    <cellStyle name="Note 9 2 2 3 2" xfId="8022"/>
    <cellStyle name="Output 12 2 3 2" xfId="8023"/>
    <cellStyle name="Output 2 8 2 3 2" xfId="8024"/>
    <cellStyle name="Output 3 4 2 3 2" xfId="8025"/>
    <cellStyle name="Output 4 4 2 3 2" xfId="8026"/>
    <cellStyle name="Output 5 3 2 3 2" xfId="8027"/>
    <cellStyle name="Total 10 2 3 2" xfId="8028"/>
    <cellStyle name="Total 11 2 3 2" xfId="8029"/>
    <cellStyle name="Total 2 8 2 3 2" xfId="8030"/>
    <cellStyle name="Total 3 3 2 3 2" xfId="8031"/>
    <cellStyle name="Total 4 3 2 3 2" xfId="8032"/>
    <cellStyle name="Total 5 2 2 3 2" xfId="8033"/>
    <cellStyle name="Total 12 2 3 2" xfId="8034"/>
    <cellStyle name="Total 2 9 2 3 2" xfId="8035"/>
    <cellStyle name="Total 3 4 2 3 2" xfId="8036"/>
    <cellStyle name="Total 4 4 2 3 2" xfId="8037"/>
    <cellStyle name="Total 5 3 2 3 2" xfId="8038"/>
    <cellStyle name="Input 18 2 3 2" xfId="8039"/>
    <cellStyle name="Calculation 12 2 3 2" xfId="8040"/>
    <cellStyle name="Input 19 2 3 2" xfId="8041"/>
    <cellStyle name="Note 13 2 3 2" xfId="8042"/>
    <cellStyle name="Output 13 2 3 2" xfId="8043"/>
    <cellStyle name="Total 13 2 3 2" xfId="8044"/>
    <cellStyle name="Calculation 2 8 2 3 2" xfId="8045"/>
    <cellStyle name="Calculation 3 4 2 3 2" xfId="8046"/>
    <cellStyle name="Calculation 4 4 2 3 2" xfId="8047"/>
    <cellStyle name="Calculation 5 3 2 3 2" xfId="8048"/>
    <cellStyle name="Input 2 8 2 3 2" xfId="8049"/>
    <cellStyle name="Input 3 4 2 3 2" xfId="8050"/>
    <cellStyle name="Input 4 4 2 3 2" xfId="8051"/>
    <cellStyle name="Input 5 4 2 3 2" xfId="8052"/>
    <cellStyle name="Note 2 8 2 3 2" xfId="8053"/>
    <cellStyle name="Note 2 2 5 2 3 2" xfId="8054"/>
    <cellStyle name="Note 3 6 2 3 2" xfId="8055"/>
    <cellStyle name="Note 3 2 6 2 3 2" xfId="8056"/>
    <cellStyle name="Note 4 5 2 3 2" xfId="8057"/>
    <cellStyle name="Note 4 2 4 2 3 2" xfId="8058"/>
    <cellStyle name="Note 5 4 2 3 2" xfId="8059"/>
    <cellStyle name="Note 5 2 3 2 3 2" xfId="8060"/>
    <cellStyle name="Note 6 4 2 3 2" xfId="8061"/>
    <cellStyle name="Note 6 2 3 2 3 2" xfId="8062"/>
    <cellStyle name="Note 7 4 2 3 2" xfId="8063"/>
    <cellStyle name="Note 7 2 3 2 3 2" xfId="8064"/>
    <cellStyle name="Note 8 3 2 3 2" xfId="8065"/>
    <cellStyle name="Output 2 9 2 3 2" xfId="8066"/>
    <cellStyle name="Output 3 5 2 3 2" xfId="8067"/>
    <cellStyle name="Output 4 5 2 3 2" xfId="8068"/>
    <cellStyle name="Output 5 4 2 3 2" xfId="8069"/>
    <cellStyle name="Total 2 10 2 3 2" xfId="8070"/>
    <cellStyle name="Total 3 5 2 3 2" xfId="8071"/>
    <cellStyle name="Total 4 5 2 3 2" xfId="8072"/>
    <cellStyle name="Total 5 4 2 3 2" xfId="8073"/>
    <cellStyle name="Input 20 2 3 2" xfId="8074"/>
    <cellStyle name="Input 21 2 3 2" xfId="8075"/>
    <cellStyle name="20% - Accent1 4 5 2" xfId="8076"/>
    <cellStyle name="20% - Accent2 4 5 2" xfId="8077"/>
    <cellStyle name="20% - Accent3 4 5 2" xfId="8078"/>
    <cellStyle name="20% - Accent4 4 5 2" xfId="8079"/>
    <cellStyle name="20% - Accent5 4 5 2" xfId="8080"/>
    <cellStyle name="20% - Accent6 4 5 2" xfId="8081"/>
    <cellStyle name="40% - Accent1 4 5 2" xfId="8082"/>
    <cellStyle name="40% - Accent2 4 5 2" xfId="8083"/>
    <cellStyle name="40% - Accent3 4 5 2" xfId="8084"/>
    <cellStyle name="40% - Accent4 4 5 2" xfId="8085"/>
    <cellStyle name="40% - Accent5 4 5 2" xfId="8086"/>
    <cellStyle name="40% - Accent6 4 5 2" xfId="8087"/>
    <cellStyle name="Normal 10 3 4 2" xfId="8088"/>
    <cellStyle name="Normal 11 3 3 4 2" xfId="8089"/>
    <cellStyle name="Normal 18 3 3 4 2" xfId="8090"/>
    <cellStyle name="Normal 182 3 4 2" xfId="8091"/>
    <cellStyle name="Normal 183 3 4 2" xfId="8092"/>
    <cellStyle name="Normal 184 3 4 2" xfId="8093"/>
    <cellStyle name="Normal 185 2 3 4 2" xfId="8094"/>
    <cellStyle name="Normal 199 3 4 2" xfId="8095"/>
    <cellStyle name="Normal 20 3 3 4 2" xfId="8096"/>
    <cellStyle name="Normal 221 2 4 2" xfId="8097"/>
    <cellStyle name="Normal 222 2 4 2" xfId="8098"/>
    <cellStyle name="Normal 264 4 2" xfId="8099"/>
    <cellStyle name="Normal 3 3 2 3 4 2" xfId="8100"/>
    <cellStyle name="Normal 4 2 2 2 3 4 2" xfId="8101"/>
    <cellStyle name="Normal 4 2 2 4 4 2" xfId="8102"/>
    <cellStyle name="Normal 4 2 3 3 4 2" xfId="8103"/>
    <cellStyle name="Normal 4 2 5 4 2" xfId="8104"/>
    <cellStyle name="Normal 4 3 2 3 4 2" xfId="8105"/>
    <cellStyle name="Normal 4 3 5 4 2" xfId="8106"/>
    <cellStyle name="Normal 4 3 6 4 2" xfId="8107"/>
    <cellStyle name="Normal 4 4 2 3 4 2" xfId="8108"/>
    <cellStyle name="Normal 4 4 4 4 2" xfId="8109"/>
    <cellStyle name="Normal 4 7 4 2" xfId="8110"/>
    <cellStyle name="Normal 49 3 3 4 2" xfId="8111"/>
    <cellStyle name="Normal 5 2 3 4 2" xfId="8112"/>
    <cellStyle name="Normal 5 4 4 2" xfId="8113"/>
    <cellStyle name="Normal 6 2 3 4 2" xfId="8114"/>
    <cellStyle name="Normal 6 4 4 2" xfId="8115"/>
    <cellStyle name="Normal 7 2 3 4 2" xfId="8116"/>
    <cellStyle name="Normal 7 4 4 2" xfId="8117"/>
    <cellStyle name="Normal 8 2 3 4 2" xfId="8118"/>
    <cellStyle name="Normal 8 4 4 2" xfId="8119"/>
    <cellStyle name="Normal 9 3 4 2" xfId="8120"/>
    <cellStyle name="Comma 19 4 2" xfId="8121"/>
    <cellStyle name="Comma 6 10 4 2" xfId="8122"/>
    <cellStyle name="Comma 8 6 4 2" xfId="8123"/>
    <cellStyle name="Normal 51 3 4 2" xfId="8124"/>
    <cellStyle name="Normal 52 3 4 2" xfId="8125"/>
    <cellStyle name="Normal 345 6 2" xfId="8126"/>
    <cellStyle name="Comma 20 4 2" xfId="8127"/>
    <cellStyle name="20% - Accent1 6 6 2" xfId="8128"/>
    <cellStyle name="20% - Accent2 6 6 2" xfId="8129"/>
    <cellStyle name="20% - Accent3 6 6 2" xfId="8130"/>
    <cellStyle name="20% - Accent4 6 6 2" xfId="8131"/>
    <cellStyle name="20% - Accent5 6 6 2" xfId="8132"/>
    <cellStyle name="20% - Accent6 6 6 2" xfId="8133"/>
    <cellStyle name="40% - Accent1 6 6 2" xfId="8134"/>
    <cellStyle name="40% - Accent2 6 6 2" xfId="8135"/>
    <cellStyle name="40% - Accent3 6 6 2" xfId="8136"/>
    <cellStyle name="40% - Accent4 6 6 2" xfId="8137"/>
    <cellStyle name="40% - Accent5 6 6 2" xfId="8138"/>
    <cellStyle name="40% - Accent6 6 6 2" xfId="8139"/>
    <cellStyle name="Calculation 7 6 2" xfId="8140"/>
    <cellStyle name="Calculation 2 6 6 2" xfId="8141"/>
    <cellStyle name="Calculation 3 2 6 2" xfId="8142"/>
    <cellStyle name="Calculation 4 2 6 2" xfId="8143"/>
    <cellStyle name="Calculation 5 7 2" xfId="8144"/>
    <cellStyle name="Output 9 5 2" xfId="8145"/>
    <cellStyle name="Input 10 6 2" xfId="8146"/>
    <cellStyle name="Input 2 6 6 2" xfId="8147"/>
    <cellStyle name="Input 3 2 6 2" xfId="8148"/>
    <cellStyle name="Input 4 2 6 2" xfId="8149"/>
    <cellStyle name="Input 5 2 6 2" xfId="8150"/>
    <cellStyle name="Normal 10 5 4 2" xfId="8151"/>
    <cellStyle name="Normal 11 5 4 2" xfId="8152"/>
    <cellStyle name="Normal 14 3 4 2" xfId="8153"/>
    <cellStyle name="Normal 2 2 2 2 4 2" xfId="8154"/>
    <cellStyle name="Normal 8 6 4 2" xfId="8155"/>
    <cellStyle name="Note 11 5 2" xfId="8156"/>
    <cellStyle name="Note 2 6 5 2" xfId="8157"/>
    <cellStyle name="Note 2 2 3 5 2" xfId="8158"/>
    <cellStyle name="Note 3 4 5 2" xfId="8159"/>
    <cellStyle name="Note 3 2 4 5 2" xfId="8160"/>
    <cellStyle name="Note 4 3 5 2" xfId="8161"/>
    <cellStyle name="Note 4 2 2 5 2" xfId="8162"/>
    <cellStyle name="Note 5 8 2" xfId="8163"/>
    <cellStyle name="Note 5 2 7 2" xfId="8164"/>
    <cellStyle name="Note 6 8 2" xfId="8165"/>
    <cellStyle name="Note 6 2 7 2" xfId="8166"/>
    <cellStyle name="Note 7 8 2" xfId="8167"/>
    <cellStyle name="Note 7 2 7 2" xfId="8168"/>
    <cellStyle name="Note 8 7 2" xfId="8169"/>
    <cellStyle name="Note 9 6 2" xfId="8170"/>
    <cellStyle name="Output 7 5 2" xfId="8171"/>
    <cellStyle name="Output 2 6 5 2" xfId="8172"/>
    <cellStyle name="Output 3 2 5 2" xfId="8173"/>
    <cellStyle name="Output 4 2 5 2" xfId="8174"/>
    <cellStyle name="Output 5 8 2" xfId="8175"/>
    <cellStyle name="Total 7 5 2" xfId="8176"/>
    <cellStyle name="Total 2 7 5 2" xfId="8177"/>
    <cellStyle name="Total 3 2 5 2" xfId="8178"/>
    <cellStyle name="Total 4 2 5 2" xfId="8179"/>
    <cellStyle name="Total 5 8 2" xfId="8180"/>
    <cellStyle name="Calculation 8 6 2" xfId="8181"/>
    <cellStyle name="Input 12 6 2" xfId="8182"/>
    <cellStyle name="Input 11 6 2" xfId="8183"/>
    <cellStyle name="Calculation 9 6 2" xfId="8184"/>
    <cellStyle name="Output 8 5 2" xfId="8185"/>
    <cellStyle name="Total 8 5 2" xfId="8186"/>
    <cellStyle name="Total 9 5 2" xfId="8187"/>
    <cellStyle name="20% - Accent1 6 2 4 2" xfId="8188"/>
    <cellStyle name="20% - Accent2 6 2 4 2" xfId="8189"/>
    <cellStyle name="20% - Accent3 6 2 4 2" xfId="8190"/>
    <cellStyle name="20% - Accent4 6 2 4 2" xfId="8191"/>
    <cellStyle name="20% - Accent5 6 2 4 2" xfId="8192"/>
    <cellStyle name="20% - Accent6 6 2 4 2" xfId="8193"/>
    <cellStyle name="40% - Accent1 6 2 4 2" xfId="8194"/>
    <cellStyle name="40% - Accent2 6 2 4 2" xfId="8195"/>
    <cellStyle name="40% - Accent3 6 2 4 2" xfId="8196"/>
    <cellStyle name="40% - Accent4 6 2 4 2" xfId="8197"/>
    <cellStyle name="Output 5 2 5 2" xfId="8198"/>
    <cellStyle name="Output 4 3 5 2" xfId="8199"/>
    <cellStyle name="Output 3 3 5 2" xfId="8200"/>
    <cellStyle name="Output 2 7 5 2" xfId="8201"/>
    <cellStyle name="Output 11 5 2" xfId="8202"/>
    <cellStyle name="40% - Accent5 6 2 4 2" xfId="8203"/>
    <cellStyle name="40% - Accent6 6 2 4 2" xfId="8204"/>
    <cellStyle name="Input 5 3 6 2" xfId="8205"/>
    <cellStyle name="Input 4 3 6 2" xfId="8206"/>
    <cellStyle name="Input 3 3 6 2" xfId="8207"/>
    <cellStyle name="Input 2 7 6 2" xfId="8208"/>
    <cellStyle name="Calculation 10 6 2" xfId="8209"/>
    <cellStyle name="Input 14 6 2" xfId="8210"/>
    <cellStyle name="Input 16 6 2" xfId="8211"/>
    <cellStyle name="Input 17 6 2" xfId="8212"/>
    <cellStyle name="Input 15 6 2" xfId="8213"/>
    <cellStyle name="Input 13 6 2" xfId="8214"/>
    <cellStyle name="Calculation 5 2 6 2" xfId="8215"/>
    <cellStyle name="Calculation 4 3 6 2" xfId="8216"/>
    <cellStyle name="Calculation 3 3 6 2" xfId="8217"/>
    <cellStyle name="Calculation 2 7 6 2" xfId="8218"/>
    <cellStyle name="Calculation 11 6 2" xfId="8219"/>
    <cellStyle name="Normal 10 6 4 2" xfId="8220"/>
    <cellStyle name="Normal 11 6 4 2" xfId="8221"/>
    <cellStyle name="Normal 14 4 4 2" xfId="8222"/>
    <cellStyle name="Normal 2 2 2 3 4 2" xfId="8223"/>
    <cellStyle name="Normal 8 7 4 2" xfId="8224"/>
    <cellStyle name="Output 10 5 2" xfId="8225"/>
    <cellStyle name="Note 12 5 2" xfId="8226"/>
    <cellStyle name="Note 2 7 5 2" xfId="8227"/>
    <cellStyle name="Note 2 2 4 5 2" xfId="8228"/>
    <cellStyle name="Note 3 5 5 2" xfId="8229"/>
    <cellStyle name="Note 3 2 5 5 2" xfId="8230"/>
    <cellStyle name="Note 4 4 5 2" xfId="8231"/>
    <cellStyle name="Note 4 2 3 5 2" xfId="8232"/>
    <cellStyle name="Note 5 3 5 2" xfId="8233"/>
    <cellStyle name="Note 5 2 2 5 2" xfId="8234"/>
    <cellStyle name="Note 6 3 5 2" xfId="8235"/>
    <cellStyle name="Note 6 2 2 5 2" xfId="8236"/>
    <cellStyle name="Note 7 3 5 2" xfId="8237"/>
    <cellStyle name="Note 7 2 2 5 2" xfId="8238"/>
    <cellStyle name="Note 8 2 5 2" xfId="8239"/>
    <cellStyle name="Note 9 2 5 2" xfId="8240"/>
    <cellStyle name="Output 12 5 2" xfId="8241"/>
    <cellStyle name="Output 2 8 5 2" xfId="8242"/>
    <cellStyle name="Output 3 4 5 2" xfId="8243"/>
    <cellStyle name="Output 4 4 5 2" xfId="8244"/>
    <cellStyle name="Output 5 3 5 2" xfId="8245"/>
    <cellStyle name="Total 10 5 2" xfId="8246"/>
    <cellStyle name="Total 11 5 2" xfId="8247"/>
    <cellStyle name="Total 2 8 5 2" xfId="8248"/>
    <cellStyle name="Total 3 3 5 2" xfId="8249"/>
    <cellStyle name="Total 4 3 5 2" xfId="8250"/>
    <cellStyle name="Total 5 2 5 2" xfId="8251"/>
    <cellStyle name="Total 12 5 2" xfId="8252"/>
    <cellStyle name="Total 2 9 5 2" xfId="8253"/>
    <cellStyle name="Total 3 4 5 2" xfId="8254"/>
    <cellStyle name="Total 4 4 5 2" xfId="8255"/>
    <cellStyle name="Total 5 3 5 2" xfId="8256"/>
    <cellStyle name="20% - Accent1 6 3 4 2" xfId="8257"/>
    <cellStyle name="20% - Accent2 6 3 4 2" xfId="8258"/>
    <cellStyle name="20% - Accent3 6 3 4 2" xfId="8259"/>
    <cellStyle name="20% - Accent4 6 3 4 2" xfId="8260"/>
    <cellStyle name="20% - Accent5 6 3 4 2" xfId="8261"/>
    <cellStyle name="20% - Accent6 6 3 4 2" xfId="8262"/>
    <cellStyle name="40% - Accent1 6 3 4 2" xfId="8263"/>
    <cellStyle name="40% - Accent2 6 3 4 2" xfId="8264"/>
    <cellStyle name="40% - Accent3 6 3 4 2" xfId="8265"/>
    <cellStyle name="40% - Accent4 6 3 4 2" xfId="8266"/>
    <cellStyle name="40% - Accent5 6 3 4 2" xfId="8267"/>
    <cellStyle name="40% - Accent6 6 3 4 2" xfId="8268"/>
    <cellStyle name="Input 18 6 2" xfId="8269"/>
    <cellStyle name="Normal 10 7 4 2" xfId="8270"/>
    <cellStyle name="Normal 11 7 4 2" xfId="8271"/>
    <cellStyle name="Normal 14 5 4 2" xfId="8272"/>
    <cellStyle name="Normal 2 2 2 4 4 2" xfId="8273"/>
    <cellStyle name="Normal 8 8 4 2" xfId="8274"/>
    <cellStyle name="Calculation 12 6 2" xfId="8275"/>
    <cellStyle name="Input 19 6 2" xfId="8276"/>
    <cellStyle name="Note 13 6 2" xfId="8277"/>
    <cellStyle name="Output 13 6 2" xfId="8278"/>
    <cellStyle name="Total 13 6 2" xfId="8279"/>
    <cellStyle name="Normal 8 9 4 2" xfId="8280"/>
    <cellStyle name="Comma 13 4 4 2" xfId="8281"/>
    <cellStyle name="Currency 7 5 4 2" xfId="8282"/>
    <cellStyle name="Calculation 2 8 6 2" xfId="8283"/>
    <cellStyle name="Calculation 3 4 6 2" xfId="8284"/>
    <cellStyle name="Calculation 4 4 6 2" xfId="8285"/>
    <cellStyle name="Calculation 5 3 6 2" xfId="8286"/>
    <cellStyle name="Input 2 8 6 2" xfId="8287"/>
    <cellStyle name="Input 3 4 6 2" xfId="8288"/>
    <cellStyle name="Input 4 4 6 2" xfId="8289"/>
    <cellStyle name="Input 5 4 6 2" xfId="8290"/>
    <cellStyle name="Normal 10 8 4 2" xfId="8291"/>
    <cellStyle name="Note 2 8 6 2" xfId="8292"/>
    <cellStyle name="Note 2 2 5 6 2" xfId="8293"/>
    <cellStyle name="Note 3 6 6 2" xfId="8294"/>
    <cellStyle name="Note 3 2 6 6 2" xfId="8295"/>
    <cellStyle name="Note 4 5 6 2" xfId="8296"/>
    <cellStyle name="Note 4 2 4 6 2" xfId="8297"/>
    <cellStyle name="Note 5 4 6 2" xfId="8298"/>
    <cellStyle name="Note 5 2 3 6 2" xfId="8299"/>
    <cellStyle name="Note 6 4 6 2" xfId="8300"/>
    <cellStyle name="Note 6 2 3 6 2" xfId="8301"/>
    <cellStyle name="Note 7 4 6 2" xfId="8302"/>
    <cellStyle name="Note 7 2 3 6 2" xfId="8303"/>
    <cellStyle name="Note 8 3 6 2" xfId="8304"/>
    <cellStyle name="Output 2 9 6 2" xfId="8305"/>
    <cellStyle name="Output 3 5 6 2" xfId="8306"/>
    <cellStyle name="Output 4 5 6 2" xfId="8307"/>
    <cellStyle name="Output 5 4 6 2" xfId="8308"/>
    <cellStyle name="Total 2 10 6 2" xfId="8309"/>
    <cellStyle name="Total 3 5 6 2" xfId="8310"/>
    <cellStyle name="Total 4 5 6 2" xfId="8311"/>
    <cellStyle name="Total 5 4 6 2" xfId="8312"/>
    <cellStyle name="Normal 11 8 4 2" xfId="8313"/>
    <cellStyle name="Normal 14 6 4 2" xfId="8314"/>
    <cellStyle name="Normal 43 3 4 2" xfId="8315"/>
    <cellStyle name="Normal 44 3 4 2" xfId="8316"/>
    <cellStyle name="Input 20 6 2" xfId="8317"/>
    <cellStyle name="Normal 8 10 4 2" xfId="8318"/>
    <cellStyle name="Comma 13 5 4 2" xfId="8319"/>
    <cellStyle name="Currency 7 6 4 2" xfId="8320"/>
    <cellStyle name="Normal 10 9 4 2" xfId="8321"/>
    <cellStyle name="Normal 11 9 4 2" xfId="8322"/>
    <cellStyle name="Normal 14 7 4 2" xfId="8323"/>
    <cellStyle name="Normal 43 4 4 2" xfId="8324"/>
    <cellStyle name="Normal 44 4 4 2" xfId="8325"/>
    <cellStyle name="Normal 355 4 2" xfId="8326"/>
    <cellStyle name="Comma 22 4 2" xfId="8327"/>
    <cellStyle name="Input 21 6 2" xfId="8328"/>
    <cellStyle name="Normal 8 11 4 2" xfId="8329"/>
    <cellStyle name="Comma 13 6 4 2" xfId="8330"/>
    <cellStyle name="Currency 7 7 4 2" xfId="8331"/>
    <cellStyle name="Normal 10 10 4 2" xfId="8332"/>
    <cellStyle name="Normal 11 10 4 2" xfId="8333"/>
    <cellStyle name="Normal 14 8 4 2" xfId="8334"/>
    <cellStyle name="Normal 43 5 4 2" xfId="8335"/>
    <cellStyle name="Normal 44 5 4 2" xfId="8336"/>
    <cellStyle name="Normal 356 2 2" xfId="8337"/>
    <cellStyle name="Input 10 3 2 2" xfId="8338"/>
    <cellStyle name="Input 2 4 4 2 2" xfId="8339"/>
    <cellStyle name="Input 7 4 2 2" xfId="8340"/>
    <cellStyle name="Note 4 2 6 4 2" xfId="8341"/>
    <cellStyle name="Note 3 3 3 4 2" xfId="8342"/>
    <cellStyle name="Note 2 5 3 4 2" xfId="8343"/>
    <cellStyle name="Note 2 4 2 3 4 2" xfId="8344"/>
    <cellStyle name="Note 2 3 2 3 4 2" xfId="8345"/>
    <cellStyle name="Note 2 2 2 3 4 2" xfId="8346"/>
    <cellStyle name="Input 6 6 2" xfId="8347"/>
    <cellStyle name="Input 4 7 2" xfId="8348"/>
    <cellStyle name="Input 2 4 5 2" xfId="8349"/>
    <cellStyle name="Input 2 2 4 5 2" xfId="8350"/>
    <cellStyle name="Input 2 2 2 5 2" xfId="8351"/>
    <cellStyle name="Input 2 12 2" xfId="8352"/>
    <cellStyle name="Input 24 2" xfId="8353"/>
    <cellStyle name="Note 14 2" xfId="8354"/>
    <cellStyle name="Note 2 11 2" xfId="8355"/>
    <cellStyle name="Note 2 2 8 2" xfId="8356"/>
    <cellStyle name="Calculation 2 9 4 2" xfId="8357"/>
    <cellStyle name="Calculation 2 2 5 4 2" xfId="8358"/>
    <cellStyle name="Calculation 2 2 2 2 4 2" xfId="8359"/>
    <cellStyle name="Calculation 2 2 3 2 4 2" xfId="8360"/>
    <cellStyle name="Calculation 2 2 4 2 4 2" xfId="8361"/>
    <cellStyle name="Calculation 2 3 2 4 2" xfId="8362"/>
    <cellStyle name="Calculation 2 4 2 4 2" xfId="8363"/>
    <cellStyle name="Calculation 2 5 2 4 2" xfId="8364"/>
    <cellStyle name="Calculation 3 5 4 2" xfId="8365"/>
    <cellStyle name="Note 3 2 10 2" xfId="8366"/>
    <cellStyle name="Note 3 2 2 5 2" xfId="8367"/>
    <cellStyle name="Note 4 8 2" xfId="8368"/>
    <cellStyle name="Output 3 8 2 2" xfId="8369"/>
    <cellStyle name="Calculation 2 3 5 2" xfId="8370"/>
    <cellStyle name="Calculation 2 2 4 5 2" xfId="8371"/>
    <cellStyle name="Calculation 2 2 3 5 2" xfId="8372"/>
    <cellStyle name="Calculation 2 2 2 5 2" xfId="8373"/>
    <cellStyle name="Calculation 2 2 8 2" xfId="8374"/>
    <cellStyle name="Calculation 13 2" xfId="8375"/>
    <cellStyle name="Comma 3 2 2 8 3 2 2" xfId="8376"/>
    <cellStyle name="Comma 3 4 5 3 2 2" xfId="8377"/>
    <cellStyle name="Comma 3 5 5 3 2 2" xfId="8378"/>
    <cellStyle name="Comma 4 2 8 3 2 2" xfId="8379"/>
    <cellStyle name="Comma 6 10 2 2 2" xfId="8380"/>
    <cellStyle name="Comma 8 6 2 2 2" xfId="8381"/>
    <cellStyle name="Total 2 2 2 4 2 2" xfId="8382"/>
    <cellStyle name="Total 2 2 4 4 2 2" xfId="8383"/>
    <cellStyle name="Normal 358 2" xfId="8384"/>
    <cellStyle name="Normal 359 2" xfId="8385"/>
    <cellStyle name="Total 14 2" xfId="8386"/>
    <cellStyle name="Header2 2 4 2" xfId="8387"/>
    <cellStyle name="Input 2 5 3 4 2" xfId="8388"/>
    <cellStyle name="Input 2 9 4 2" xfId="8389"/>
    <cellStyle name="Input 2 2 5 4 2" xfId="8390"/>
    <cellStyle name="Input 2 2 2 2 4 2" xfId="8391"/>
    <cellStyle name="Input 2 2 3 2 4 2" xfId="8392"/>
    <cellStyle name="Input 2 2 4 2 4 2" xfId="8393"/>
    <cellStyle name="Input 2 3 2 4 2" xfId="8394"/>
    <cellStyle name="Input 2 4 2 4 2" xfId="8395"/>
    <cellStyle name="Input 2 5 2 4 2" xfId="8396"/>
    <cellStyle name="Input 3 5 4 2" xfId="8397"/>
    <cellStyle name="Input 4 5 4 2" xfId="8398"/>
    <cellStyle name="Input 5 5 4 2" xfId="8399"/>
    <cellStyle name="Input 6 3 4 2" xfId="8400"/>
    <cellStyle name="Input 7 2 4 2" xfId="8401"/>
    <cellStyle name="Input 8 2 4 2" xfId="8402"/>
    <cellStyle name="Normal 10 3 2 2 2" xfId="8403"/>
    <cellStyle name="Normal 11 11 2 2" xfId="8404"/>
    <cellStyle name="Calculation 2 5 3 4 2" xfId="8405"/>
    <cellStyle name="Comma 19 2 2 2" xfId="8406"/>
    <cellStyle name="Total 2 4 3 4 2" xfId="8407"/>
    <cellStyle name="Total 2 2 4 3 4 2" xfId="8408"/>
    <cellStyle name="Total 2 2 3 3 4 2" xfId="8409"/>
    <cellStyle name="Total 2 12 4 2" xfId="8410"/>
    <cellStyle name="Output 14 2" xfId="8411"/>
    <cellStyle name="Note 2 4 6 2" xfId="8412"/>
    <cellStyle name="Normal 18 5 2 2" xfId="8413"/>
    <cellStyle name="Calculation 2 2 7 2 2" xfId="8414"/>
    <cellStyle name="Calculation 2 2 4 4 2 2" xfId="8415"/>
    <cellStyle name="Normal 20 5 2 2" xfId="8416"/>
    <cellStyle name="Header2 3 2 2" xfId="8417"/>
    <cellStyle name="Input 2 2 7 2 2" xfId="8418"/>
    <cellStyle name="Input 2 3 4 2 2" xfId="8419"/>
    <cellStyle name="Input [yellow] 3 2" xfId="8420"/>
    <cellStyle name="Normal 4 2 7 2 2" xfId="8421"/>
    <cellStyle name="Normal 4 2 2 5 2 2" xfId="8422"/>
    <cellStyle name="Normal 4 3 8 2 2" xfId="8423"/>
    <cellStyle name="Normal 4 4 5 2 2" xfId="8424"/>
    <cellStyle name="Normal 4 7 2 2 2" xfId="8425"/>
    <cellStyle name="Normal 49 5 2 2" xfId="8426"/>
    <cellStyle name="Normal 5 4 2 2 2" xfId="8427"/>
    <cellStyle name="Normal 51 3 2 2 2" xfId="8428"/>
    <cellStyle name="Normal 52 3 2 2 2" xfId="8429"/>
    <cellStyle name="Normal 6 4 2 2 2" xfId="8430"/>
    <cellStyle name="Normal 7 4 2 2 2" xfId="8431"/>
    <cellStyle name="Total 2 2 7 2 2" xfId="8432"/>
    <cellStyle name="Total 2 4 4 2 2" xfId="8433"/>
    <cellStyle name="Normal 8 4 2 2 2" xfId="8434"/>
    <cellStyle name="Normal 9 3 2 2 2" xfId="8435"/>
    <cellStyle name="Note 2 9 4 2" xfId="8436"/>
    <cellStyle name="Note 2 2 6 4 2" xfId="8437"/>
    <cellStyle name="Note 2 3 3 4 2" xfId="8438"/>
    <cellStyle name="Note 2 4 3 4 2" xfId="8439"/>
    <cellStyle name="Note 3 7 4 2" xfId="8440"/>
    <cellStyle name="Note 3 2 7 4 2" xfId="8441"/>
    <cellStyle name="Output 2 10 4 2" xfId="8442"/>
    <cellStyle name="Output 2 2 5 4 2" xfId="8443"/>
    <cellStyle name="Output 2 2 2 2 4 2" xfId="8444"/>
    <cellStyle name="Output 2 2 3 2 4 2" xfId="8445"/>
    <cellStyle name="Output 2 2 4 2 4 2" xfId="8446"/>
    <cellStyle name="Output 2 3 2 4 2" xfId="8447"/>
    <cellStyle name="Output 2 4 2 4 2" xfId="8448"/>
    <cellStyle name="Output 2 5 2 4 2" xfId="8449"/>
    <cellStyle name="Output 3 6 4 2" xfId="8450"/>
    <cellStyle name="Input 7 3 4 2" xfId="8451"/>
    <cellStyle name="Input 5 6 4 2" xfId="8452"/>
    <cellStyle name="Input 3 6 4 2" xfId="8453"/>
    <cellStyle name="Input 2 4 3 4 2" xfId="8454"/>
    <cellStyle name="Input 2 2 4 3 4 2" xfId="8455"/>
    <cellStyle name="Input 2 2 2 3 4 2" xfId="8456"/>
    <cellStyle name="Input 2 10 4 2" xfId="8457"/>
    <cellStyle name="Percent 18 5 2 2" xfId="8458"/>
    <cellStyle name="Percent 2 2 2 5 3 2 2" xfId="8459"/>
    <cellStyle name="Percent 20 5 2 2" xfId="8460"/>
    <cellStyle name="Calculation 3 6 4 2" xfId="8461"/>
    <cellStyle name="Calculation 2 4 3 4 2" xfId="8462"/>
    <cellStyle name="Calculation 2 2 4 3 4 2" xfId="8463"/>
    <cellStyle name="Calculation 2 2 2 3 4 2" xfId="8464"/>
    <cellStyle name="Calculation 2 10 4 2" xfId="8465"/>
    <cellStyle name="StmtTtl2 2 4 2" xfId="8466"/>
    <cellStyle name="Total 2 11 4 2" xfId="8467"/>
    <cellStyle name="Total 2 2 5 4 2" xfId="8468"/>
    <cellStyle name="Total 2 2 2 2 4 2" xfId="8469"/>
    <cellStyle name="Total 2 2 3 2 4 2" xfId="8470"/>
    <cellStyle name="Total 2 2 4 2 4 2" xfId="8471"/>
    <cellStyle name="Total 2 3 2 4 2" xfId="8472"/>
    <cellStyle name="Total 2 4 2 4 2" xfId="8473"/>
    <cellStyle name="Total 2 5 2 4 2" xfId="8474"/>
    <cellStyle name="Total 2 6 2 4 2" xfId="8475"/>
    <cellStyle name="Total 3 6 4 2" xfId="8476"/>
    <cellStyle name="20% - Accent1 4 3 2 2" xfId="8477"/>
    <cellStyle name="20% - Accent2 4 3 2 2" xfId="8478"/>
    <cellStyle name="20% - Accent3 4 3 2 2" xfId="8479"/>
    <cellStyle name="20% - Accent4 4 3 2 2" xfId="8480"/>
    <cellStyle name="20% - Accent5 4 3 2 2" xfId="8481"/>
    <cellStyle name="20% - Accent6 4 3 2 2" xfId="8482"/>
    <cellStyle name="40% - Accent1 4 3 2 2" xfId="8483"/>
    <cellStyle name="40% - Accent2 4 3 2 2" xfId="8484"/>
    <cellStyle name="40% - Accent3 4 3 2 2" xfId="8485"/>
    <cellStyle name="40% - Accent4 4 3 2 2" xfId="8486"/>
    <cellStyle name="40% - Accent5 4 3 2 2" xfId="8487"/>
    <cellStyle name="40% - Accent6 4 3 2 2" xfId="8488"/>
    <cellStyle name="Output 2 5 3 4 2" xfId="8489"/>
    <cellStyle name="Input 8 5 2" xfId="8490"/>
    <cellStyle name="Note 3 9 2" xfId="8491"/>
    <cellStyle name="Note 2 3 5 2 2" xfId="8492"/>
    <cellStyle name="Note 2 4 5 2 2" xfId="8493"/>
    <cellStyle name="Note 3 2 9 2 2" xfId="8494"/>
    <cellStyle name="Output 2 12 2 2" xfId="8495"/>
    <cellStyle name="Output 2 2 7 2 2" xfId="8496"/>
    <cellStyle name="Output 2 2 2 4 2 2" xfId="8497"/>
    <cellStyle name="Output 2 3 4 2 2" xfId="8498"/>
    <cellStyle name="Output 2 4 4 2 2" xfId="8499"/>
    <cellStyle name="Normal 11 3 3 2 2 2" xfId="8500"/>
    <cellStyle name="Calculation 2 4 4 2 2" xfId="8501"/>
    <cellStyle name="Normal 18 3 3 2 2 2" xfId="8502"/>
    <cellStyle name="Normal 182 3 2 2 2" xfId="8503"/>
    <cellStyle name="Normal 183 3 2 2 2" xfId="8504"/>
    <cellStyle name="Normal 184 3 2 2 2" xfId="8505"/>
    <cellStyle name="Normal 185 2 3 2 2 2" xfId="8506"/>
    <cellStyle name="Normal 199 3 2 2 2" xfId="8507"/>
    <cellStyle name="Normal 20 3 3 2 2 2" xfId="8508"/>
    <cellStyle name="Input 2 2 2 4 2 2" xfId="8509"/>
    <cellStyle name="Normal 221 2 2 2 2" xfId="8510"/>
    <cellStyle name="Normal 222 2 2 2 2" xfId="8511"/>
    <cellStyle name="Output 2 3 3 4 2" xfId="8512"/>
    <cellStyle name="Output 2 2 3 3 4 2" xfId="8513"/>
    <cellStyle name="Output 2 2 6 4 2" xfId="8514"/>
    <cellStyle name="Note 4 7 4 2" xfId="8515"/>
    <cellStyle name="Note 3 2 2 3 4 2" xfId="8516"/>
    <cellStyle name="Note 3 8 4 2" xfId="8517"/>
    <cellStyle name="Note 2 4 4 4 2" xfId="8518"/>
    <cellStyle name="Note 2 2 7 4 2" xfId="8519"/>
    <cellStyle name="Normal 264 2 2 2" xfId="8520"/>
    <cellStyle name="Input 7 5 2" xfId="8521"/>
    <cellStyle name="Input 3 7 2" xfId="8522"/>
    <cellStyle name="Input 2 2 3 5 2" xfId="8523"/>
    <cellStyle name="Normal 3 3 2 3 2 2 2" xfId="8524"/>
    <cellStyle name="Normal 4 2 2 2 3 2 2 2" xfId="8525"/>
    <cellStyle name="Normal 4 2 2 4 2 2 2" xfId="8526"/>
    <cellStyle name="Normal 4 2 3 3 2 2 2" xfId="8527"/>
    <cellStyle name="Normal 4 2 5 2 2 2" xfId="8528"/>
    <cellStyle name="Normal 4 3 2 3 2 2 2" xfId="8529"/>
    <cellStyle name="Normal 4 3 5 2 2 2" xfId="8530"/>
    <cellStyle name="Normal 4 3 6 2 2 2" xfId="8531"/>
    <cellStyle name="Normal 4 4 2 3 2 2 2" xfId="8532"/>
    <cellStyle name="Normal 4 4 4 2 2 2" xfId="8533"/>
    <cellStyle name="Normal 49 3 3 2 2 2" xfId="8534"/>
    <cellStyle name="Normal 5 2 3 2 2 2" xfId="8535"/>
    <cellStyle name="Normal 6 2 3 2 2 2" xfId="8536"/>
    <cellStyle name="Normal 7 2 3 2 2 2" xfId="8537"/>
    <cellStyle name="Normal 8 2 3 2 2 2" xfId="8538"/>
    <cellStyle name="Note 3 2 2 2 4 2" xfId="8539"/>
    <cellStyle name="Note 4 6 4 2" xfId="8540"/>
    <cellStyle name="Comma 23 2 2" xfId="8541"/>
    <cellStyle name="Percent 240 2 2" xfId="8542"/>
    <cellStyle name="Calculation 2 12 2" xfId="8543"/>
    <cellStyle name="Calculation 2 4 5 2" xfId="8544"/>
    <cellStyle name="Total 2 13 2 2" xfId="8545"/>
    <cellStyle name="Total 3 8 2 2" xfId="8546"/>
    <cellStyle name="Total 2 3 4 2 2" xfId="8547"/>
    <cellStyle name="Total 3 7 4 2" xfId="8548"/>
    <cellStyle name="Total 2 5 3 4 2" xfId="8549"/>
    <cellStyle name="Total 2 3 3 4 2" xfId="8550"/>
    <cellStyle name="Total 2 2 6 4 2" xfId="8551"/>
    <cellStyle name="Total 2 2 2 3 4 2" xfId="8552"/>
    <cellStyle name="StmtTtl2 3 4 2" xfId="8553"/>
    <cellStyle name="Calculation 2 11 2 2" xfId="8554"/>
    <cellStyle name="Input 23 2" xfId="8555"/>
    <cellStyle name="Input 2 11 2 2" xfId="8556"/>
    <cellStyle name="Input 2 2 4 4 2 2" xfId="8557"/>
    <cellStyle name="Input 8 4 2 2" xfId="8558"/>
    <cellStyle name="Output 3 7 4 2" xfId="8559"/>
    <cellStyle name="Input 22 2" xfId="8560"/>
    <cellStyle name="Header2 4 2 2" xfId="8561"/>
    <cellStyle name="StmtTtl2 4 2 2" xfId="8562"/>
    <cellStyle name="Total 2 2 3 4 2 2" xfId="8563"/>
    <cellStyle name="Total 2 5 4 2 2" xfId="8564"/>
    <cellStyle name="Note 2 5 2 4 2" xfId="8565"/>
    <cellStyle name="Note 2 2 2 2 4 2" xfId="8566"/>
    <cellStyle name="Note 2 3 2 2 4 2" xfId="8567"/>
    <cellStyle name="Note 2 4 2 2 4 2" xfId="8568"/>
    <cellStyle name="Note 3 3 2 4 2" xfId="8569"/>
    <cellStyle name="Input 8 3 4 2" xfId="8570"/>
    <cellStyle name="Input 6 4 4 2" xfId="8571"/>
    <cellStyle name="Input 4 6 4 2" xfId="8572"/>
    <cellStyle name="Input 2 3 3 4 2" xfId="8573"/>
    <cellStyle name="Input 2 2 3 3 4 2" xfId="8574"/>
    <cellStyle name="Input 2 2 6 4 2" xfId="8575"/>
    <cellStyle name="Calculation 2 3 3 4 2" xfId="8576"/>
    <cellStyle name="Calculation 2 2 3 3 4 2" xfId="8577"/>
    <cellStyle name="Calculation 2 2 6 4 2" xfId="8578"/>
    <cellStyle name="Calculation 3 8 2" xfId="8579"/>
    <cellStyle name="Note 3 2 2 4 2 2" xfId="8580"/>
    <cellStyle name="Output 2 2 4 4 2 2" xfId="8581"/>
    <cellStyle name="Output 2 2 3 4 2 2" xfId="8582"/>
    <cellStyle name="Input 2 2 3 4 2 2" xfId="8583"/>
    <cellStyle name="Output 2 4 3 4 2" xfId="8584"/>
    <cellStyle name="Output 2 2 4 3 4 2" xfId="8585"/>
    <cellStyle name="Output 2 2 2 3 4 2" xfId="8586"/>
    <cellStyle name="Output 2 11 4 2" xfId="8587"/>
    <cellStyle name="Note 3 2 8 4 2" xfId="8588"/>
    <cellStyle name="Note 2 3 4 4 2" xfId="8589"/>
    <cellStyle name="Note 2 10 4 2" xfId="8590"/>
    <cellStyle name="Input 5 8 2" xfId="8591"/>
    <cellStyle name="Input 2 3 5 2" xfId="8592"/>
    <cellStyle name="Input 2 2 8 2" xfId="8593"/>
    <cellStyle name="Note 4 2 5 4 2" xfId="8594"/>
    <cellStyle name="Style 21 5 2" xfId="8595"/>
    <cellStyle name="Style 21 2 5 2" xfId="8596"/>
    <cellStyle name="Style 22 5 2" xfId="8597"/>
    <cellStyle name="Style 22 2 5 2" xfId="8598"/>
    <cellStyle name="Style 23 5 2" xfId="8599"/>
    <cellStyle name="Style 23 2 5 2" xfId="8600"/>
    <cellStyle name="Style 24 5 2" xfId="8601"/>
    <cellStyle name="Style 24 2 5 2" xfId="8602"/>
    <cellStyle name="Style 25 5 2" xfId="8603"/>
    <cellStyle name="Style 25 2 5 2" xfId="8604"/>
    <cellStyle name="Style 26 5 2" xfId="8605"/>
    <cellStyle name="Style 26 2 5 2" xfId="8606"/>
    <cellStyle name="styleColumnTitles 5 2" xfId="8607"/>
    <cellStyle name="styleColumnTitles 2 5 2" xfId="8608"/>
    <cellStyle name="styleDateRange 5 2" xfId="8609"/>
    <cellStyle name="styleDateRange 2 5 2" xfId="8610"/>
    <cellStyle name="styleSeriesAttributes 5 2" xfId="8611"/>
    <cellStyle name="styleSeriesAttributes 2 5 2" xfId="8612"/>
    <cellStyle name="styleSeriesData 5 2" xfId="8613"/>
    <cellStyle name="styleSeriesData 2 5 2" xfId="8614"/>
    <cellStyle name="styleSeriesDataForecast 5 2" xfId="8615"/>
    <cellStyle name="styleSeriesDataForecast 2 5 2" xfId="8616"/>
    <cellStyle name="styleSeriesDataForecastNA 5 2" xfId="8617"/>
    <cellStyle name="styleSeriesDataForecastNA 2 5 2" xfId="8618"/>
    <cellStyle name="styleSeriesDataNA 5 2" xfId="8619"/>
    <cellStyle name="styleSeriesDataNA 2 5 2" xfId="8620"/>
    <cellStyle name="Style 21 2 2 4 2" xfId="8621"/>
    <cellStyle name="Style 22 2 2 4 2" xfId="8622"/>
    <cellStyle name="Style 23 2 2 4 2" xfId="8623"/>
    <cellStyle name="Style 24 2 2 4 2" xfId="8624"/>
    <cellStyle name="Style 25 2 2 4 2" xfId="8625"/>
    <cellStyle name="Style 26 2 2 4 2" xfId="8626"/>
    <cellStyle name="styleColumnTitles 2 2 4 2" xfId="8627"/>
    <cellStyle name="styleDateRange 2 2 4 2" xfId="8628"/>
    <cellStyle name="styleSeriesAttributes 2 2 4 2" xfId="8629"/>
    <cellStyle name="styleSeriesData 2 2 4 2" xfId="8630"/>
    <cellStyle name="styleSeriesDataForecast 2 2 4 2" xfId="8631"/>
    <cellStyle name="styleSeriesDataForecastNA 2 2 4 2" xfId="8632"/>
    <cellStyle name="styleSeriesDataNA 2 2 4 2" xfId="8633"/>
    <cellStyle name="Calculation 3 7 2 2" xfId="8634"/>
    <cellStyle name="Calculation 2 3 4 2 2" xfId="8635"/>
    <cellStyle name="Calculation 2 2 3 4 2 2" xfId="8636"/>
    <cellStyle name="Calculation 2 2 2 4 2 2" xfId="8637"/>
    <cellStyle name="Note 2 3 6 2" xfId="8638"/>
    <cellStyle name="Total 2 6 3 4 2" xfId="8639"/>
    <cellStyle name="Normal 357 2" xfId="8640"/>
    <cellStyle name="Normal 345 4 2 2" xfId="8641"/>
    <cellStyle name="Comma 20 2 2 2" xfId="8642"/>
    <cellStyle name="20% - Accent1 6 4 2 2" xfId="8643"/>
    <cellStyle name="20% - Accent2 6 4 2 2" xfId="8644"/>
    <cellStyle name="20% - Accent3 6 4 2 2" xfId="8645"/>
    <cellStyle name="20% - Accent4 6 4 2 2" xfId="8646"/>
    <cellStyle name="20% - Accent5 6 4 2 2" xfId="8647"/>
    <cellStyle name="20% - Accent6 6 4 2 2" xfId="8648"/>
    <cellStyle name="40% - Accent1 6 4 2 2" xfId="8649"/>
    <cellStyle name="40% - Accent2 6 4 2 2" xfId="8650"/>
    <cellStyle name="40% - Accent3 6 4 2 2" xfId="8651"/>
    <cellStyle name="40% - Accent4 6 4 2 2" xfId="8652"/>
    <cellStyle name="40% - Accent5 6 4 2 2" xfId="8653"/>
    <cellStyle name="40% - Accent6 6 4 2 2" xfId="8654"/>
    <cellStyle name="Calculation 7 2 4 2" xfId="8655"/>
    <cellStyle name="Calculation 2 6 2 4 2" xfId="8656"/>
    <cellStyle name="Calculation 3 2 2 4 2" xfId="8657"/>
    <cellStyle name="Calculation 4 2 2 4 2" xfId="8658"/>
    <cellStyle name="Calculation 5 4 4 2" xfId="8659"/>
    <cellStyle name="Output 9 2 4 2" xfId="8660"/>
    <cellStyle name="Input 10 2 4 2" xfId="8661"/>
    <cellStyle name="Input 2 6 2 4 2" xfId="8662"/>
    <cellStyle name="Input 3 2 2 4 2" xfId="8663"/>
    <cellStyle name="Input 4 2 2 4 2" xfId="8664"/>
    <cellStyle name="Input 5 2 2 4 2" xfId="8665"/>
    <cellStyle name="Normal 10 5 2 2 2" xfId="8666"/>
    <cellStyle name="Normal 11 5 2 2 2" xfId="8667"/>
    <cellStyle name="Normal 14 3 2 2 2" xfId="8668"/>
    <cellStyle name="Normal 2 2 2 2 2 2 2" xfId="8669"/>
    <cellStyle name="Normal 8 6 2 2 2" xfId="8670"/>
    <cellStyle name="Note 11 2 4 2" xfId="8671"/>
    <cellStyle name="Note 2 6 2 4 2" xfId="8672"/>
    <cellStyle name="Note 2 2 3 2 4 2" xfId="8673"/>
    <cellStyle name="Note 3 4 2 4 2" xfId="8674"/>
    <cellStyle name="Note 3 2 4 2 4 2" xfId="8675"/>
    <cellStyle name="Note 4 3 2 4 2" xfId="8676"/>
    <cellStyle name="Note 4 2 2 2 4 2" xfId="8677"/>
    <cellStyle name="Note 5 5 4 2" xfId="8678"/>
    <cellStyle name="Note 5 2 4 4 2" xfId="8679"/>
    <cellStyle name="Note 6 5 4 2" xfId="8680"/>
    <cellStyle name="Note 6 2 4 4 2" xfId="8681"/>
    <cellStyle name="Note 7 5 4 2" xfId="8682"/>
    <cellStyle name="Note 7 2 4 4 2" xfId="8683"/>
    <cellStyle name="Note 8 4 4 2" xfId="8684"/>
    <cellStyle name="Note 9 3 4 2" xfId="8685"/>
    <cellStyle name="Output 7 2 4 2" xfId="8686"/>
    <cellStyle name="Output 2 6 2 4 2" xfId="8687"/>
    <cellStyle name="Output 3 2 2 4 2" xfId="8688"/>
    <cellStyle name="Output 4 2 2 4 2" xfId="8689"/>
    <cellStyle name="Output 5 5 4 2" xfId="8690"/>
    <cellStyle name="Input 5 7 2 2" xfId="8691"/>
    <cellStyle name="Input 6 5 2 2" xfId="8692"/>
    <cellStyle name="Total 7 2 4 2" xfId="8693"/>
    <cellStyle name="Total 2 7 2 4 2" xfId="8694"/>
    <cellStyle name="Total 3 2 2 4 2" xfId="8695"/>
    <cellStyle name="Total 4 2 2 4 2" xfId="8696"/>
    <cellStyle name="Total 5 5 4 2" xfId="8697"/>
    <cellStyle name="Calculation 8 2 4 2" xfId="8698"/>
    <cellStyle name="Input 12 2 4 2" xfId="8699"/>
    <cellStyle name="Input 11 2 4 2" xfId="8700"/>
    <cellStyle name="Calculation 9 2 4 2" xfId="8701"/>
    <cellStyle name="Output 8 2 4 2" xfId="8702"/>
    <cellStyle name="Total 8 2 4 2" xfId="8703"/>
    <cellStyle name="Total 9 2 4 2" xfId="8704"/>
    <cellStyle name="20% - Accent1 6 2 2 2 2" xfId="8705"/>
    <cellStyle name="20% - Accent2 6 2 2 2 2" xfId="8706"/>
    <cellStyle name="20% - Accent3 6 2 2 2 2" xfId="8707"/>
    <cellStyle name="20% - Accent4 6 2 2 2 2" xfId="8708"/>
    <cellStyle name="20% - Accent5 6 2 2 2 2" xfId="8709"/>
    <cellStyle name="20% - Accent6 6 2 2 2 2" xfId="8710"/>
    <cellStyle name="40% - Accent1 6 2 2 2 2" xfId="8711"/>
    <cellStyle name="40% - Accent2 6 2 2 2 2" xfId="8712"/>
    <cellStyle name="40% - Accent3 6 2 2 2 2" xfId="8713"/>
    <cellStyle name="40% - Accent4 6 2 2 2 2" xfId="8714"/>
    <cellStyle name="Output 5 2 2 4 2" xfId="8715"/>
    <cellStyle name="Output 4 3 2 4 2" xfId="8716"/>
    <cellStyle name="Output 3 3 2 4 2" xfId="8717"/>
    <cellStyle name="Output 2 7 2 4 2" xfId="8718"/>
    <cellStyle name="Output 11 2 4 2" xfId="8719"/>
    <cellStyle name="40% - Accent5 6 2 2 2 2" xfId="8720"/>
    <cellStyle name="40% - Accent6 6 2 2 2 2" xfId="8721"/>
    <cellStyle name="Input 5 3 2 4 2" xfId="8722"/>
    <cellStyle name="Input 4 3 2 4 2" xfId="8723"/>
    <cellStyle name="Input 3 3 2 4 2" xfId="8724"/>
    <cellStyle name="Input 2 7 2 4 2" xfId="8725"/>
    <cellStyle name="Calculation 10 2 4 2" xfId="8726"/>
    <cellStyle name="Input 14 2 4 2" xfId="8727"/>
    <cellStyle name="Input 16 2 4 2" xfId="8728"/>
    <cellStyle name="Input 17 2 4 2" xfId="8729"/>
    <cellStyle name="Input 15 2 4 2" xfId="8730"/>
    <cellStyle name="Input 13 2 4 2" xfId="8731"/>
    <cellStyle name="Calculation 5 2 2 4 2" xfId="8732"/>
    <cellStyle name="Calculation 4 3 2 4 2" xfId="8733"/>
    <cellStyle name="Calculation 3 3 2 4 2" xfId="8734"/>
    <cellStyle name="Calculation 2 7 2 4 2" xfId="8735"/>
    <cellStyle name="Calculation 11 2 4 2" xfId="8736"/>
    <cellStyle name="Normal 10 6 2 2 2" xfId="8737"/>
    <cellStyle name="Normal 11 6 2 2 2" xfId="8738"/>
    <cellStyle name="Normal 14 4 2 2 2" xfId="8739"/>
    <cellStyle name="Normal 2 2 2 3 2 2 2" xfId="8740"/>
    <cellStyle name="Normal 8 7 2 2 2" xfId="8741"/>
    <cellStyle name="Output 10 2 4 2" xfId="8742"/>
    <cellStyle name="Note 12 2 4 2" xfId="8743"/>
    <cellStyle name="Note 2 7 2 4 2" xfId="8744"/>
    <cellStyle name="Note 2 2 4 2 4 2" xfId="8745"/>
    <cellStyle name="Note 3 5 2 4 2" xfId="8746"/>
    <cellStyle name="Note 3 2 5 2 4 2" xfId="8747"/>
    <cellStyle name="Note 4 4 2 4 2" xfId="8748"/>
    <cellStyle name="Note 4 2 3 2 4 2" xfId="8749"/>
    <cellStyle name="Note 5 3 2 4 2" xfId="8750"/>
    <cellStyle name="Note 5 2 2 2 4 2" xfId="8751"/>
    <cellStyle name="Note 6 3 2 4 2" xfId="8752"/>
    <cellStyle name="Note 6 2 2 2 4 2" xfId="8753"/>
    <cellStyle name="Note 7 3 2 4 2" xfId="8754"/>
    <cellStyle name="Note 7 2 2 2 4 2" xfId="8755"/>
    <cellStyle name="Note 8 2 2 4 2" xfId="8756"/>
    <cellStyle name="Note 9 2 2 4 2" xfId="8757"/>
    <cellStyle name="Output 12 2 4 2" xfId="8758"/>
    <cellStyle name="Output 2 8 2 4 2" xfId="8759"/>
    <cellStyle name="Output 3 4 2 4 2" xfId="8760"/>
    <cellStyle name="Output 4 4 2 4 2" xfId="8761"/>
    <cellStyle name="Output 5 3 2 4 2" xfId="8762"/>
    <cellStyle name="Total 10 2 4 2" xfId="8763"/>
    <cellStyle name="Total 11 2 4 2" xfId="8764"/>
    <cellStyle name="Total 2 8 2 4 2" xfId="8765"/>
    <cellStyle name="Total 3 3 2 4 2" xfId="8766"/>
    <cellStyle name="Total 4 3 2 4 2" xfId="8767"/>
    <cellStyle name="Total 5 2 2 4 2" xfId="8768"/>
    <cellStyle name="Total 12 2 4 2" xfId="8769"/>
    <cellStyle name="Total 2 9 2 4 2" xfId="8770"/>
    <cellStyle name="Total 3 4 2 4 2" xfId="8771"/>
    <cellStyle name="Total 4 4 2 4 2" xfId="8772"/>
    <cellStyle name="Total 5 3 2 4 2" xfId="8773"/>
    <cellStyle name="20% - Accent1 6 3 2 2 2" xfId="8774"/>
    <cellStyle name="20% - Accent2 6 3 2 2 2" xfId="8775"/>
    <cellStyle name="20% - Accent3 6 3 2 2 2" xfId="8776"/>
    <cellStyle name="20% - Accent4 6 3 2 2 2" xfId="8777"/>
    <cellStyle name="20% - Accent5 6 3 2 2 2" xfId="8778"/>
    <cellStyle name="20% - Accent6 6 3 2 2 2" xfId="8779"/>
    <cellStyle name="40% - Accent1 6 3 2 2 2" xfId="8780"/>
    <cellStyle name="40% - Accent2 6 3 2 2 2" xfId="8781"/>
    <cellStyle name="40% - Accent3 6 3 2 2 2" xfId="8782"/>
    <cellStyle name="40% - Accent4 6 3 2 2 2" xfId="8783"/>
    <cellStyle name="40% - Accent5 6 3 2 2 2" xfId="8784"/>
    <cellStyle name="40% - Accent6 6 3 2 2 2" xfId="8785"/>
    <cellStyle name="Input 18 2 4 2" xfId="8786"/>
    <cellStyle name="Normal 10 7 2 2 2" xfId="8787"/>
    <cellStyle name="Normal 11 7 2 2 2" xfId="8788"/>
    <cellStyle name="Normal 14 5 2 2 2" xfId="8789"/>
    <cellStyle name="Normal 2 2 2 4 2 2 2" xfId="8790"/>
    <cellStyle name="Normal 8 8 2 2 2" xfId="8791"/>
    <cellStyle name="Calculation 12 2 4 2" xfId="8792"/>
    <cellStyle name="Input 19 2 4 2" xfId="8793"/>
    <cellStyle name="Note 13 2 4 2" xfId="8794"/>
    <cellStyle name="Output 13 2 4 2" xfId="8795"/>
    <cellStyle name="Total 13 2 4 2" xfId="8796"/>
    <cellStyle name="Normal 8 9 2 2 2" xfId="8797"/>
    <cellStyle name="Comma 13 4 2 2 2" xfId="8798"/>
    <cellStyle name="Currency 7 5 2 2 2" xfId="8799"/>
    <cellStyle name="Calculation 2 8 2 4 2" xfId="8800"/>
    <cellStyle name="Calculation 3 4 2 4 2" xfId="8801"/>
    <cellStyle name="Calculation 4 4 2 4 2" xfId="8802"/>
    <cellStyle name="Calculation 5 3 2 4 2" xfId="8803"/>
    <cellStyle name="Input 2 8 2 4 2" xfId="8804"/>
    <cellStyle name="Input 3 4 2 4 2" xfId="8805"/>
    <cellStyle name="Input 4 4 2 4 2" xfId="8806"/>
    <cellStyle name="Input 5 4 2 4 2" xfId="8807"/>
    <cellStyle name="Normal 10 8 2 2 2" xfId="8808"/>
    <cellStyle name="Note 2 8 2 4 2" xfId="8809"/>
    <cellStyle name="Note 2 2 5 2 4 2" xfId="8810"/>
    <cellStyle name="Note 3 6 2 4 2" xfId="8811"/>
    <cellStyle name="Note 3 2 6 2 4 2" xfId="8812"/>
    <cellStyle name="Note 4 5 2 4 2" xfId="8813"/>
    <cellStyle name="Note 4 2 4 2 4 2" xfId="8814"/>
    <cellStyle name="Note 5 4 2 4 2" xfId="8815"/>
    <cellStyle name="Note 5 2 3 2 4 2" xfId="8816"/>
    <cellStyle name="Note 6 4 2 4 2" xfId="8817"/>
    <cellStyle name="Note 6 2 3 2 4 2" xfId="8818"/>
    <cellStyle name="Note 7 4 2 4 2" xfId="8819"/>
    <cellStyle name="Note 7 2 3 2 4 2" xfId="8820"/>
    <cellStyle name="Note 8 3 2 4 2" xfId="8821"/>
    <cellStyle name="Output 2 9 2 4 2" xfId="8822"/>
    <cellStyle name="Output 3 5 2 4 2" xfId="8823"/>
    <cellStyle name="Output 4 5 2 4 2" xfId="8824"/>
    <cellStyle name="Output 5 4 2 4 2" xfId="8825"/>
    <cellStyle name="Total 2 10 2 4 2" xfId="8826"/>
    <cellStyle name="Total 3 5 2 4 2" xfId="8827"/>
    <cellStyle name="Total 4 5 2 4 2" xfId="8828"/>
    <cellStyle name="Total 5 4 2 4 2" xfId="8829"/>
    <cellStyle name="Normal 11 8 2 2 2" xfId="8830"/>
    <cellStyle name="Normal 14 6 2 2 2" xfId="8831"/>
    <cellStyle name="Normal 43 3 2 2 2" xfId="8832"/>
    <cellStyle name="Normal 44 3 2 2 2" xfId="8833"/>
    <cellStyle name="Input 20 2 4 2" xfId="8834"/>
    <cellStyle name="Normal 8 10 2 2 2" xfId="8835"/>
    <cellStyle name="Comma 13 5 2 2 2" xfId="8836"/>
    <cellStyle name="Currency 7 6 2 2 2" xfId="8837"/>
    <cellStyle name="Normal 10 9 2 2 2" xfId="8838"/>
    <cellStyle name="Normal 11 9 2 2 2" xfId="8839"/>
    <cellStyle name="Normal 14 7 2 2 2" xfId="8840"/>
    <cellStyle name="Normal 43 4 2 2 2" xfId="8841"/>
    <cellStyle name="Normal 44 4 2 2 2" xfId="8842"/>
    <cellStyle name="Normal 355 2 2 2" xfId="8843"/>
    <cellStyle name="Comma 22 2 2 2" xfId="8844"/>
    <cellStyle name="Input 21 2 4 2" xfId="8845"/>
    <cellStyle name="Normal 8 11 2 2 2" xfId="8846"/>
    <cellStyle name="Comma 13 6 2 2 2" xfId="8847"/>
    <cellStyle name="Currency 7 7 2 2 2" xfId="8848"/>
    <cellStyle name="Normal 10 10 2 2 2" xfId="8849"/>
    <cellStyle name="Normal 11 10 2 2 2" xfId="8850"/>
    <cellStyle name="Normal 14 8 2 2 2" xfId="8851"/>
    <cellStyle name="Normal 43 5 2 2 2" xfId="8852"/>
    <cellStyle name="Normal 44 5 2 2 2" xfId="8853"/>
    <cellStyle name="Calculation 2 5 4 3" xfId="8854"/>
    <cellStyle name="Input 2 5 4 3" xfId="8855"/>
    <cellStyle name="Note 2 2 2 4 3" xfId="8856"/>
    <cellStyle name="Note 2 3 2 4 3" xfId="8857"/>
    <cellStyle name="Note 2 4 2 4 3" xfId="8858"/>
    <cellStyle name="Note 2 5 4 3" xfId="8859"/>
    <cellStyle name="Note 3 3 4 3" xfId="8860"/>
    <cellStyle name="Output 2 5 4 3" xfId="8861"/>
    <cellStyle name="Total 2 6 4 3" xfId="8862"/>
    <cellStyle name="Output 5 4 2 2 4" xfId="8863"/>
    <cellStyle name="Output 7 2 2 4" xfId="8864"/>
    <cellStyle name="Note 6 3 2 2 4" xfId="8865"/>
    <cellStyle name="Note 7 3 2 2 4" xfId="8866"/>
    <cellStyle name="Note 7 2 2 2 2 4" xfId="8867"/>
    <cellStyle name="Note 9 3 2 4" xfId="8868"/>
    <cellStyle name="Note 5 2 4 2 4" xfId="8869"/>
    <cellStyle name="Output 3 4 2 2 4" xfId="8870"/>
    <cellStyle name="Output 12 2 2 4" xfId="8871"/>
    <cellStyle name="Note 2 8 2 2 4" xfId="8872"/>
    <cellStyle name="Note 6 5 2 4" xfId="8873"/>
    <cellStyle name="Output 2 8 2 2 4" xfId="8874"/>
    <cellStyle name="Note 6 2 4 2 4" xfId="8875"/>
    <cellStyle name="Note 2 2 5 10" xfId="8876"/>
    <cellStyle name="Note 8 4 2 4" xfId="8877"/>
    <cellStyle name="Total 3 5 2 2 4" xfId="8878"/>
    <cellStyle name="Style 23 3 4" xfId="8879"/>
    <cellStyle name="20% - Accent1 15" xfId="8880"/>
    <cellStyle name="40% - Accent1 15" xfId="8881"/>
    <cellStyle name="Note 2 3 4 2 4" xfId="8882"/>
    <cellStyle name="Style 23 2 3 4" xfId="8883"/>
    <cellStyle name="20% - Accent2 15" xfId="8884"/>
    <cellStyle name="40% - Accent2 13" xfId="8885"/>
    <cellStyle name="Note 4 2 5 2 4" xfId="8886"/>
    <cellStyle name="Style 24 3 4" xfId="8887"/>
    <cellStyle name="20% - Accent3 15" xfId="8888"/>
    <cellStyle name="40% - Accent3 15" xfId="8889"/>
    <cellStyle name="Style 21 3 4" xfId="8890"/>
    <cellStyle name="Note 3 4 2 2 4" xfId="8891"/>
    <cellStyle name="20% - Accent4 15" xfId="8892"/>
    <cellStyle name="40% - Accent4 15" xfId="8893"/>
    <cellStyle name="Style 21 2 3 4" xfId="8894"/>
    <cellStyle name="Note 4 3 2 2 4" xfId="8895"/>
    <cellStyle name="20% - Accent5 13" xfId="8896"/>
    <cellStyle name="40% - Accent5 13" xfId="8897"/>
    <cellStyle name="Style 22 3 4" xfId="8898"/>
    <cellStyle name="Note 4 2 2 2 2 4" xfId="8899"/>
    <cellStyle name="20% - Accent6 13" xfId="8900"/>
    <cellStyle name="40% - Accent6 15" xfId="8901"/>
    <cellStyle name="Style 22 2 3 4" xfId="8902"/>
    <cellStyle name="Normal 360" xfId="8903"/>
    <cellStyle name="Comma 24" xfId="8904"/>
    <cellStyle name="Comma 26" xfId="8905"/>
    <cellStyle name="Normal 361" xfId="8906"/>
    <cellStyle name="Note 15" xfId="8907"/>
    <cellStyle name="Comma 25" xfId="8908"/>
    <cellStyle name="Normal 4 12" xfId="8909"/>
    <cellStyle name="Comma 4 4" xfId="8910"/>
    <cellStyle name="Comma 5 7" xfId="8911"/>
    <cellStyle name="Normal 10 11" xfId="8912"/>
    <cellStyle name="Normal 2 2 4" xfId="8913"/>
    <cellStyle name="Calculation 12 5 4" xfId="8914"/>
    <cellStyle name="Hyperlink 3 5" xfId="8915"/>
    <cellStyle name="Note 6 4 5 4" xfId="8916"/>
    <cellStyle name="Normal 2 5 2" xfId="8917"/>
    <cellStyle name="Normal 2 4 2" xfId="8918"/>
    <cellStyle name="Normal 4 3 9" xfId="8919"/>
    <cellStyle name="Normal 6 2 4" xfId="8920"/>
    <cellStyle name="Currency 12" xfId="8921"/>
    <cellStyle name="Normal 362" xfId="8922"/>
    <cellStyle name="Total 4 4 2 2 4" xfId="8923"/>
    <cellStyle name="Normal 8 2 5" xfId="8924"/>
    <cellStyle name="Normal 3 4 4" xfId="8925"/>
    <cellStyle name="Normal 11 12" xfId="8926"/>
    <cellStyle name="Normal 12 3" xfId="8927"/>
    <cellStyle name="20% - Accent1 12" xfId="8928"/>
    <cellStyle name="40% - Accent1 12" xfId="8929"/>
    <cellStyle name="20% - Accent2 12" xfId="8930"/>
    <cellStyle name="40% - Accent2 10" xfId="8931"/>
    <cellStyle name="20% - Accent3 12" xfId="8932"/>
    <cellStyle name="40% - Accent3 12" xfId="8933"/>
    <cellStyle name="20% - Accent4 12" xfId="8934"/>
    <cellStyle name="40% - Accent4 12" xfId="8935"/>
    <cellStyle name="20% - Accent5 10" xfId="8936"/>
    <cellStyle name="40% - Accent5 10" xfId="8937"/>
    <cellStyle name="20% - Accent6 10" xfId="8938"/>
    <cellStyle name="40% - Accent6 12" xfId="8939"/>
    <cellStyle name="Normal 13 4" xfId="8940"/>
    <cellStyle name="Comma 6 12" xfId="8941"/>
    <cellStyle name="Note 2 13" xfId="8942"/>
    <cellStyle name="Normal 3 4 5" xfId="8943"/>
    <cellStyle name="Normal 363" xfId="8944"/>
    <cellStyle name="Comma 27" xfId="8945"/>
    <cellStyle name="Normal 364" xfId="8946"/>
    <cellStyle name="Note 16" xfId="8947"/>
    <cellStyle name="Comma 28" xfId="8948"/>
    <cellStyle name="20% - Accent1 13" xfId="8949"/>
    <cellStyle name="40% - Accent1 13" xfId="8950"/>
    <cellStyle name="20% - Accent2 13" xfId="8951"/>
    <cellStyle name="40% - Accent2 11" xfId="8952"/>
    <cellStyle name="20% - Accent3 13" xfId="8953"/>
    <cellStyle name="40% - Accent3 13" xfId="8954"/>
    <cellStyle name="20% - Accent4 13" xfId="8955"/>
    <cellStyle name="40% - Accent4 13" xfId="8956"/>
    <cellStyle name="20% - Accent5 11" xfId="8957"/>
    <cellStyle name="40% - Accent5 11" xfId="8958"/>
    <cellStyle name="20% - Accent6 11" xfId="8959"/>
    <cellStyle name="40% - Accent6 13" xfId="8960"/>
    <cellStyle name="Normal 365" xfId="8961"/>
    <cellStyle name="Normal 3 4 6" xfId="8962"/>
    <cellStyle name="Comma 29" xfId="8963"/>
    <cellStyle name="20% - Accent1 14" xfId="8964"/>
    <cellStyle name="40% - Accent1 14" xfId="8965"/>
    <cellStyle name="20% - Accent2 14" xfId="8966"/>
    <cellStyle name="40% - Accent2 12" xfId="8967"/>
    <cellStyle name="20% - Accent3 14" xfId="8968"/>
    <cellStyle name="40% - Accent3 14" xfId="8969"/>
    <cellStyle name="20% - Accent4 14" xfId="8970"/>
    <cellStyle name="40% - Accent4 14" xfId="8971"/>
    <cellStyle name="20% - Accent5 12" xfId="8972"/>
    <cellStyle name="40% - Accent5 12" xfId="8973"/>
    <cellStyle name="20% - Accent6 12" xfId="8974"/>
    <cellStyle name="40% - Accent6 14" xfId="8975"/>
    <cellStyle name="Normal 13 5" xfId="8976"/>
    <cellStyle name="Comma 6 13" xfId="8977"/>
    <cellStyle name="Note 2 14" xfId="8978"/>
    <cellStyle name="Normal 3 4 7" xfId="8979"/>
    <cellStyle name="Normal 2 8 2" xfId="8980"/>
    <cellStyle name="Comma 2 2 5" xfId="8981"/>
    <cellStyle name="Currency 2 6" xfId="8982"/>
    <cellStyle name="Currency 3 4" xfId="8983"/>
    <cellStyle name="Currency 4 6" xfId="8984"/>
    <cellStyle name="Currency 5 3" xfId="8985"/>
    <cellStyle name="Percent 3 6" xfId="8986"/>
    <cellStyle name="Percent 4 6" xfId="8987"/>
    <cellStyle name="Note 3 2 8 2 4" xfId="8988"/>
    <cellStyle name="Output 2 2 2 3 2 4" xfId="8989"/>
    <cellStyle name="Calculation 2 2 4 3 2 4" xfId="8990"/>
    <cellStyle name="Calculation 2 4 3 2 4" xfId="8991"/>
    <cellStyle name="Calculation 3 6 2 4" xfId="8992"/>
    <cellStyle name="Input 2 10 2 4" xfId="8993"/>
    <cellStyle name="Input 2 2 2 3 2 4" xfId="8994"/>
    <cellStyle name="Input 2 2 4 3 2 4" xfId="8995"/>
    <cellStyle name="Input 2 4 3 2 4" xfId="8996"/>
    <cellStyle name="Input 3 6 2 4" xfId="8997"/>
    <cellStyle name="Input 7 3 2 4" xfId="8998"/>
    <cellStyle name="Output 3 6 2 4" xfId="8999"/>
    <cellStyle name="Output 2 4 2 2 4" xfId="9000"/>
    <cellStyle name="Input 21 4 4" xfId="9001"/>
    <cellStyle name="Input 20 4 4" xfId="9002"/>
    <cellStyle name="Total 5 4 4 4" xfId="9003"/>
    <cellStyle name="Total 4 5 4 4" xfId="9004"/>
    <cellStyle name="Total 3 5 4 4" xfId="9005"/>
    <cellStyle name="Total 2 10 4 4" xfId="9006"/>
    <cellStyle name="Output 5 4 4 4" xfId="9007"/>
    <cellStyle name="Output 4 5 4 4" xfId="9008"/>
    <cellStyle name="Output 2 9 4 4" xfId="9009"/>
    <cellStyle name="Note 8 3 4 4" xfId="9010"/>
    <cellStyle name="Note 7 4 4 4" xfId="9011"/>
    <cellStyle name="Note 6 2 2 4 4" xfId="9012"/>
    <cellStyle name="Note 6 3 4 4" xfId="9013"/>
    <cellStyle name="Note 5 2 2 4 4" xfId="9014"/>
    <cellStyle name="Note 5 3 4 4" xfId="9015"/>
    <cellStyle name="Note 4 2 3 4 4" xfId="9016"/>
    <cellStyle name="Note 4 4 4 4" xfId="9017"/>
    <cellStyle name="Note 3 2 5 4 4" xfId="9018"/>
    <cellStyle name="Note 3 5 4 4" xfId="9019"/>
    <cellStyle name="Note 2 7 4 4" xfId="9020"/>
    <cellStyle name="Note 12 4 4" xfId="9021"/>
    <cellStyle name="Calculation 11 4 4" xfId="9022"/>
    <cellStyle name="Input 13 5 5" xfId="9023"/>
    <cellStyle name="Calculation 12 2 7" xfId="9024"/>
    <cellStyle name="Input 18 2 7" xfId="9025"/>
    <cellStyle name="Note 2 3 2 4 6" xfId="9026"/>
    <cellStyle name="Input 6 4 8" xfId="9027"/>
    <cellStyle name="Note 3 4 2 8" xfId="9028"/>
    <cellStyle name="Calculation 11 2 7" xfId="9029"/>
    <cellStyle name="Calculation 2 7 2 7" xfId="9030"/>
    <cellStyle name="Calculation 3 3 2 7" xfId="9031"/>
    <cellStyle name="Calculation 4 3 2 7" xfId="9032"/>
    <cellStyle name="Calculation 5 2 2 7" xfId="9033"/>
    <cellStyle name="Input 15 2 7" xfId="9034"/>
    <cellStyle name="Input 17 2 7" xfId="9035"/>
    <cellStyle name="Input 14 2 7" xfId="9036"/>
    <cellStyle name="Note 5 5 7" xfId="9037"/>
    <cellStyle name="Note 4 2 2 2 7" xfId="9038"/>
    <cellStyle name="Note 4 3 2 7" xfId="9039"/>
    <cellStyle name="Note 3 2 4 2 7" xfId="9040"/>
    <cellStyle name="Note 3 4 2 7" xfId="9041"/>
    <cellStyle name="Note 2 2 3 2 7" xfId="9042"/>
    <cellStyle name="Note 2 6 2 7" xfId="9043"/>
    <cellStyle name="Note 11 2 7" xfId="9044"/>
    <cellStyle name="styleSeriesDataNA 2 8" xfId="9045"/>
    <cellStyle name="styleSeriesDataNA 8" xfId="9046"/>
    <cellStyle name="styleSeriesDataForecastNA 2 8" xfId="9047"/>
    <cellStyle name="styleSeriesDataForecastNA 8" xfId="9048"/>
    <cellStyle name="styleSeriesDataForecast 2 8" xfId="9049"/>
    <cellStyle name="styleSeriesDataForecast 8" xfId="9050"/>
    <cellStyle name="styleSeriesData 2 8" xfId="9051"/>
    <cellStyle name="styleSeriesData 8" xfId="9052"/>
    <cellStyle name="styleSeriesAttributes 8" xfId="9053"/>
    <cellStyle name="Input 2 2 6 7" xfId="9054"/>
    <cellStyle name="Input 2 2 3 3 7" xfId="9055"/>
    <cellStyle name="Input 2 3 3 7" xfId="9056"/>
    <cellStyle name="Input 4 6 7" xfId="9057"/>
    <cellStyle name="Input 6 4 7" xfId="9058"/>
    <cellStyle name="Input 8 3 7" xfId="9059"/>
    <cellStyle name="Note 3 3 2 7" xfId="9060"/>
    <cellStyle name="Note 2 4 2 2 7" xfId="9061"/>
    <cellStyle name="Note 2 2 2 2 7" xfId="9062"/>
    <cellStyle name="Note 2 5 2 7" xfId="9063"/>
    <cellStyle name="StmtTtl2 3 7" xfId="9064"/>
    <cellStyle name="Note 9 2 2 8" xfId="9065"/>
    <cellStyle name="Note 2 2 5 2 8" xfId="9066"/>
    <cellStyle name="Input 12 4 5" xfId="9067"/>
    <cellStyle name="Total 3 4 4 5" xfId="9068"/>
    <cellStyle name="Input 2 9 2 5" xfId="9069"/>
    <cellStyle name="Output 2 3 3 2 5" xfId="9070"/>
    <cellStyle name="styleSeriesDataNA 3 5" xfId="9071"/>
    <cellStyle name="Output 13 2 2 5" xfId="9072"/>
    <cellStyle name="Total 3 6 7" xfId="9073"/>
    <cellStyle name="Total 2 5 2 7" xfId="9074"/>
    <cellStyle name="StmtTtl2 2 7" xfId="9075"/>
    <cellStyle name="Calculation 2 10 7" xfId="9076"/>
    <cellStyle name="Calculation 2 2 2 3 7" xfId="9077"/>
    <cellStyle name="Calculation 2 2 4 3 7" xfId="9078"/>
    <cellStyle name="Calculation 2 4 3 7" xfId="9079"/>
    <cellStyle name="Calculation 3 6 7" xfId="9080"/>
    <cellStyle name="Input 2 10 7" xfId="9081"/>
    <cellStyle name="Input 2 2 4 3 7" xfId="9082"/>
    <cellStyle name="Output 2 2 3 2 7" xfId="9083"/>
    <cellStyle name="Output 2 2 2 2 7" xfId="9084"/>
    <cellStyle name="Output 2 2 5 7" xfId="9085"/>
    <cellStyle name="Output 2 10 7" xfId="9086"/>
    <cellStyle name="Note 3 2 7 7" xfId="9087"/>
    <cellStyle name="Note 3 7 7" xfId="9088"/>
    <cellStyle name="Note 2 4 3 7" xfId="9089"/>
    <cellStyle name="Note 2 2 6 7" xfId="9090"/>
    <cellStyle name="Note 2 9 7" xfId="9091"/>
    <cellStyle name="Total 2 2 3 3 7" xfId="9092"/>
    <cellStyle name="Input 7 2 7" xfId="9093"/>
    <cellStyle name="Input 6 3 7" xfId="9094"/>
    <cellStyle name="Input 5 5 7" xfId="9095"/>
    <cellStyle name="Input 4 5 7" xfId="9096"/>
    <cellStyle name="Input 3 5 7" xfId="9097"/>
    <cellStyle name="Input 2 5 2 7" xfId="9098"/>
    <cellStyle name="Input 2 4 2 7" xfId="9099"/>
    <cellStyle name="Input 2 2 4 2 7" xfId="9100"/>
    <cellStyle name="Input 2 2 3 2 7" xfId="9101"/>
    <cellStyle name="Input 2 2 5 7" xfId="9102"/>
    <cellStyle name="Calculation 3 5 7" xfId="9103"/>
    <cellStyle name="Calculation 2 5 2 7" xfId="9104"/>
    <cellStyle name="Calculation 2 4 2 7" xfId="9105"/>
    <cellStyle name="Calculation 2 3 2 7" xfId="9106"/>
    <cellStyle name="Calculation 2 2 4 2 7" xfId="9107"/>
    <cellStyle name="Calculation 2 2 3 2 7" xfId="9108"/>
    <cellStyle name="Calculation 2 2 2 2 7" xfId="9109"/>
    <cellStyle name="Calculation 2 9 7" xfId="9110"/>
    <cellStyle name="Note 2 2 2 3 7" xfId="9111"/>
    <cellStyle name="Note 2 4 2 3 7" xfId="9112"/>
    <cellStyle name="Output 3 2 3 5" xfId="9113"/>
    <cellStyle name="Input 21 3 4" xfId="9114"/>
    <cellStyle name="Total 3 5 5 5" xfId="9115"/>
    <cellStyle name="Calculation 4 4 5 4" xfId="9116"/>
    <cellStyle name="Total 5 4 3 4" xfId="9117"/>
    <cellStyle name="Total 4 5 3 4" xfId="9118"/>
    <cellStyle name="Total 3 5 3 4" xfId="9119"/>
    <cellStyle name="Output 5 4 3 4" xfId="9120"/>
    <cellStyle name="Output 4 5 3 4" xfId="9121"/>
    <cellStyle name="Output 2 9 3 4" xfId="9122"/>
    <cellStyle name="Note 4 2 4 3 4" xfId="9123"/>
    <cellStyle name="Note 4 5 3 4" xfId="9124"/>
    <cellStyle name="Note 3 2 6 3 4" xfId="9125"/>
    <cellStyle name="Note 3 6 3 4" xfId="9126"/>
    <cellStyle name="Note 2 2 5 3 4" xfId="9127"/>
    <cellStyle name="Note 2 8 3 4" xfId="9128"/>
    <cellStyle name="Input 4 4 3 4" xfId="9129"/>
    <cellStyle name="Input 3 4 3 4" xfId="9130"/>
    <cellStyle name="Calculation 5 3 3 4" xfId="9131"/>
    <cellStyle name="Input 19 3 4" xfId="9132"/>
    <cellStyle name="Calculation 12 3 4" xfId="9133"/>
    <cellStyle name="Input 18 3 4" xfId="9134"/>
    <cellStyle name="Total 5 3 9" xfId="9135"/>
    <cellStyle name="Note 2 3 2 2 8" xfId="9136"/>
    <cellStyle name="Input 5 6 2 5" xfId="9137"/>
    <cellStyle name="Note 2 10 2 5" xfId="9138"/>
    <cellStyle name="Note 5 5 2 5" xfId="9139"/>
    <cellStyle name="Note 8 2 2 2 5" xfId="9140"/>
    <cellStyle name="Total 5 3 3 4" xfId="9141"/>
    <cellStyle name="Total 4 4 3 4" xfId="9142"/>
    <cellStyle name="Total 2 9 3 4" xfId="9143"/>
    <cellStyle name="Total 12 3 4" xfId="9144"/>
    <cellStyle name="Total 10 3 4" xfId="9145"/>
    <cellStyle name="Output 5 3 3 4" xfId="9146"/>
    <cellStyle name="Output 4 4 3 4" xfId="9147"/>
    <cellStyle name="Output 3 4 3 4" xfId="9148"/>
    <cellStyle name="Output 2 8 3 4" xfId="9149"/>
    <cellStyle name="Note 9 2 3 4" xfId="9150"/>
    <cellStyle name="Note 8 2 3 4" xfId="9151"/>
    <cellStyle name="Note 7 3 3 4" xfId="9152"/>
    <cellStyle name="Note 3 2 5 3 4" xfId="9153"/>
    <cellStyle name="Note 2 7 3 4" xfId="9154"/>
    <cellStyle name="Note 12 3 4" xfId="9155"/>
    <cellStyle name="Output 10 3 4" xfId="9156"/>
    <cellStyle name="Calculation 11 3 4" xfId="9157"/>
    <cellStyle name="Calculation 2 7 3 4" xfId="9158"/>
    <cellStyle name="Calculation 4 3 3 4" xfId="9159"/>
    <cellStyle name="Calculation 10 3 4" xfId="9160"/>
    <cellStyle name="Input 3 3 3 4" xfId="9161"/>
    <cellStyle name="Input 4 3 3 4" xfId="9162"/>
    <cellStyle name="Input 5 3 3 4" xfId="9163"/>
    <cellStyle name="Calculation 2 2 3 3 8" xfId="9164"/>
    <cellStyle name="Style 21 2 2 8" xfId="9165"/>
    <cellStyle name="Output 11 3 4" xfId="9166"/>
    <cellStyle name="Output 2 7 3 4" xfId="9167"/>
    <cellStyle name="Output 4 3 3 4" xfId="9168"/>
    <cellStyle name="Output 5 2 3 4" xfId="9169"/>
    <cellStyle name="Note 6 5 8" xfId="9170"/>
    <cellStyle name="Note 3 3 3 2 5" xfId="9171"/>
    <cellStyle name="Calculation 2 10 2 5" xfId="9172"/>
    <cellStyle name="Style 25 3 5" xfId="9173"/>
    <cellStyle name="Output 3 2 2 2 5" xfId="9174"/>
    <cellStyle name="Total 3 3 2 2 5" xfId="9175"/>
    <cellStyle name="Input 10 4 4" xfId="9176"/>
    <cellStyle name="Total 9 3 4" xfId="9177"/>
    <cellStyle name="Output 8 3 4" xfId="9178"/>
    <cellStyle name="Total 3 2 3 4" xfId="9179"/>
    <cellStyle name="Total 2 7 3 4" xfId="9180"/>
    <cellStyle name="Total 7 3 4" xfId="9181"/>
    <cellStyle name="Total 2 10 5 4" xfId="9182"/>
    <cellStyle name="Input 2 8 5 4" xfId="9183"/>
    <cellStyle name="Calculation 3 3 5 4" xfId="9184"/>
    <cellStyle name="Calculation 4 3 5 4" xfId="9185"/>
    <cellStyle name="Input 13 5 4" xfId="9186"/>
    <cellStyle name="Input 15 5 4" xfId="9187"/>
    <cellStyle name="Output 5 6 4" xfId="9188"/>
    <cellStyle name="Output 3 2 3 4" xfId="9189"/>
    <cellStyle name="Note 9 4 4" xfId="9190"/>
    <cellStyle name="Note 8 5 4" xfId="9191"/>
    <cellStyle name="Note 7 6 4" xfId="9192"/>
    <cellStyle name="Output 4 5 5 4" xfId="9193"/>
    <cellStyle name="Input 10 2 8" xfId="9194"/>
    <cellStyle name="Input 5 3 2 8" xfId="9195"/>
    <cellStyle name="Note 4 2 4 4 5" xfId="9196"/>
    <cellStyle name="Output 9 4 4" xfId="9197"/>
    <cellStyle name="Output 2 2 5 2 5" xfId="9198"/>
    <cellStyle name="Note 3 2 5 2 2 5" xfId="9199"/>
    <cellStyle name="Note 2 2 3 4 4" xfId="9200"/>
    <cellStyle name="Output 2 5 4 5" xfId="9201"/>
    <cellStyle name="Note 3 3 4 5" xfId="9202"/>
    <cellStyle name="Note 2 5 4 5" xfId="9203"/>
    <cellStyle name="Note 2 4 2 4 5" xfId="9204"/>
    <cellStyle name="Note 2 3 2 4 5" xfId="9205"/>
    <cellStyle name="Total 2 12 3 4" xfId="9206"/>
    <cellStyle name="Input 2 5 4 5" xfId="9207"/>
    <cellStyle name="Calculation 2 5 4 5" xfId="9208"/>
    <cellStyle name="Input 2 6 4 4" xfId="9209"/>
    <cellStyle name="Note 3 2 4 4 4" xfId="9210"/>
    <cellStyle name="Input 8 2 3 4" xfId="9211"/>
    <cellStyle name="Output 2 3 4 5" xfId="9212"/>
    <cellStyle name="Output 2 2 4 4 5" xfId="9213"/>
    <cellStyle name="Output 2 2 3 4 5" xfId="9214"/>
    <cellStyle name="Output 2 2 2 4 5" xfId="9215"/>
    <cellStyle name="Output 2 2 7 5" xfId="9216"/>
    <cellStyle name="Input 7 2 3 4" xfId="9217"/>
    <cellStyle name="Calculation 3 5 3 4" xfId="9218"/>
    <cellStyle name="Input 18 5 4" xfId="9219"/>
    <cellStyle name="Calculation 5 2 5 4" xfId="9220"/>
    <cellStyle name="Input 8 4 5" xfId="9221"/>
    <cellStyle name="Input 7 4 5" xfId="9222"/>
    <cellStyle name="Input 6 5 5" xfId="9223"/>
    <cellStyle name="Input 5 7 5" xfId="9224"/>
    <cellStyle name="Input 2 4 4 5" xfId="9225"/>
    <cellStyle name="Input 2 3 4 5" xfId="9226"/>
    <cellStyle name="Input 2 2 4 4 5" xfId="9227"/>
    <cellStyle name="Input 2 2 2 4 5" xfId="9228"/>
    <cellStyle name="Input 2 2 7 5" xfId="9229"/>
    <cellStyle name="Header2 3 5" xfId="9230"/>
    <cellStyle name="Calculation 3 7 5" xfId="9231"/>
    <cellStyle name="Calculation 2 4 4 5" xfId="9232"/>
    <cellStyle name="Calculation 2 3 4 5" xfId="9233"/>
    <cellStyle name="Calculation 2 2 4 4 5" xfId="9234"/>
    <cellStyle name="Calculation 2 2 3 4 5" xfId="9235"/>
    <cellStyle name="Calculation 2 2 2 4 5" xfId="9236"/>
    <cellStyle name="Calculation 2 2 7 5" xfId="9237"/>
    <cellStyle name="Calculation 2 11 5" xfId="9238"/>
    <cellStyle name="Total 2 4 3 3 4" xfId="9239"/>
    <cellStyle name="Calculation 2 3 2 3 4" xfId="9240"/>
    <cellStyle name="Total 13 5 4" xfId="9241"/>
    <cellStyle name="styleSeriesDataForecast 2 2 8" xfId="9242"/>
    <cellStyle name="Input 16 5 4" xfId="9243"/>
    <cellStyle name="Total 7 2 8" xfId="9244"/>
    <cellStyle name="Calculation 8 5 4" xfId="9245"/>
    <cellStyle name="Note 6 2 2 2 8" xfId="9246"/>
    <cellStyle name="Input 4 4 2 8" xfId="9247"/>
    <cellStyle name="Input 10 5 4" xfId="9248"/>
    <cellStyle name="Total 3 2 4 5" xfId="9249"/>
    <cellStyle name="Calculation 4 2 5 4" xfId="9250"/>
    <cellStyle name="Total 4 3 4 5" xfId="9251"/>
    <cellStyle name="Calculation 2 5 2 2 5" xfId="9252"/>
    <cellStyle name="Calculation 2 2 2 2 3 5" xfId="9253"/>
    <cellStyle name="styleSeriesDataForecast 3 5" xfId="9254"/>
    <cellStyle name="Output 8 2 2 5" xfId="9255"/>
    <cellStyle name="Input 3 2 4 4" xfId="9256"/>
    <cellStyle name="Input 4 2 4 4" xfId="9257"/>
    <cellStyle name="Input 5 2 4 4" xfId="9258"/>
    <cellStyle name="Note 2 6 4 4" xfId="9259"/>
    <cellStyle name="Note 3 4 4 4" xfId="9260"/>
    <cellStyle name="Note 4 3 4 4" xfId="9261"/>
    <cellStyle name="Note 5 7 4" xfId="9262"/>
    <cellStyle name="Note 6 7 4" xfId="9263"/>
    <cellStyle name="Input 15 10" xfId="9264"/>
    <cellStyle name="Calculation 4 3 5 5" xfId="9265"/>
    <cellStyle name="Input 21 9" xfId="9266"/>
    <cellStyle name="Total 2 10 9" xfId="9267"/>
    <cellStyle name="Note 4 2 4 9" xfId="9268"/>
    <cellStyle name="Note 4 5 9" xfId="9269"/>
    <cellStyle name="Note 3 6 9" xfId="9270"/>
    <cellStyle name="Note 2 8 9" xfId="9271"/>
    <cellStyle name="Input 5 4 9" xfId="9272"/>
    <cellStyle name="Input 4 4 9" xfId="9273"/>
    <cellStyle name="Note 6 6 5" xfId="9274"/>
    <cellStyle name="Calculation 5 3 9" xfId="9275"/>
    <cellStyle name="Calculation 4 4 9" xfId="9276"/>
    <cellStyle name="Calculation 3 4 9" xfId="9277"/>
    <cellStyle name="Calculation 2 8 9" xfId="9278"/>
    <cellStyle name="Note 4 2 3 9" xfId="9279"/>
    <cellStyle name="Calculation 9 3 5" xfId="9280"/>
    <cellStyle name="Total 13 9" xfId="9281"/>
    <cellStyle name="Output 13 9" xfId="9282"/>
    <cellStyle name="Note 13 9" xfId="9283"/>
    <cellStyle name="Input 19 9" xfId="9284"/>
    <cellStyle name="Input 4 6 8" xfId="9285"/>
    <cellStyle name="Note 3 2 4 2 8" xfId="9286"/>
    <cellStyle name="Total 5 3 8" xfId="9287"/>
    <cellStyle name="Total 4 4 8" xfId="9288"/>
    <cellStyle name="Total 2 9 8" xfId="9289"/>
    <cellStyle name="Output 4 4 8" xfId="9290"/>
    <cellStyle name="Output 3 4 8" xfId="9291"/>
    <cellStyle name="Output 2 8 8" xfId="9292"/>
    <cellStyle name="Output 12 8" xfId="9293"/>
    <cellStyle name="Note 8 2 8" xfId="9294"/>
    <cellStyle name="Note 4 2 3 8" xfId="9295"/>
    <cellStyle name="Note 4 4 8" xfId="9296"/>
    <cellStyle name="Note 3 5 8" xfId="9297"/>
    <cellStyle name="Note 2 7 8" xfId="9298"/>
    <cellStyle name="Output 10 8" xfId="9299"/>
    <cellStyle name="Calculation 11 9" xfId="9300"/>
    <cellStyle name="Calculation 3 3 9" xfId="9301"/>
    <cellStyle name="Input 15 9" xfId="9302"/>
    <cellStyle name="Input 16 9" xfId="9303"/>
    <cellStyle name="Total 3 2 2 2 5" xfId="9304"/>
    <cellStyle name="Note 6 2 3 2 2 5" xfId="9305"/>
    <cellStyle name="Total 9 8" xfId="9306"/>
    <cellStyle name="Total 8 8" xfId="9307"/>
    <cellStyle name="Calculation 2 7 2 2 5" xfId="9308"/>
    <cellStyle name="Calculation 3 2 2 2 5" xfId="9309"/>
    <cellStyle name="Output 5 2 2 8" xfId="9310"/>
    <cellStyle name="Output 2 3 3 8" xfId="9311"/>
    <cellStyle name="Note 2 4 3 8" xfId="9312"/>
    <cellStyle name="Input 2 4 2 8" xfId="9313"/>
    <cellStyle name="Calculation 2 2 2 2 8" xfId="9314"/>
    <cellStyle name="Calculation 9 9" xfId="9315"/>
    <cellStyle name="Total 5 11" xfId="9316"/>
    <cellStyle name="Total 4 2 8" xfId="9317"/>
    <cellStyle name="Total 3 2 8" xfId="9318"/>
    <cellStyle name="Total 2 7 8" xfId="9319"/>
    <cellStyle name="Total 7 8" xfId="9320"/>
    <cellStyle name="Calculation 4 2 2 2 5" xfId="9321"/>
    <cellStyle name="Note 2 2 6 2 5" xfId="9322"/>
    <cellStyle name="Note 7 2 10" xfId="9323"/>
    <cellStyle name="Note 7 11" xfId="9324"/>
    <cellStyle name="Note 6 2 10" xfId="9325"/>
    <cellStyle name="Note 6 11" xfId="9326"/>
    <cellStyle name="Note 5 2 10" xfId="9327"/>
    <cellStyle name="Note 5 11" xfId="9328"/>
    <cellStyle name="Note 4 3 8" xfId="9329"/>
    <cellStyle name="Note 3 4 8" xfId="9330"/>
    <cellStyle name="Note 11 8" xfId="9331"/>
    <cellStyle name="Input [yellow] 4" xfId="9332"/>
    <cellStyle name="Input 2 6 10" xfId="9333"/>
    <cellStyle name="Input 5 2 9" xfId="9334"/>
    <cellStyle name="Input 4 2 9" xfId="9335"/>
    <cellStyle name="Input 3 2 9" xfId="9336"/>
    <cellStyle name="Input 2 6 9" xfId="9337"/>
    <cellStyle name="Input 10 9" xfId="9338"/>
    <cellStyle name="Note 7 2 11" xfId="9339"/>
    <cellStyle name="Output 4 3 2 8" xfId="9340"/>
    <cellStyle name="Output 3 3 9" xfId="9341"/>
    <cellStyle name="Calculation 7 2 8" xfId="9342"/>
    <cellStyle name="Note 5 2 2 9" xfId="9343"/>
    <cellStyle name="Note 6 3 9" xfId="9344"/>
    <cellStyle name="Note 9 2 9" xfId="9345"/>
    <cellStyle name="Note 13 10" xfId="9346"/>
    <cellStyle name="Note 6 4 10" xfId="9347"/>
    <cellStyle name="Note 7 6 5" xfId="9348"/>
    <cellStyle name="Total 9 3 5" xfId="9349"/>
    <cellStyle name="Output 2 2 4 2 8" xfId="9350"/>
    <cellStyle name="Calculation 2 2 4 3 8" xfId="9351"/>
    <cellStyle name="Calculation 2 10 8" xfId="9352"/>
    <cellStyle name="Calculation 2 4 3 8" xfId="9353"/>
    <cellStyle name="Note 3 2 2 3 8" xfId="9354"/>
    <cellStyle name="Note 2 2 7 8" xfId="9355"/>
    <cellStyle name="Note 3 2 8 8" xfId="9356"/>
    <cellStyle name="styleColumnTitles 2 2 8" xfId="9357"/>
    <cellStyle name="Note 3 6 2 8" xfId="9358"/>
    <cellStyle name="Note 4 5 2 8" xfId="9359"/>
    <cellStyle name="Output 3 2 4 5" xfId="9360"/>
    <cellStyle name="Output 4 2 4 5" xfId="9361"/>
    <cellStyle name="Input 4 2 4 5" xfId="9362"/>
    <cellStyle name="Output 2 9 5 5" xfId="9363"/>
    <cellStyle name="Style 25 2 2 2 5" xfId="9364"/>
    <cellStyle name="Input 2 8 2 2 5" xfId="9365"/>
    <cellStyle name="Total 5 4 2 2 5" xfId="9366"/>
    <cellStyle name="Output 2 2 2 2 3 5" xfId="9367"/>
    <cellStyle name="Input 5 6 3 5" xfId="9368"/>
    <cellStyle name="Note 2 16" xfId="9369"/>
    <cellStyle name="Note 2 2 10" xfId="9370"/>
    <cellStyle name="Note 3 12" xfId="9371"/>
    <cellStyle name="Note 3 2 12" xfId="9372"/>
    <cellStyle name="Note 3 2 2 7" xfId="9373"/>
    <cellStyle name="Note 4 10" xfId="9374"/>
    <cellStyle name="Output 2 14" xfId="9375"/>
    <cellStyle name="Output 2 2 9" xfId="9376"/>
    <cellStyle name="Output 2 2 2 6" xfId="9377"/>
    <cellStyle name="Output 2 2 3 6" xfId="9378"/>
    <cellStyle name="Output 2 2 4 6" xfId="9379"/>
    <cellStyle name="Output 2 3 6" xfId="9380"/>
    <cellStyle name="Output 2 4 6" xfId="9381"/>
    <cellStyle name="Output 3 10" xfId="9382"/>
    <cellStyle name="Input 3 2 10" xfId="9383"/>
    <cellStyle name="Note 2 2 3 9" xfId="9384"/>
    <cellStyle name="Note 3 2 4 9" xfId="9385"/>
    <cellStyle name="Note 4 3 9" xfId="9386"/>
    <cellStyle name="Note 7 12" xfId="9387"/>
    <cellStyle name="Note 9 10" xfId="9388"/>
    <cellStyle name="Output 2 6 9" xfId="9389"/>
    <cellStyle name="Output 4 2 9" xfId="9390"/>
    <cellStyle name="Total 2 7 9" xfId="9391"/>
    <cellStyle name="Total 4 2 9" xfId="9392"/>
    <cellStyle name="Total 5 12" xfId="9393"/>
    <cellStyle name="Input 12 10" xfId="9394"/>
    <cellStyle name="Total 3 4 9" xfId="9395"/>
    <cellStyle name="Output 5 4 10" xfId="9396"/>
    <cellStyle name="Total 13 5 5" xfId="9397"/>
    <cellStyle name="Calculation 2 2 5 3 5" xfId="9398"/>
    <cellStyle name="Calculation 2 3 2 3 5" xfId="9399"/>
    <cellStyle name="Calculation 2 11 6" xfId="9400"/>
    <cellStyle name="Calculation 2 2 2 4 6" xfId="9401"/>
    <cellStyle name="Calculation 2 2 4 4 6" xfId="9402"/>
    <cellStyle name="Calculation 2 3 4 6" xfId="9403"/>
    <cellStyle name="Calculation 3 7 6" xfId="9404"/>
    <cellStyle name="Input 2 4 4 6" xfId="9405"/>
    <cellStyle name="Input 5 7 6" xfId="9406"/>
    <cellStyle name="Input 6 5 6" xfId="9407"/>
    <cellStyle name="Input 7 4 6" xfId="9408"/>
    <cellStyle name="Calculation 3 5 3 5" xfId="9409"/>
    <cellStyle name="Note 3 2 9 6" xfId="9410"/>
    <cellStyle name="Output 2 2 2 4 6" xfId="9411"/>
    <cellStyle name="Header2 4 6" xfId="9412"/>
    <cellStyle name="Input 17 5 5" xfId="9413"/>
    <cellStyle name="Input 5 4 5 5" xfId="9414"/>
    <cellStyle name="Note 3 6 5 5" xfId="9415"/>
    <cellStyle name="StmtTtl2 4 6" xfId="9416"/>
    <cellStyle name="Input 2 5 2 3 5" xfId="9417"/>
    <cellStyle name="Total 2 2 4 4 6" xfId="9418"/>
    <cellStyle name="Total 2 5 4 6" xfId="9419"/>
    <cellStyle name="Total 2 6 4 6" xfId="9420"/>
    <cellStyle name="Output 4 5 5 5" xfId="9421"/>
    <cellStyle name="Calculation 7 3 5" xfId="9422"/>
    <cellStyle name="Note 2 6 3 5" xfId="9423"/>
    <cellStyle name="Note 3 4 3 5" xfId="9424"/>
    <cellStyle name="Note 5 2 5 5" xfId="9425"/>
    <cellStyle name="Output 5 2 3 5" xfId="9426"/>
    <cellStyle name="Output 11 3 5" xfId="9427"/>
    <cellStyle name="Input 5 3 3 5" xfId="9428"/>
    <cellStyle name="Input 15 3 5" xfId="9429"/>
    <cellStyle name="Calculation 2 7 3 5" xfId="9430"/>
    <cellStyle name="Calculation 11 3 5" xfId="9431"/>
    <cellStyle name="Note 3 2 5 3 5" xfId="9432"/>
    <cellStyle name="Note 5 3 3 5" xfId="9433"/>
    <cellStyle name="Note 6 3 3 5" xfId="9434"/>
    <cellStyle name="Note 8 2 3 5" xfId="9435"/>
    <cellStyle name="Total 2 8 3 5" xfId="9436"/>
    <cellStyle name="Total 5 2 3 5" xfId="9437"/>
    <cellStyle name="Total 12 3 5" xfId="9438"/>
    <cellStyle name="Total 5 3 3 5" xfId="9439"/>
    <cellStyle name="Input 18 3 5" xfId="9440"/>
    <cellStyle name="Calculation 2 8 3 5" xfId="9441"/>
    <cellStyle name="Calculation 4 4 3 5" xfId="9442"/>
    <cellStyle name="Calculation 5 3 3 5" xfId="9443"/>
    <cellStyle name="Input 4 4 3 5" xfId="9444"/>
    <cellStyle name="Note 4 2 4 3 5" xfId="9445"/>
    <cellStyle name="Note 7 4 3 5" xfId="9446"/>
    <cellStyle name="Note 7 2 3 3 5" xfId="9447"/>
    <cellStyle name="Output 3 5 3 5" xfId="9448"/>
    <cellStyle name="Output 4 5 3 5" xfId="9449"/>
    <cellStyle name="Input 3 4 5 5" xfId="9450"/>
    <cellStyle name="Note 4 2 6 8" xfId="9451"/>
    <cellStyle name="Note 2 5 3 8" xfId="9452"/>
    <cellStyle name="Note 2 3 2 3 8" xfId="9453"/>
    <cellStyle name="Calculation 2 9 8" xfId="9454"/>
    <cellStyle name="Header2 2 8" xfId="9455"/>
    <cellStyle name="Input 2 9 8" xfId="9456"/>
    <cellStyle name="Input 2 2 2 2 8" xfId="9457"/>
    <cellStyle name="Total 2 2 4 3 8" xfId="9458"/>
    <cellStyle name="Total 2 12 8" xfId="9459"/>
    <cellStyle name="Note 2 9 8" xfId="9460"/>
    <cellStyle name="Output 2 2 3 2 8" xfId="9461"/>
    <cellStyle name="Output 2 4 2 8" xfId="9462"/>
    <cellStyle name="Output 3 6 8" xfId="9463"/>
    <cellStyle name="Input 3 6 8" xfId="9464"/>
    <cellStyle name="Input 2 4 3 8" xfId="9465"/>
    <cellStyle name="StmtTtl2 2 8" xfId="9466"/>
    <cellStyle name="Total 2 2 5 8" xfId="9467"/>
    <cellStyle name="Total 2 3 2 8" xfId="9468"/>
    <cellStyle name="Total 2 4 2 8" xfId="9469"/>
    <cellStyle name="Total 3 6 8" xfId="9470"/>
    <cellStyle name="Total 2 6 3 8" xfId="9471"/>
    <cellStyle name="Input 12 2 8" xfId="9472"/>
    <cellStyle name="Calculation 9 2 8" xfId="9473"/>
    <cellStyle name="Output 8 2 8" xfId="9474"/>
    <cellStyle name="Output 4 5 2 8" xfId="9475"/>
    <cellStyle name="Calculation 9 4 5" xfId="9476"/>
    <cellStyle name="Note 4 5 5 5" xfId="9477"/>
    <cellStyle name="Input 2 9 3 5" xfId="9478"/>
    <cellStyle name="Output 5 2 4 5" xfId="9479"/>
    <cellStyle name="Note 6 2 3 5 5" xfId="9480"/>
    <cellStyle name="StmtTtl2 6" xfId="9481"/>
    <cellStyle name="Input 18 4 5" xfId="9482"/>
    <cellStyle name="Calculation 12 4 5" xfId="9483"/>
    <cellStyle name="Input 2 2 4 2 2 5" xfId="9484"/>
    <cellStyle name="Input 2 3 2 2 5" xfId="9485"/>
    <cellStyle name="Input 2 5 2 2 5" xfId="9486"/>
    <cellStyle name="Note 2 2 7 2 5" xfId="9487"/>
    <cellStyle name="Note 3 2 2 2 2 5" xfId="9488"/>
    <cellStyle name="styleColumnTitles 2 2 2 5" xfId="9489"/>
    <cellStyle name="styleSeriesAttributes 2 2 2 5" xfId="9490"/>
    <cellStyle name="styleSeriesData 2 2 2 5" xfId="9491"/>
    <cellStyle name="Calculation 5 3 2 2 5" xfId="9492"/>
    <cellStyle name="Input 3 4 2 2 5" xfId="9493"/>
    <cellStyle name="Input 4 4 2 2 5" xfId="9494"/>
    <cellStyle name="Input 5 4 2 2 5" xfId="9495"/>
    <cellStyle name="Note 2 8 2 2 5" xfId="9496"/>
    <cellStyle name="Note 2 2 5 2 2 5" xfId="9497"/>
    <cellStyle name="Note 3 6 2 2 5" xfId="9498"/>
    <cellStyle name="Note 3 2 6 2 2 5" xfId="9499"/>
    <cellStyle name="Note 8 3 2 2 5" xfId="9500"/>
    <cellStyle name="Output 2 9 2 2 5" xfId="9501"/>
    <cellStyle name="Output 4 5 2 2 5" xfId="9502"/>
    <cellStyle name="Output 5 4 2 2 5" xfId="9503"/>
    <cellStyle name="Total 2 15" xfId="9504"/>
    <cellStyle name="Total 2 2 9" xfId="9505"/>
    <cellStyle name="Total 2 2 2 6" xfId="9506"/>
    <cellStyle name="Total 2 2 3 6" xfId="9507"/>
    <cellStyle name="Total 2 2 4 6" xfId="9508"/>
    <cellStyle name="Total 2 3 6" xfId="9509"/>
    <cellStyle name="Total 2 4 6" xfId="9510"/>
    <cellStyle name="Total 2 5 6" xfId="9511"/>
    <cellStyle name="Total 3 10" xfId="9512"/>
    <cellStyle name="Total 3 5 2 2 5" xfId="9513"/>
    <cellStyle name="Input 20 2 2 5" xfId="9514"/>
    <cellStyle name="Output 2 10 3 5" xfId="9515"/>
    <cellStyle name="Output 2 2 5 3 5" xfId="9516"/>
    <cellStyle name="Output 2 2 3 2 3 5" xfId="9517"/>
    <cellStyle name="Output 2 3 2 3 5" xfId="9518"/>
    <cellStyle name="Output 2 5 2 3 5" xfId="9519"/>
    <cellStyle name="Input 7 3 3 5" xfId="9520"/>
    <cellStyle name="Input 2 2 4 3 3 5" xfId="9521"/>
    <cellStyle name="Calculation 2 4 3 3 5" xfId="9522"/>
    <cellStyle name="Note 5 2 6 4" xfId="9523"/>
    <cellStyle name="Output 2 9 2 2 4" xfId="9524"/>
    <cellStyle name="Note 6 2 3 2 2 4" xfId="9525"/>
    <cellStyle name="Note 5 2 3 2 2 4" xfId="9526"/>
    <cellStyle name="Input 5 4 2 2 4" xfId="9527"/>
    <cellStyle name="Output 13 2 2 4" xfId="9528"/>
    <cellStyle name="Input 19 2 2 4" xfId="9529"/>
    <cellStyle name="Total 3 4 2 2 4" xfId="9530"/>
    <cellStyle name="Note 8 2 2 2 4" xfId="9531"/>
    <cellStyle name="Note 5 5 2 4" xfId="9532"/>
    <cellStyle name="Note 2 10 2 4" xfId="9533"/>
    <cellStyle name="Input 5 6 2 4" xfId="9534"/>
    <cellStyle name="Output 3 5 4 4" xfId="9535"/>
    <cellStyle name="Note 2 2 4 4 4" xfId="9536"/>
    <cellStyle name="Input 21 2 7" xfId="9537"/>
    <cellStyle name="Input 13 2 7" xfId="9538"/>
    <cellStyle name="styleSeriesAttributes 2 8" xfId="9539"/>
    <cellStyle name="Note 2 3 2 2 7" xfId="9540"/>
    <cellStyle name="Note 7 4 5 5" xfId="9541"/>
    <cellStyle name="Note 2 3 3 7" xfId="9542"/>
    <cellStyle name="Input 2 3 2 7" xfId="9543"/>
    <cellStyle name="Calculation 2 2 5 7" xfId="9544"/>
    <cellStyle name="Total 2 10 3 4" xfId="9545"/>
    <cellStyle name="Input 5 4 3 4" xfId="9546"/>
    <cellStyle name="Total 3 4 3 4" xfId="9547"/>
    <cellStyle name="Output 12 3 4" xfId="9548"/>
    <cellStyle name="Output 3 3 3 4" xfId="9549"/>
    <cellStyle name="Total 8 3 4" xfId="9550"/>
    <cellStyle name="Calculation 2 5 2 3 4" xfId="9551"/>
    <cellStyle name="Total 5 4 5 4" xfId="9552"/>
    <cellStyle name="Total 4 5 5 4" xfId="9553"/>
    <cellStyle name="Output 5 4 5 4" xfId="9554"/>
    <cellStyle name="Calculation 2 8 5 4" xfId="9555"/>
    <cellStyle name="Calculation 2 7 5 4" xfId="9556"/>
    <cellStyle name="Input 13 4 5" xfId="9557"/>
    <cellStyle name="Calculation 2 3 3 2 5" xfId="9558"/>
    <cellStyle name="Input 4 2 2 2 5" xfId="9559"/>
    <cellStyle name="Note 4 2 2 4 4" xfId="9560"/>
    <cellStyle name="Note 2 2 2 4 5" xfId="9561"/>
    <cellStyle name="Input 5 5 3 4" xfId="9562"/>
    <cellStyle name="Note 4 2 6 3 4" xfId="9563"/>
    <cellStyle name="Input 3 2 5 4" xfId="9564"/>
    <cellStyle name="Total 2 2 3 3 3 4" xfId="9565"/>
    <cellStyle name="Output 2 12 5" xfId="9566"/>
    <cellStyle name="Note 3 2 2 4 5" xfId="9567"/>
    <cellStyle name="Note 3 2 9 5" xfId="9568"/>
    <cellStyle name="Note 2 4 5 5" xfId="9569"/>
    <cellStyle name="Input 2 2 3 4 5" xfId="9570"/>
    <cellStyle name="Input 2 11 5" xfId="9571"/>
    <cellStyle name="Calculation 2 2 3 2 3 4" xfId="9572"/>
    <cellStyle name="Calculation 3 2 5 4" xfId="9573"/>
    <cellStyle name="Calculation 7 4 4" xfId="9574"/>
    <cellStyle name="Input 18 2 2 5" xfId="9575"/>
    <cellStyle name="Input 20 9" xfId="9576"/>
    <cellStyle name="Total 5 4 9" xfId="9577"/>
    <cellStyle name="Note 6 4 9" xfId="9578"/>
    <cellStyle name="Note 2 2 5 9" xfId="9579"/>
    <cellStyle name="Calculation 5 11" xfId="9580"/>
    <cellStyle name="Input 3 4 9" xfId="9581"/>
    <cellStyle name="Input 2 8 9" xfId="9582"/>
    <cellStyle name="Calculation 12 9" xfId="9583"/>
    <cellStyle name="Note 2 4 2 4 6" xfId="9584"/>
    <cellStyle name="styleSeriesDataForecastNA 9" xfId="9585"/>
    <cellStyle name="Calculation 11 2 8" xfId="9586"/>
    <cellStyle name="Total 3 4 8" xfId="9587"/>
    <cellStyle name="Total 12 8" xfId="9588"/>
    <cellStyle name="Note 2 2 4 8" xfId="9589"/>
    <cellStyle name="Calculation 2 7 9" xfId="9590"/>
    <cellStyle name="Calculation 4 3 9" xfId="9591"/>
    <cellStyle name="Input 14 9" xfId="9592"/>
    <cellStyle name="Calculation 10 9" xfId="9593"/>
    <cellStyle name="Calculation 4 3 2 2 5" xfId="9594"/>
    <cellStyle name="Note 3 3 2 2 5" xfId="9595"/>
    <cellStyle name="Output 8 8" xfId="9596"/>
    <cellStyle name="Note 4 2 2 8" xfId="9597"/>
    <cellStyle name="Input [yellow] 2 3" xfId="9598"/>
    <cellStyle name="Note 6 2 11" xfId="9599"/>
    <cellStyle name="Input 5 3 10" xfId="9600"/>
    <cellStyle name="Note 2 2 4 3 5" xfId="9601"/>
    <cellStyle name="Note 3 2 7 8" xfId="9602"/>
    <cellStyle name="Calculation 2 2 2 3 8" xfId="9603"/>
    <cellStyle name="Total 2 11 8" xfId="9604"/>
    <cellStyle name="Note 4 7 8" xfId="9605"/>
    <cellStyle name="Note 3 8 8" xfId="9606"/>
    <cellStyle name="Output 2 2 6 8" xfId="9607"/>
    <cellStyle name="Note 2 3 4 8" xfId="9608"/>
    <cellStyle name="Calculation 2 2 3 2 8" xfId="9609"/>
    <cellStyle name="Input 2 2 5 2 5" xfId="9610"/>
    <cellStyle name="Note 11 9" xfId="9611"/>
    <cellStyle name="Note 4 2 2 9" xfId="9612"/>
    <cellStyle name="Output 2 7 9" xfId="9613"/>
    <cellStyle name="Input 4 3 10" xfId="9614"/>
    <cellStyle name="Note 6 2 2 9" xfId="9615"/>
    <cellStyle name="Note 7 3 9" xfId="9616"/>
    <cellStyle name="Total 3 3 9" xfId="9617"/>
    <cellStyle name="Input 18 10" xfId="9618"/>
    <cellStyle name="Input 2 8 10" xfId="9619"/>
    <cellStyle name="Input 4 4 10" xfId="9620"/>
    <cellStyle name="Note 4 5 10" xfId="9621"/>
    <cellStyle name="Note 5 4 10" xfId="9622"/>
    <cellStyle name="Note 7 4 10" xfId="9623"/>
    <cellStyle name="Output 2 9 10" xfId="9624"/>
    <cellStyle name="Output 3 5 10" xfId="9625"/>
    <cellStyle name="Input 20 10" xfId="9626"/>
    <cellStyle name="Note 6 7 5" xfId="9627"/>
    <cellStyle name="Note 4 3 4 5" xfId="9628"/>
    <cellStyle name="Calculation 5 6 5" xfId="9629"/>
    <cellStyle name="Input 16 5 5" xfId="9630"/>
    <cellStyle name="Calculation 2 2 3 4 6" xfId="9631"/>
    <cellStyle name="Input 2 2 3 4 6" xfId="9632"/>
    <cellStyle name="Output 2 7 2 2 5" xfId="9633"/>
    <cellStyle name="Note 7 2 3 2 2 5" xfId="9634"/>
    <cellStyle name="Input 21 2 2 5" xfId="9635"/>
    <cellStyle name="Input 2 4 3 3 5" xfId="9636"/>
    <cellStyle name="Calculation 3 6 3 5" xfId="9637"/>
    <cellStyle name="Note 2 2 2 6" xfId="9638"/>
    <cellStyle name="Note 2 5 6" xfId="9639"/>
    <cellStyle name="Note 3 3 6" xfId="9640"/>
    <cellStyle name="Note 4 2 8" xfId="9641"/>
    <cellStyle name="Output 2 5 6" xfId="9642"/>
    <cellStyle name="Input 4 2 10" xfId="9643"/>
    <cellStyle name="Note 2 6 9" xfId="9644"/>
    <cellStyle name="Note 3 4 9" xfId="9645"/>
    <cellStyle name="Note 5 12" xfId="9646"/>
    <cellStyle name="Note 8 11" xfId="9647"/>
    <cellStyle name="Output 7 9" xfId="9648"/>
    <cellStyle name="Output 3 2 9" xfId="9649"/>
    <cellStyle name="Output 5 2 9" xfId="9650"/>
    <cellStyle name="Output 11 9" xfId="9651"/>
    <cellStyle name="Input 3 3 10" xfId="9652"/>
    <cellStyle name="Note 7 2 2 9" xfId="9653"/>
    <cellStyle name="Output 12 9" xfId="9654"/>
    <cellStyle name="Output 4 4 9" xfId="9655"/>
    <cellStyle name="Total 10 9" xfId="9656"/>
    <cellStyle name="Total 4 3 9" xfId="9657"/>
    <cellStyle name="Total 2 9 9" xfId="9658"/>
    <cellStyle name="Calculation 12 10" xfId="9659"/>
    <cellStyle name="Input 19 10" xfId="9660"/>
    <cellStyle name="Input 3 4 10" xfId="9661"/>
    <cellStyle name="Input 5 4 10" xfId="9662"/>
    <cellStyle name="Note 2 8 10" xfId="9663"/>
    <cellStyle name="Note 3 6 10" xfId="9664"/>
    <cellStyle name="Note 3 2 6 10" xfId="9665"/>
    <cellStyle name="Note 4 2 4 10" xfId="9666"/>
    <cellStyle name="Note 5 2 3 10" xfId="9667"/>
    <cellStyle name="Note 6 2 3 10" xfId="9668"/>
    <cellStyle name="Note 7 2 3 10" xfId="9669"/>
    <cellStyle name="Note 8 3 10" xfId="9670"/>
    <cellStyle name="Output 4 5 10" xfId="9671"/>
    <cellStyle name="Total 2 10 10" xfId="9672"/>
    <cellStyle name="Total 3 5 10" xfId="9673"/>
    <cellStyle name="Total 4 5 10" xfId="9674"/>
    <cellStyle name="Total 5 4 10" xfId="9675"/>
    <cellStyle name="Input 10 5 5" xfId="9676"/>
    <cellStyle name="Calculation 3 4 5 5" xfId="9677"/>
    <cellStyle name="Calculation 2 9 3 5" xfId="9678"/>
    <cellStyle name="Calculation 2 2 3 2 3 5" xfId="9679"/>
    <cellStyle name="Total 2 4 3 3 5" xfId="9680"/>
    <cellStyle name="Calculation 2 2 7 6" xfId="9681"/>
    <cellStyle name="Calculation 2 4 4 6" xfId="9682"/>
    <cellStyle name="Input 2 2 4 4 6" xfId="9683"/>
    <cellStyle name="Input 8 4 6" xfId="9684"/>
    <cellStyle name="Calculation 5 2 5 5" xfId="9685"/>
    <cellStyle name="Note 2 3 5 6" xfId="9686"/>
    <cellStyle name="Note 3 2 2 4 6" xfId="9687"/>
    <cellStyle name="Output 2 2 7 6" xfId="9688"/>
    <cellStyle name="Input 2 6 5 5" xfId="9689"/>
    <cellStyle name="Input 11 5 5" xfId="9690"/>
    <cellStyle name="Calculation 11 5 5" xfId="9691"/>
    <cellStyle name="Note 2 8 5 5" xfId="9692"/>
    <cellStyle name="Calculation 2 4 2 3 5" xfId="9693"/>
    <cellStyle name="Total 2 3 4 6" xfId="9694"/>
    <cellStyle name="Total 2 4 4 6" xfId="9695"/>
    <cellStyle name="Total 3 8 6" xfId="9696"/>
    <cellStyle name="Note 4 2 2 4 5" xfId="9697"/>
    <cellStyle name="Calculation 2 5 3 3 5" xfId="9698"/>
    <cellStyle name="Calculation 2 6 3 5" xfId="9699"/>
    <cellStyle name="Note 2 2 3 3 5" xfId="9700"/>
    <cellStyle name="Note 5 6 5" xfId="9701"/>
    <cellStyle name="Note 7 2 5 5" xfId="9702"/>
    <cellStyle name="Input 10 4 5" xfId="9703"/>
    <cellStyle name="Calculation 5 2 3 5" xfId="9704"/>
    <cellStyle name="Calculation 4 3 3 5" xfId="9705"/>
    <cellStyle name="Note 3 5 3 5" xfId="9706"/>
    <cellStyle name="Note 4 4 3 5" xfId="9707"/>
    <cellStyle name="Note 5 2 2 3 5" xfId="9708"/>
    <cellStyle name="Note 6 2 2 3 5" xfId="9709"/>
    <cellStyle name="Output 12 3 5" xfId="9710"/>
    <cellStyle name="Total 11 3 5" xfId="9711"/>
    <cellStyle name="Total 4 3 3 5" xfId="9712"/>
    <cellStyle name="Total 2 9 3 5" xfId="9713"/>
    <cellStyle name="Calculation 3 4 3 5" xfId="9714"/>
    <cellStyle name="Input 2 8 3 5" xfId="9715"/>
    <cellStyle name="Input 3 4 3 5" xfId="9716"/>
    <cellStyle name="Note 5 2 3 3 5" xfId="9717"/>
    <cellStyle name="Note 6 4 3 5" xfId="9718"/>
    <cellStyle name="Note 8 3 3 5" xfId="9719"/>
    <cellStyle name="Output 2 9 3 5" xfId="9720"/>
    <cellStyle name="Output 5 4 3 5" xfId="9721"/>
    <cellStyle name="Calculation 5 3 5 5" xfId="9722"/>
    <cellStyle name="Calculation 4 4 5 5" xfId="9723"/>
    <cellStyle name="Note 3 3 3 8" xfId="9724"/>
    <cellStyle name="Note 2 4 2 3 8" xfId="9725"/>
    <cellStyle name="Note 2 2 2 3 8" xfId="9726"/>
    <cellStyle name="Calculation 3 5 8" xfId="9727"/>
    <cellStyle name="Input 2 5 3 8" xfId="9728"/>
    <cellStyle name="Input 2 2 5 8" xfId="9729"/>
    <cellStyle name="Input 7 2 8" xfId="9730"/>
    <cellStyle name="Total 2 4 3 8" xfId="9731"/>
    <cellStyle name="Total 2 2 3 3 8" xfId="9732"/>
    <cellStyle name="Note 2 2 6 8" xfId="9733"/>
    <cellStyle name="Output 2 3 2 8" xfId="9734"/>
    <cellStyle name="Input 7 3 8" xfId="9735"/>
    <cellStyle name="Input 5 6 8" xfId="9736"/>
    <cellStyle name="Input 2 2 4 3 8" xfId="9737"/>
    <cellStyle name="Input 2 2 2 3 8" xfId="9738"/>
    <cellStyle name="Total 2 2 2 2 8" xfId="9739"/>
    <cellStyle name="Total 2 2 4 2 8" xfId="9740"/>
    <cellStyle name="Total 2 5 2 8" xfId="9741"/>
    <cellStyle name="Total 2 6 2 8" xfId="9742"/>
    <cellStyle name="Output 2 5 3 8" xfId="9743"/>
    <cellStyle name="Total 8 4 5" xfId="9744"/>
    <cellStyle name="Total 5 3 4 5" xfId="9745"/>
    <cellStyle name="Input 19 5 5" xfId="9746"/>
    <cellStyle name="Input 19 4 5" xfId="9747"/>
    <cellStyle name="Note 4 5 2 2 5" xfId="9748"/>
    <cellStyle name="Total 2 6 6" xfId="9749"/>
    <cellStyle name="Note 2 9 3 5" xfId="9750"/>
    <cellStyle name="Input 3 6 3 5" xfId="9751"/>
    <cellStyle name="Total 4 2 3 4" xfId="9752"/>
    <cellStyle name="Note 9 2 8" xfId="9753"/>
    <cellStyle name="Input 2 3 4 6" xfId="9754"/>
    <cellStyle name="Input 4 5 3 4" xfId="9755"/>
    <cellStyle name="Total 2 2 4 3 3 4" xfId="9756"/>
    <cellStyle name="Note 2 3 5 5" xfId="9757"/>
    <cellStyle name="Total 2 10 2 2 4" xfId="9758"/>
    <cellStyle name="Output 4 5 2 2 4" xfId="9759"/>
    <cellStyle name="Note 7 2 3 2 2 4" xfId="9760"/>
    <cellStyle name="Note 4 2 4 2 2 4" xfId="9761"/>
    <cellStyle name="Note 3 2 6 2 2 4" xfId="9762"/>
    <cellStyle name="Note 2 2 5 2 2 4" xfId="9763"/>
    <cellStyle name="Input 2 8 2 2 4" xfId="9764"/>
    <cellStyle name="Calculation 4 4 2 2 4" xfId="9765"/>
    <cellStyle name="Calculation 2 8 2 2 4" xfId="9766"/>
    <cellStyle name="Input 21 2 8" xfId="9767"/>
    <cellStyle name="Total 5 5 2 4" xfId="9768"/>
    <cellStyle name="Note 6 2 2 2 2 4" xfId="9769"/>
    <cellStyle name="Note 5 2 2 2 2 4" xfId="9770"/>
    <cellStyle name="Calculation 11 2 2 4" xfId="9771"/>
    <cellStyle name="Calculation 2 7 2 2 4" xfId="9772"/>
    <cellStyle name="styleDateRange 2 3 4" xfId="9773"/>
    <cellStyle name="Note 3 2 4 2 2 4" xfId="9774"/>
    <cellStyle name="Note 2 2 3 2 2 4" xfId="9775"/>
    <cellStyle name="Calculation 4 2 2 2 4" xfId="9776"/>
    <cellStyle name="Calculation 3 2 2 2 4" xfId="9777"/>
    <cellStyle name="Total 2 3 2 2 4" xfId="9778"/>
    <cellStyle name="Output 2 11 2 4" xfId="9779"/>
    <cellStyle name="Output 2 2 4 3 2 4" xfId="9780"/>
    <cellStyle name="Input 8 3 2 4" xfId="9781"/>
    <cellStyle name="Note 3 3 2 2 4" xfId="9782"/>
    <cellStyle name="Calculation 2 9 2 4" xfId="9783"/>
    <cellStyle name="Output 2 5 2 2 4" xfId="9784"/>
    <cellStyle name="Output 2 3 2 2 4" xfId="9785"/>
    <cellStyle name="Note 2 2 6 2 4" xfId="9786"/>
    <cellStyle name="Note 2 9 2 4" xfId="9787"/>
    <cellStyle name="Note 7 2 3 4 4" xfId="9788"/>
    <cellStyle name="Note 6 2 3 4 4" xfId="9789"/>
    <cellStyle name="Input 5 4 4 4" xfId="9790"/>
    <cellStyle name="Input 4 4 4 4" xfId="9791"/>
    <cellStyle name="Output 10 4 4" xfId="9792"/>
    <cellStyle name="Calculation 2 7 4 4" xfId="9793"/>
    <cellStyle name="Input 2 7 4 4" xfId="9794"/>
    <cellStyle name="Input 3 3 4 4" xfId="9795"/>
    <cellStyle name="Note 4 4 9" xfId="9796"/>
    <cellStyle name="Total 5 4 2 7" xfId="9797"/>
    <cellStyle name="styleSeriesDataForecast 2 9" xfId="9798"/>
    <cellStyle name="Calculation 2 7 2 8" xfId="9799"/>
    <cellStyle name="Total 5 3 2 7" xfId="9800"/>
    <cellStyle name="Total 4 4 2 7" xfId="9801"/>
    <cellStyle name="Output 2 6 2 7" xfId="9802"/>
    <cellStyle name="Input 16 2 7" xfId="9803"/>
    <cellStyle name="Calculation 10 2 7" xfId="9804"/>
    <cellStyle name="Output 4 3 2 7" xfId="9805"/>
    <cellStyle name="Output 5 2 2 7" xfId="9806"/>
    <cellStyle name="Style 26 2 2 7" xfId="9807"/>
    <cellStyle name="Input 5 2 2 7" xfId="9808"/>
    <cellStyle name="Calculation 7 2 7" xfId="9809"/>
    <cellStyle name="Total 2 2 2 3 8" xfId="9810"/>
    <cellStyle name="Style 24 8" xfId="9811"/>
    <cellStyle name="Style 23 2 8" xfId="9812"/>
    <cellStyle name="Output 5 4 5 5" xfId="9813"/>
    <cellStyle name="Output 3 7 7" xfId="9814"/>
    <cellStyle name="Total 2 2 2 3 7" xfId="9815"/>
    <cellStyle name="Total 2 2 3 2 7" xfId="9816"/>
    <cellStyle name="Total 2 6 2 7" xfId="9817"/>
    <cellStyle name="Total 2 4 2 7" xfId="9818"/>
    <cellStyle name="Total 2 3 2 7" xfId="9819"/>
    <cellStyle name="Total 2 2 4 2 7" xfId="9820"/>
    <cellStyle name="Input 2 2 2 3 7" xfId="9821"/>
    <cellStyle name="Input 2 4 3 7" xfId="9822"/>
    <cellStyle name="Input 3 6 7" xfId="9823"/>
    <cellStyle name="Input 5 6 7" xfId="9824"/>
    <cellStyle name="Calculation 2 5 3 7" xfId="9825"/>
    <cellStyle name="Total 2 12 7" xfId="9826"/>
    <cellStyle name="Total 2 2 4 3 7" xfId="9827"/>
    <cellStyle name="Total 2 4 3 7" xfId="9828"/>
    <cellStyle name="Input 5 2 3 5" xfId="9829"/>
    <cellStyle name="Input 2 2 2 2 7" xfId="9830"/>
    <cellStyle name="Input 2 9 7" xfId="9831"/>
    <cellStyle name="Input 2 5 3 7" xfId="9832"/>
    <cellStyle name="Header2 2 7" xfId="9833"/>
    <cellStyle name="Note 2 3 2 3 7" xfId="9834"/>
    <cellStyle name="Note 2 5 3 7" xfId="9835"/>
    <cellStyle name="Note 3 3 3 7" xfId="9836"/>
    <cellStyle name="Note 4 2 6 7" xfId="9837"/>
    <cellStyle name="Calculation 2 7 10" xfId="9838"/>
    <cellStyle name="Input 3 4 5 4" xfId="9839"/>
    <cellStyle name="Calculation 5 3 5 4" xfId="9840"/>
    <cellStyle name="Input 4 4 5 4" xfId="9841"/>
    <cellStyle name="Output 3 5 3 4" xfId="9842"/>
    <cellStyle name="Note 8 3 3 4" xfId="9843"/>
    <cellStyle name="Note 7 2 3 3 4" xfId="9844"/>
    <cellStyle name="Note 7 4 3 4" xfId="9845"/>
    <cellStyle name="Input 2 8 3 4" xfId="9846"/>
    <cellStyle name="Calculation 4 4 3 4" xfId="9847"/>
    <cellStyle name="Calculation 3 4 3 4" xfId="9848"/>
    <cellStyle name="Calculation 2 8 3 4" xfId="9849"/>
    <cellStyle name="Note 2 2 2 4 6" xfId="9850"/>
    <cellStyle name="styleSeriesAttributes 2 9" xfId="9851"/>
    <cellStyle name="Input 13 2 8" xfId="9852"/>
    <cellStyle name="Total 5 2 3 4" xfId="9853"/>
    <cellStyle name="Total 4 3 3 4" xfId="9854"/>
    <cellStyle name="Note 7 2 2 3 4" xfId="9855"/>
    <cellStyle name="Note 6 2 2 3 4" xfId="9856"/>
    <cellStyle name="Note 6 3 3 4" xfId="9857"/>
    <cellStyle name="Note 5 2 2 3 4" xfId="9858"/>
    <cellStyle name="Note 3 5 3 4" xfId="9859"/>
    <cellStyle name="Calculation 3 3 3 4" xfId="9860"/>
    <cellStyle name="Calculation 5 2 3 4" xfId="9861"/>
    <cellStyle name="Input 13 3 4" xfId="9862"/>
    <cellStyle name="Input 15 3 4" xfId="9863"/>
    <cellStyle name="Calculation 7 8" xfId="9864"/>
    <cellStyle name="Calculation 2 6 8" xfId="9865"/>
    <cellStyle name="Calculation 3 2 8" xfId="9866"/>
    <cellStyle name="Calculation 4 2 8" xfId="9867"/>
    <cellStyle name="Calculation 5 9" xfId="9868"/>
    <cellStyle name="Calculation 8 3 4" xfId="9869"/>
    <cellStyle name="Output 9 7" xfId="9870"/>
    <cellStyle name="Calculation 9 3 4" xfId="9871"/>
    <cellStyle name="Input 11 3 4" xfId="9872"/>
    <cellStyle name="Input 12 3 4" xfId="9873"/>
    <cellStyle name="Output 4 2 3 4" xfId="9874"/>
    <cellStyle name="Output 7 3 4" xfId="9875"/>
    <cellStyle name="Output 2 6 3 4" xfId="9876"/>
    <cellStyle name="Note 7 2 5 4" xfId="9877"/>
    <cellStyle name="Output 2 9 5 4" xfId="9878"/>
    <cellStyle name="Note 8 3 5 4" xfId="9879"/>
    <cellStyle name="Note 2 6 4 5" xfId="9880"/>
    <cellStyle name="Total 3 5 5 4" xfId="9881"/>
    <cellStyle name="Input 2 2 5 3 4" xfId="9882"/>
    <cellStyle name="Note 11 4 4" xfId="9883"/>
    <cellStyle name="Input 10 3 6" xfId="9884"/>
    <cellStyle name="Total 2 2 2 2 7" xfId="9885"/>
    <cellStyle name="Total 4 5 9" xfId="9886"/>
    <cellStyle name="Note 3 2 6 9" xfId="9887"/>
    <cellStyle name="Input 18 9" xfId="9888"/>
    <cellStyle name="Note 7 2 2 8" xfId="9889"/>
    <cellStyle name="Note 3 2 5 8" xfId="9890"/>
    <cellStyle name="Calculation 5 2 9" xfId="9891"/>
    <cellStyle name="Note 12 3 5" xfId="9892"/>
    <cellStyle name="Calculation 8 10" xfId="9893"/>
    <cellStyle name="Input 4 3 9" xfId="9894"/>
    <cellStyle name="Input 2 7 9" xfId="9895"/>
    <cellStyle name="Input 3 3 9" xfId="9896"/>
    <cellStyle name="Total 3 4 2 2 5" xfId="9897"/>
    <cellStyle name="Style 25 2 2 7" xfId="9898"/>
    <cellStyle name="Note 2 9 2 5" xfId="9899"/>
    <cellStyle name="Input 3 3 3 5" xfId="9900"/>
    <cellStyle name="Input 11 9" xfId="9901"/>
    <cellStyle name="Input 12 9" xfId="9902"/>
    <cellStyle name="Input 2 7 3 5" xfId="9903"/>
    <cellStyle name="Calculation 8 9" xfId="9904"/>
    <cellStyle name="Output 7 2 7" xfId="9905"/>
    <cellStyle name="Calculation 11 2 2 5" xfId="9906"/>
    <cellStyle name="Output 2 6 8" xfId="9907"/>
    <cellStyle name="Output 5 11" xfId="9908"/>
    <cellStyle name="Output 4 2 8" xfId="9909"/>
    <cellStyle name="Output 3 2 8" xfId="9910"/>
    <cellStyle name="Note 3 2 4 8" xfId="9911"/>
    <cellStyle name="Note 2 2 3 8" xfId="9912"/>
    <cellStyle name="Note 2 6 8" xfId="9913"/>
    <cellStyle name="Input 10 8" xfId="9914"/>
    <cellStyle name="Input 2 6 8" xfId="9915"/>
    <cellStyle name="Input 3 2 8" xfId="9916"/>
    <cellStyle name="Input 4 2 8" xfId="9917"/>
    <cellStyle name="Input 5 2 8" xfId="9918"/>
    <cellStyle name="Note 6 12" xfId="9919"/>
    <cellStyle name="Calculation 9 10" xfId="9920"/>
    <cellStyle name="Output 8 9" xfId="9921"/>
    <cellStyle name="Total 8 9" xfId="9922"/>
    <cellStyle name="Input 11 3 5" xfId="9923"/>
    <cellStyle name="Note 5 3 9" xfId="9924"/>
    <cellStyle name="Note 8 2 9" xfId="9925"/>
    <cellStyle name="Output 3 4 9" xfId="9926"/>
    <cellStyle name="Calculation 5 10" xfId="9927"/>
    <cellStyle name="Input 2 2 3 2 2 5" xfId="9928"/>
    <cellStyle name="Note 11 7" xfId="9929"/>
    <cellStyle name="Note 2 6 7" xfId="9930"/>
    <cellStyle name="Note 2 2 3 7" xfId="9931"/>
    <cellStyle name="Note 3 4 7" xfId="9932"/>
    <cellStyle name="Note 3 2 4 7" xfId="9933"/>
    <cellStyle name="Note 4 3 7" xfId="9934"/>
    <cellStyle name="Note 4 2 2 7" xfId="9935"/>
    <cellStyle name="Note 5 10" xfId="9936"/>
    <cellStyle name="Note 5 2 9" xfId="9937"/>
    <cellStyle name="Note 6 10" xfId="9938"/>
    <cellStyle name="Note 6 2 9" xfId="9939"/>
    <cellStyle name="Note 7 10" xfId="9940"/>
    <cellStyle name="Note 7 2 9" xfId="9941"/>
    <cellStyle name="Note 8 9" xfId="9942"/>
    <cellStyle name="Note 9 8" xfId="9943"/>
    <cellStyle name="Output 7 7" xfId="9944"/>
    <cellStyle name="Output 2 6 7" xfId="9945"/>
    <cellStyle name="Output 3 2 7" xfId="9946"/>
    <cellStyle name="Output 4 2 7" xfId="9947"/>
    <cellStyle name="Output 5 10" xfId="9948"/>
    <cellStyle name="Note 2 2 2 3 2 4" xfId="9949"/>
    <cellStyle name="Calculation 2 2 4 2 3 5" xfId="9950"/>
    <cellStyle name="Input 21 5 5" xfId="9951"/>
    <cellStyle name="Header2 2 3 5" xfId="9952"/>
    <cellStyle name="Output 8 3 5" xfId="9953"/>
    <cellStyle name="Total 2 2 4 2 2 4" xfId="9954"/>
    <cellStyle name="Note 7 3 3 5" xfId="9955"/>
    <cellStyle name="Note 7 2 2 3 5" xfId="9956"/>
    <cellStyle name="Output 13 3 5" xfId="9957"/>
    <cellStyle name="Note 2 4 4 8" xfId="9958"/>
    <cellStyle name="styleDateRange 3 4" xfId="9959"/>
    <cellStyle name="Total 4 2 2 2 4" xfId="9960"/>
    <cellStyle name="Total 8 2 8" xfId="9961"/>
    <cellStyle name="Total 9 2 8" xfId="9962"/>
    <cellStyle name="Output 2 8 2 8" xfId="9963"/>
    <cellStyle name="Output 4 4 2 8" xfId="9964"/>
    <cellStyle name="Output 5 3 2 8" xfId="9965"/>
    <cellStyle name="Total 11 2 8" xfId="9966"/>
    <cellStyle name="Total 3 3 2 8" xfId="9967"/>
    <cellStyle name="Total 5 2 2 8" xfId="9968"/>
    <cellStyle name="Note 3 2 6 2 8" xfId="9969"/>
    <cellStyle name="Note 6 4 2 8" xfId="9970"/>
    <cellStyle name="Note 6 2 3 2 8" xfId="9971"/>
    <cellStyle name="Note 8 3 2 8" xfId="9972"/>
    <cellStyle name="Note 2 2 2 3 3 5" xfId="9973"/>
    <cellStyle name="Note 7 2 3 5 5" xfId="9974"/>
    <cellStyle name="Note 3 2 6 5 5" xfId="9975"/>
    <cellStyle name="Output 13 5 5" xfId="9976"/>
    <cellStyle name="Input 14 5 5" xfId="9977"/>
    <cellStyle name="Input 5 3 5 5" xfId="9978"/>
    <cellStyle name="styleDateRange 2 2 2 5" xfId="9979"/>
    <cellStyle name="styleSeriesDataForecast 2 2 2 5" xfId="9980"/>
    <cellStyle name="Calculation 10 5 5" xfId="9981"/>
    <cellStyle name="Total 7 7" xfId="9982"/>
    <cellStyle name="Total 2 7 7" xfId="9983"/>
    <cellStyle name="Total 3 2 7" xfId="9984"/>
    <cellStyle name="Total 4 2 7" xfId="9985"/>
    <cellStyle name="Total 5 10" xfId="9986"/>
    <cellStyle name="Total 4 5 2 2 5" xfId="9987"/>
    <cellStyle name="Note 2 3 3 3 5" xfId="9988"/>
    <cellStyle name="Input 2 10 3 5" xfId="9989"/>
    <cellStyle name="Calculation 2 2 2 3 3 5" xfId="9990"/>
    <cellStyle name="StmtTtl2 2 3 5" xfId="9991"/>
    <cellStyle name="Calculation 8 8" xfId="9992"/>
    <cellStyle name="Input 6 3 3 4" xfId="9993"/>
    <cellStyle name="Input 12 8" xfId="9994"/>
    <cellStyle name="Note 9 9" xfId="9995"/>
    <cellStyle name="Input 8 3 2 5" xfId="9996"/>
    <cellStyle name="Output 7 8" xfId="9997"/>
    <cellStyle name="Input 11 8" xfId="9998"/>
    <cellStyle name="Total 5 6 4" xfId="9999"/>
    <cellStyle name="Calculation 9 8" xfId="10000"/>
    <cellStyle name="Note 2 2 4 4 5" xfId="10001"/>
    <cellStyle name="Output 8 7" xfId="10002"/>
    <cellStyle name="Note 5 7 5" xfId="10003"/>
    <cellStyle name="Total 2 2 5 7" xfId="10004"/>
    <cellStyle name="Output 2 5 3 7" xfId="10005"/>
    <cellStyle name="Style 24 2 2 7" xfId="10006"/>
    <cellStyle name="Note 9 3 7" xfId="10007"/>
    <cellStyle name="Note 2 3 2 3 2 4" xfId="10008"/>
    <cellStyle name="Total 2 2 3 2 2 4" xfId="10009"/>
    <cellStyle name="styleColumnTitles 2 3 4" xfId="10010"/>
    <cellStyle name="Total 3 2 2 2 4" xfId="10011"/>
    <cellStyle name="Input 3 5 2 5" xfId="10012"/>
    <cellStyle name="Note 4 6 2 5" xfId="10013"/>
    <cellStyle name="Output 4 3 2 2 5" xfId="10014"/>
    <cellStyle name="Total 8 7" xfId="10015"/>
    <cellStyle name="Output 9 4 5" xfId="10016"/>
    <cellStyle name="Total 9 7" xfId="10017"/>
    <cellStyle name="Total 12 2 2 4" xfId="10018"/>
    <cellStyle name="Calculation 3 3 2 2 4" xfId="10019"/>
    <cellStyle name="Total 7 2 2 4" xfId="10020"/>
    <cellStyle name="Calculation 2 6 2 2 4" xfId="10021"/>
    <cellStyle name="Style 26 2 3 4" xfId="10022"/>
    <cellStyle name="Note 2 4 2 2 2 4" xfId="10023"/>
    <cellStyle name="Total 2 2 5 2 4" xfId="10024"/>
    <cellStyle name="Total 2 12 2 4" xfId="10025"/>
    <cellStyle name="Input 3 4 4 4" xfId="10026"/>
    <cellStyle name="Input 4 3 4 4" xfId="10027"/>
    <cellStyle name="Note 9 5 4" xfId="10028"/>
    <cellStyle name="Total 4 5 2 7" xfId="10029"/>
    <cellStyle name="Calculation 2 6 4 5" xfId="10030"/>
    <cellStyle name="Total 3 4 2 7" xfId="10031"/>
    <cellStyle name="Note 2 7 2 7" xfId="10032"/>
    <cellStyle name="Note 8 4 8" xfId="10033"/>
    <cellStyle name="Note 7 2 4 7" xfId="10034"/>
    <cellStyle name="Calculation 4 2 4 5" xfId="10035"/>
    <cellStyle name="Output 5 2 7" xfId="10036"/>
    <cellStyle name="Output 4 3 7" xfId="10037"/>
    <cellStyle name="Output 3 3 7" xfId="10038"/>
    <cellStyle name="Output 2 7 7" xfId="10039"/>
    <cellStyle name="Output 11 7" xfId="10040"/>
    <cellStyle name="Style 23 8" xfId="10041"/>
    <cellStyle name="Output 2 2 4 3 7" xfId="10042"/>
    <cellStyle name="Output 2 3 2 7" xfId="10043"/>
    <cellStyle name="Output 13 3 4" xfId="10044"/>
    <cellStyle name="Input 5 3 8" xfId="10045"/>
    <cellStyle name="Input 4 3 8" xfId="10046"/>
    <cellStyle name="Input 3 3 8" xfId="10047"/>
    <cellStyle name="Input 2 7 8" xfId="10048"/>
    <cellStyle name="Calculation 10 8" xfId="10049"/>
    <cellStyle name="Input 14 8" xfId="10050"/>
    <cellStyle name="Input 16 8" xfId="10051"/>
    <cellStyle name="Note 7 7 5" xfId="10052"/>
    <cellStyle name="Input 17 8" xfId="10053"/>
    <cellStyle name="Input 15 8" xfId="10054"/>
    <cellStyle name="Input 13 8" xfId="10055"/>
    <cellStyle name="Calculation 5 2 8" xfId="10056"/>
    <cellStyle name="Calculation 4 3 8" xfId="10057"/>
    <cellStyle name="Calculation 3 3 8" xfId="10058"/>
    <cellStyle name="Calculation 2 7 8" xfId="10059"/>
    <cellStyle name="Calculation 11 8" xfId="10060"/>
    <cellStyle name="Input 6 4 2 5" xfId="10061"/>
    <cellStyle name="Output 10 7" xfId="10062"/>
    <cellStyle name="Note 12 7" xfId="10063"/>
    <cellStyle name="Note 2 7 7" xfId="10064"/>
    <cellStyle name="Note 2 2 4 7" xfId="10065"/>
    <cellStyle name="Note 3 5 7" xfId="10066"/>
    <cellStyle name="Note 3 2 5 7" xfId="10067"/>
    <cellStyle name="Note 4 4 7" xfId="10068"/>
    <cellStyle name="Note 4 2 3 7" xfId="10069"/>
    <cellStyle name="Note 5 3 7" xfId="10070"/>
    <cellStyle name="Note 5 2 2 7" xfId="10071"/>
    <cellStyle name="Note 6 3 7" xfId="10072"/>
    <cellStyle name="Note 6 2 2 7" xfId="10073"/>
    <cellStyle name="Note 7 3 7" xfId="10074"/>
    <cellStyle name="Note 7 2 2 7" xfId="10075"/>
    <cellStyle name="Note 8 2 7" xfId="10076"/>
    <cellStyle name="Note 9 2 7" xfId="10077"/>
    <cellStyle name="Output 12 7" xfId="10078"/>
    <cellStyle name="Output 2 8 7" xfId="10079"/>
    <cellStyle name="Output 3 4 7" xfId="10080"/>
    <cellStyle name="Output 4 4 7" xfId="10081"/>
    <cellStyle name="Output 5 3 7" xfId="10082"/>
    <cellStyle name="Calculation 3 2 4 5" xfId="10083"/>
    <cellStyle name="Calculation 7 4 5" xfId="10084"/>
    <cellStyle name="Total 10 7" xfId="10085"/>
    <cellStyle name="Input 6 3 2 5" xfId="10086"/>
    <cellStyle name="Total 2 3 3 2 5" xfId="10087"/>
    <cellStyle name="Input 5 3 2 2 5" xfId="10088"/>
    <cellStyle name="Total 11 7" xfId="10089"/>
    <cellStyle name="Total 2 8 7" xfId="10090"/>
    <cellStyle name="Total 3 3 7" xfId="10091"/>
    <cellStyle name="Total 4 3 7" xfId="10092"/>
    <cellStyle name="Total 5 2 7" xfId="10093"/>
    <cellStyle name="Note 11 3 5" xfId="10094"/>
    <cellStyle name="Calculation 2 5 3 2 5" xfId="10095"/>
    <cellStyle name="Style 21 2 2 2 5" xfId="10096"/>
    <cellStyle name="Input 2 7 2 2 5" xfId="10097"/>
    <cellStyle name="Total 12 7" xfId="10098"/>
    <cellStyle name="Total 2 9 7" xfId="10099"/>
    <cellStyle name="Total 3 4 7" xfId="10100"/>
    <cellStyle name="Total 4 4 7" xfId="10101"/>
    <cellStyle name="Total 5 3 7" xfId="10102"/>
    <cellStyle name="Note 3 2 4 3 5" xfId="10103"/>
    <cellStyle name="Note 4 3 3 5" xfId="10104"/>
    <cellStyle name="Note 4 2 2 3 5" xfId="10105"/>
    <cellStyle name="Input 3 3 2 2 4" xfId="10106"/>
    <cellStyle name="styleSeriesAttributes 2 2 2 4" xfId="10107"/>
    <cellStyle name="Total 3 7 2 4" xfId="10108"/>
    <cellStyle name="Input 3 5 2 4" xfId="10109"/>
    <cellStyle name="Calculation 12 4 4" xfId="10110"/>
    <cellStyle name="Note 3 2 6 5 4" xfId="10111"/>
    <cellStyle name="Note 6 2 3 2 7" xfId="10112"/>
    <cellStyle name="Total 11 2 7" xfId="10113"/>
    <cellStyle name="Total 9 2 7" xfId="10114"/>
    <cellStyle name="Note 5 2 2 2 2 5" xfId="10115"/>
    <cellStyle name="Input 3 5 3 4" xfId="10116"/>
    <cellStyle name="Note 6 2 2 8" xfId="10117"/>
    <cellStyle name="Input 18 8" xfId="10118"/>
    <cellStyle name="Note 3 2 6 3 5" xfId="10119"/>
    <cellStyle name="Output 10 2 2 5" xfId="10120"/>
    <cellStyle name="Calculation 12 8" xfId="10121"/>
    <cellStyle name="Input 19 8" xfId="10122"/>
    <cellStyle name="Note 13 8" xfId="10123"/>
    <cellStyle name="Output 13 8" xfId="10124"/>
    <cellStyle name="Total 13 8" xfId="10125"/>
    <cellStyle name="Note 6 2 5 4" xfId="10126"/>
    <cellStyle name="Input 5 3 9" xfId="10127"/>
    <cellStyle name="Calculation 2 8 8" xfId="10128"/>
    <cellStyle name="Calculation 3 4 8" xfId="10129"/>
    <cellStyle name="Calculation 4 4 8" xfId="10130"/>
    <cellStyle name="Calculation 5 3 8" xfId="10131"/>
    <cellStyle name="styleColumnTitles 9" xfId="10132"/>
    <cellStyle name="Input 2 8 8" xfId="10133"/>
    <cellStyle name="Input 3 4 8" xfId="10134"/>
    <cellStyle name="Input 4 4 8" xfId="10135"/>
    <cellStyle name="Input 5 4 8" xfId="10136"/>
    <cellStyle name="Note 2 8 8" xfId="10137"/>
    <cellStyle name="Note 2 2 5 8" xfId="10138"/>
    <cellStyle name="Note 3 6 8" xfId="10139"/>
    <cellStyle name="Note 3 2 6 8" xfId="10140"/>
    <cellStyle name="Note 4 5 8" xfId="10141"/>
    <cellStyle name="Note 4 2 4 8" xfId="10142"/>
    <cellStyle name="Note 5 4 8" xfId="10143"/>
    <cellStyle name="Note 5 2 3 8" xfId="10144"/>
    <cellStyle name="Note 6 4 8" xfId="10145"/>
    <cellStyle name="Note 6 2 3 8" xfId="10146"/>
    <cellStyle name="Note 7 4 8" xfId="10147"/>
    <cellStyle name="Note 7 2 3 8" xfId="10148"/>
    <cellStyle name="Note 8 3 8" xfId="10149"/>
    <cellStyle name="Output 2 9 8" xfId="10150"/>
    <cellStyle name="Output 3 5 8" xfId="10151"/>
    <cellStyle name="Output 4 5 8" xfId="10152"/>
    <cellStyle name="Output 5 4 8" xfId="10153"/>
    <cellStyle name="Note 3 8 2 5" xfId="10154"/>
    <cellStyle name="Style 26 2 2 2 5" xfId="10155"/>
    <cellStyle name="Total 2 10 8" xfId="10156"/>
    <cellStyle name="Total 3 5 8" xfId="10157"/>
    <cellStyle name="Total 4 5 8" xfId="10158"/>
    <cellStyle name="Total 5 4 8" xfId="10159"/>
    <cellStyle name="Calculation 2 10 3 5" xfId="10160"/>
    <cellStyle name="Input 20 8" xfId="10161"/>
    <cellStyle name="Note 11 3 4" xfId="10162"/>
    <cellStyle name="Output 11 8" xfId="10163"/>
    <cellStyle name="Input 8 2 8" xfId="10164"/>
    <cellStyle name="Output 3 5 2 8" xfId="10165"/>
    <cellStyle name="Total 2 8 2 8" xfId="10166"/>
    <cellStyle name="Total 4 3 2 8" xfId="10167"/>
    <cellStyle name="Note 5 4 2 8" xfId="10168"/>
    <cellStyle name="Note 4 2 4 2 8" xfId="10169"/>
    <cellStyle name="Note 7 2 3 2 8" xfId="10170"/>
    <cellStyle name="Note 7 4 2 8" xfId="10171"/>
    <cellStyle name="Output 2 9 2 8" xfId="10172"/>
    <cellStyle name="styleSeriesDataNA 2 2 2 5" xfId="10173"/>
    <cellStyle name="styleSeriesDataForecastNA 2 2 2 5" xfId="10174"/>
    <cellStyle name="Input 2 3 2 3 4" xfId="10175"/>
    <cellStyle name="Input 21 8" xfId="10176"/>
    <cellStyle name="Input 10 3 5" xfId="10177"/>
    <cellStyle name="styleDateRange 2 2 8" xfId="10178"/>
    <cellStyle name="Note 6 7 3" xfId="10179"/>
    <cellStyle name="Note 5 7 3" xfId="10180"/>
    <cellStyle name="Note 4 3 4 3" xfId="10181"/>
    <cellStyle name="Note 3 4 4 3" xfId="10182"/>
    <cellStyle name="Note 2 6 4 3" xfId="10183"/>
    <cellStyle name="Input 5 2 4 3" xfId="10184"/>
    <cellStyle name="Input 4 2 4 3" xfId="10185"/>
    <cellStyle name="Input 3 2 4 3" xfId="10186"/>
    <cellStyle name="Note 3 5 2 2 4" xfId="10187"/>
    <cellStyle name="Input 3 2 2 2 4" xfId="10188"/>
    <cellStyle name="Input 2 2 6 2 4" xfId="10189"/>
    <cellStyle name="Output 2 10 2 4" xfId="10190"/>
    <cellStyle name="Note 4 5 4 4" xfId="10191"/>
    <cellStyle name="Calculation 5 6 3" xfId="10192"/>
    <cellStyle name="Calculation 4 2 4 3" xfId="10193"/>
    <cellStyle name="Calculation 3 2 4 3" xfId="10194"/>
    <cellStyle name="Calculation 2 6 4 3" xfId="10195"/>
    <cellStyle name="Calculation 7 4 3" xfId="10196"/>
    <cellStyle name="Input 15 4 4" xfId="10197"/>
    <cellStyle name="Calculation 3 2 5 3" xfId="10198"/>
    <cellStyle name="Calculation 4 2 5 3" xfId="10199"/>
    <cellStyle name="Input 10 5 3" xfId="10200"/>
    <cellStyle name="Input 2 2 2 3 2 5" xfId="10201"/>
    <cellStyle name="Output 2 2 2 3 8" xfId="10202"/>
    <cellStyle name="Calculation 8 5 3" xfId="10203"/>
    <cellStyle name="Output 9 2 7" xfId="10204"/>
    <cellStyle name="Input 16 5 3" xfId="10205"/>
    <cellStyle name="Style 26 2 8" xfId="10206"/>
    <cellStyle name="Total 13 5 3" xfId="10207"/>
    <cellStyle name="Calculation 3 4 5 3" xfId="10208"/>
    <cellStyle name="Calculation 2 9 3 3" xfId="10209"/>
    <cellStyle name="Calculation 2 2 5 3 3" xfId="10210"/>
    <cellStyle name="Calculation 2 2 3 2 3 3" xfId="10211"/>
    <cellStyle name="Calculation 2 3 2 3 3" xfId="10212"/>
    <cellStyle name="Total 2 4 3 3 3" xfId="10213"/>
    <cellStyle name="Calculation 2 11 4" xfId="10214"/>
    <cellStyle name="Calculation 2 2 7 4" xfId="10215"/>
    <cellStyle name="Calculation 2 2 2 4 4" xfId="10216"/>
    <cellStyle name="Calculation 2 2 3 4 4" xfId="10217"/>
    <cellStyle name="Calculation 2 2 4 4 4" xfId="10218"/>
    <cellStyle name="Calculation 2 3 4 4" xfId="10219"/>
    <cellStyle name="Calculation 2 4 4 4" xfId="10220"/>
    <cellStyle name="Calculation 3 7 4" xfId="10221"/>
    <cellStyle name="Header2 3 4" xfId="10222"/>
    <cellStyle name="Input 2 11 4" xfId="10223"/>
    <cellStyle name="Input 2 2 7 4" xfId="10224"/>
    <cellStyle name="Input 2 2 2 4 4" xfId="10225"/>
    <cellStyle name="Input 2 2 3 4 4" xfId="10226"/>
    <cellStyle name="Input 2 2 4 4 4" xfId="10227"/>
    <cellStyle name="Input 2 3 4 4" xfId="10228"/>
    <cellStyle name="Input 2 4 4 4" xfId="10229"/>
    <cellStyle name="Input 5 7 4" xfId="10230"/>
    <cellStyle name="Input 6 5 4" xfId="10231"/>
    <cellStyle name="Input 7 4 4" xfId="10232"/>
    <cellStyle name="Input 8 4 4" xfId="10233"/>
    <cellStyle name="Input 16 3 5" xfId="10234"/>
    <cellStyle name="Output 5 3 4 5" xfId="10235"/>
    <cellStyle name="Calculation 5 2 5 3" xfId="10236"/>
    <cellStyle name="Input 18 5 3" xfId="10237"/>
    <cellStyle name="Calculation 3 5 3 3" xfId="10238"/>
    <cellStyle name="Input 7 2 3 3" xfId="10239"/>
    <cellStyle name="Note 2 3 5 4" xfId="10240"/>
    <cellStyle name="Note 2 4 5 4" xfId="10241"/>
    <cellStyle name="Note 3 2 9 4" xfId="10242"/>
    <cellStyle name="Note 3 2 2 4 4" xfId="10243"/>
    <cellStyle name="Output 2 12 4" xfId="10244"/>
    <cellStyle name="Output 2 2 7 4" xfId="10245"/>
    <cellStyle name="Output 2 2 2 4 4" xfId="10246"/>
    <cellStyle name="Output 2 2 3 4 4" xfId="10247"/>
    <cellStyle name="Output 2 2 4 4 4" xfId="10248"/>
    <cellStyle name="Output 2 3 4 4" xfId="10249"/>
    <cellStyle name="Output 2 4 4 4" xfId="10250"/>
    <cellStyle name="Output 3 8 4" xfId="10251"/>
    <cellStyle name="Header2 4 4" xfId="10252"/>
    <cellStyle name="Calculation 7 5 3" xfId="10253"/>
    <cellStyle name="Input 2 6 5 3" xfId="10254"/>
    <cellStyle name="Input 11 5 3" xfId="10255"/>
    <cellStyle name="Input 17 5 3" xfId="10256"/>
    <cellStyle name="Calculation 11 5 3" xfId="10257"/>
    <cellStyle name="Input 5 4 5 3" xfId="10258"/>
    <cellStyle name="Note 2 8 5 3" xfId="10259"/>
    <cellStyle name="Note 3 6 5 3" xfId="10260"/>
    <cellStyle name="StmtTtl2 4 4" xfId="10261"/>
    <cellStyle name="Input 21 5 3" xfId="10262"/>
    <cellStyle name="Calculation 2 2 4 2 3 3" xfId="10263"/>
    <cellStyle name="Calculation 2 4 2 3 3" xfId="10264"/>
    <cellStyle name="Header2 2 3 3" xfId="10265"/>
    <cellStyle name="Input 2 5 3 3 3" xfId="10266"/>
    <cellStyle name="Input 2 2 2 2 3 3" xfId="10267"/>
    <cellStyle name="Input 2 2 3 2 3 3" xfId="10268"/>
    <cellStyle name="Input 2 3 2 3 3" xfId="10269"/>
    <cellStyle name="Input 2 4 2 3 3" xfId="10270"/>
    <cellStyle name="Input 2 5 2 3 3" xfId="10271"/>
    <cellStyle name="Input 3 5 3 3" xfId="10272"/>
    <cellStyle name="Total 2 13 4" xfId="10273"/>
    <cellStyle name="Total 2 2 7 4" xfId="10274"/>
    <cellStyle name="Total 2 2 2 4 4" xfId="10275"/>
    <cellStyle name="Total 2 2 3 4 4" xfId="10276"/>
    <cellStyle name="Total 2 2 4 4 4" xfId="10277"/>
    <cellStyle name="Total 2 3 4 4" xfId="10278"/>
    <cellStyle name="Total 2 4 4 4" xfId="10279"/>
    <cellStyle name="Total 2 5 4 4" xfId="10280"/>
    <cellStyle name="Total 3 8 4" xfId="10281"/>
    <cellStyle name="Input 4 5 3 3" xfId="10282"/>
    <cellStyle name="Input 8 2 3 3" xfId="10283"/>
    <cellStyle name="Total 2 2 4 3 3 3" xfId="10284"/>
    <cellStyle name="Total 2 2 3 3 3 3" xfId="10285"/>
    <cellStyle name="Input 20 5 4" xfId="10286"/>
    <cellStyle name="Note 3 2 4 4 3" xfId="10287"/>
    <cellStyle name="Note 11 4 3" xfId="10288"/>
    <cellStyle name="Input 2 6 4 3" xfId="10289"/>
    <cellStyle name="Input 3 2 5 3" xfId="10290"/>
    <cellStyle name="Note 4 2 6 3 3" xfId="10291"/>
    <cellStyle name="Calculation 2 5 4 4" xfId="10292"/>
    <cellStyle name="Output 2 9 9" xfId="10293"/>
    <cellStyle name="Style 22 2 3 5" xfId="10294"/>
    <cellStyle name="Input 2 5 4 4" xfId="10295"/>
    <cellStyle name="Total 3 5 5 3" xfId="10296"/>
    <cellStyle name="Input 2 2 5 3 3" xfId="10297"/>
    <cellStyle name="Input 5 5 3 3" xfId="10298"/>
    <cellStyle name="Total 2 12 3 3" xfId="10299"/>
    <cellStyle name="Note 2 2 2 4 4" xfId="10300"/>
    <cellStyle name="Note 2 3 2 4 4" xfId="10301"/>
    <cellStyle name="Note 2 4 2 4 4" xfId="10302"/>
    <cellStyle name="Note 2 5 4 4" xfId="10303"/>
    <cellStyle name="Note 3 3 4 4" xfId="10304"/>
    <cellStyle name="Output 2 5 4 4" xfId="10305"/>
    <cellStyle name="Calculation 2 6 5 3" xfId="10306"/>
    <cellStyle name="Input 4 2 5 3" xfId="10307"/>
    <cellStyle name="Input 5 2 5 3" xfId="10308"/>
    <cellStyle name="Calculation 9 5 3" xfId="10309"/>
    <cellStyle name="Note 2 2 5 5 3" xfId="10310"/>
    <cellStyle name="Input 20 5 3" xfId="10311"/>
    <cellStyle name="Input 2 2 4 2 3 3" xfId="10312"/>
    <cellStyle name="Total 2 6 4 4" xfId="10313"/>
    <cellStyle name="Input 2 5 3 3 5" xfId="10314"/>
    <cellStyle name="Total 2 2 4 4 5" xfId="10315"/>
    <cellStyle name="Note 5 2 6 3" xfId="10316"/>
    <cellStyle name="Note 4 2 2 4 3" xfId="10317"/>
    <cellStyle name="Note 2 2 3 4 3" xfId="10318"/>
    <cellStyle name="Output 8 2 2 4" xfId="10319"/>
    <cellStyle name="styleSeriesDataForecast 3 4" xfId="10320"/>
    <cellStyle name="Calculation 2 2 2 2 3 4" xfId="10321"/>
    <cellStyle name="Calculation 2 3 2 2 4" xfId="10322"/>
    <cellStyle name="Output 9 4 3" xfId="10323"/>
    <cellStyle name="Total 2 8 4 4" xfId="10324"/>
    <cellStyle name="Total 3 2 4 4" xfId="10325"/>
    <cellStyle name="Input 2 8 2 7" xfId="10326"/>
    <cellStyle name="Note 6 2 2 2 7" xfId="10327"/>
    <cellStyle name="Total 7 2 7" xfId="10328"/>
    <cellStyle name="styleSeriesAttributes 2 2 7" xfId="10329"/>
    <cellStyle name="Input 2 4 2 3 5" xfId="10330"/>
    <cellStyle name="Note 8 3 5 3" xfId="10331"/>
    <cellStyle name="Output 2 9 5 3" xfId="10332"/>
    <cellStyle name="Output 4 5 5 3" xfId="10333"/>
    <cellStyle name="Calculation 2 5 3 3 3" xfId="10334"/>
    <cellStyle name="Calculation 7 3 3" xfId="10335"/>
    <cellStyle name="Calculation 2 6 3 3" xfId="10336"/>
    <cellStyle name="Calculation 3 2 3 3" xfId="10337"/>
    <cellStyle name="Calculation 4 2 3 3" xfId="10338"/>
    <cellStyle name="Calculation 5 5 3" xfId="10339"/>
    <cellStyle name="Output 9 3 3" xfId="10340"/>
    <cellStyle name="Note 5 4 5 3" xfId="10341"/>
    <cellStyle name="Input 10 3 4" xfId="10342"/>
    <cellStyle name="Input 2 6 3 3" xfId="10343"/>
    <cellStyle name="Input 3 2 3 3" xfId="10344"/>
    <cellStyle name="Input 4 2 3 3" xfId="10345"/>
    <cellStyle name="Input 5 2 3 3" xfId="10346"/>
    <cellStyle name="Output 5 3 3 5" xfId="10347"/>
    <cellStyle name="Note 2 3 3 2 5" xfId="10348"/>
    <cellStyle name="Note 11 3 3" xfId="10349"/>
    <cellStyle name="Note 2 6 3 3" xfId="10350"/>
    <cellStyle name="Note 2 2 3 3 3" xfId="10351"/>
    <cellStyle name="Note 3 4 3 3" xfId="10352"/>
    <cellStyle name="Note 3 2 4 3 3" xfId="10353"/>
    <cellStyle name="Note 4 3 3 3" xfId="10354"/>
    <cellStyle name="Note 4 2 2 3 3" xfId="10355"/>
    <cellStyle name="Note 5 6 3" xfId="10356"/>
    <cellStyle name="Note 5 2 5 3" xfId="10357"/>
    <cellStyle name="Note 6 6 3" xfId="10358"/>
    <cellStyle name="Note 6 2 5 3" xfId="10359"/>
    <cellStyle name="Note 7 6 3" xfId="10360"/>
    <cellStyle name="Note 7 2 5 3" xfId="10361"/>
    <cellStyle name="Note 8 5 3" xfId="10362"/>
    <cellStyle name="Note 9 4 3" xfId="10363"/>
    <cellStyle name="Output 7 3 3" xfId="10364"/>
    <cellStyle name="Output 2 6 3 3" xfId="10365"/>
    <cellStyle name="Output 3 2 3 3" xfId="10366"/>
    <cellStyle name="Output 4 2 3 3" xfId="10367"/>
    <cellStyle name="Output 5 6 3" xfId="10368"/>
    <cellStyle name="Input 15 5 3" xfId="10369"/>
    <cellStyle name="Input 13 5 3" xfId="10370"/>
    <cellStyle name="Calculation 4 3 5 3" xfId="10371"/>
    <cellStyle name="Calculation 3 3 5 3" xfId="10372"/>
    <cellStyle name="Calculation 2 7 5 3" xfId="10373"/>
    <cellStyle name="Calculation 2 8 5 3" xfId="10374"/>
    <cellStyle name="Input 2 8 5 3" xfId="10375"/>
    <cellStyle name="Output 5 4 5 3" xfId="10376"/>
    <cellStyle name="Total 2 10 5 3" xfId="10377"/>
    <cellStyle name="Total 4 5 5 3" xfId="10378"/>
    <cellStyle name="Total 5 4 5 3" xfId="10379"/>
    <cellStyle name="Calculation 2 5 2 3 3" xfId="10380"/>
    <cellStyle name="Calculation 2 8 2 2 5" xfId="10381"/>
    <cellStyle name="Total 7 3 3" xfId="10382"/>
    <cellStyle name="Total 2 7 3 3" xfId="10383"/>
    <cellStyle name="Total 3 2 3 3" xfId="10384"/>
    <cellStyle name="Total 4 2 3 3" xfId="10385"/>
    <cellStyle name="Total 5 6 3" xfId="10386"/>
    <cellStyle name="Input 6 3 3 3" xfId="10387"/>
    <cellStyle name="Calculation 8 3 3" xfId="10388"/>
    <cellStyle name="Input 12 3 3" xfId="10389"/>
    <cellStyle name="Input 11 3 3" xfId="10390"/>
    <cellStyle name="Calculation 9 3 3" xfId="10391"/>
    <cellStyle name="Output 8 3 3" xfId="10392"/>
    <cellStyle name="Input 5 5 2 5" xfId="10393"/>
    <cellStyle name="Total 2 5 3 2 5" xfId="10394"/>
    <cellStyle name="Output 11 2 2 5" xfId="10395"/>
    <cellStyle name="Total 8 3 3" xfId="10396"/>
    <cellStyle name="Total 9 3 3" xfId="10397"/>
    <cellStyle name="Input 10 4 3" xfId="10398"/>
    <cellStyle name="Input 17 2 2 4" xfId="10399"/>
    <cellStyle name="Total 2 6 3 2 4" xfId="10400"/>
    <cellStyle name="StmtTtl2 3 2 4" xfId="10401"/>
    <cellStyle name="Input 8 2 2 4" xfId="10402"/>
    <cellStyle name="Calculation 2 8 4 4" xfId="10403"/>
    <cellStyle name="Output 4 3 4 4" xfId="10404"/>
    <cellStyle name="Output 3 5 2 7" xfId="10405"/>
    <cellStyle name="Note 2 2 2 3 2 5" xfId="10406"/>
    <cellStyle name="Calculation 2 7 4 5" xfId="10407"/>
    <cellStyle name="Output 5 2 3 3" xfId="10408"/>
    <cellStyle name="Output 4 3 3 3" xfId="10409"/>
    <cellStyle name="Output 3 3 3 3" xfId="10410"/>
    <cellStyle name="Output 2 7 3 3" xfId="10411"/>
    <cellStyle name="Output 11 3 3" xfId="10412"/>
    <cellStyle name="Input 5 3 3 3" xfId="10413"/>
    <cellStyle name="Input 4 3 3 3" xfId="10414"/>
    <cellStyle name="Input 3 3 3 3" xfId="10415"/>
    <cellStyle name="Input 2 7 3 3" xfId="10416"/>
    <cellStyle name="Calculation 10 3 3" xfId="10417"/>
    <cellStyle name="Input 14 3 3" xfId="10418"/>
    <cellStyle name="Input 16 3 3" xfId="10419"/>
    <cellStyle name="Input 17 3 3" xfId="10420"/>
    <cellStyle name="Input 15 3 3" xfId="10421"/>
    <cellStyle name="Input 13 3 3" xfId="10422"/>
    <cellStyle name="Calculation 5 2 3 3" xfId="10423"/>
    <cellStyle name="Calculation 4 3 3 3" xfId="10424"/>
    <cellStyle name="Calculation 3 3 3 3" xfId="10425"/>
    <cellStyle name="Calculation 2 7 3 3" xfId="10426"/>
    <cellStyle name="Calculation 11 3 3" xfId="10427"/>
    <cellStyle name="Calculation 12 3 5" xfId="10428"/>
    <cellStyle name="Calculation 5 4 2 5" xfId="10429"/>
    <cellStyle name="Output 10 3 3" xfId="10430"/>
    <cellStyle name="Note 12 3 3" xfId="10431"/>
    <cellStyle name="Note 2 7 3 3" xfId="10432"/>
    <cellStyle name="Note 2 2 4 3 3" xfId="10433"/>
    <cellStyle name="Note 3 5 3 3" xfId="10434"/>
    <cellStyle name="Note 3 2 5 3 3" xfId="10435"/>
    <cellStyle name="Note 4 4 3 3" xfId="10436"/>
    <cellStyle name="Note 4 2 3 3 3" xfId="10437"/>
    <cellStyle name="Note 5 3 3 3" xfId="10438"/>
    <cellStyle name="Note 5 2 2 3 3" xfId="10439"/>
    <cellStyle name="Note 6 3 3 3" xfId="10440"/>
    <cellStyle name="Note 6 2 2 3 3" xfId="10441"/>
    <cellStyle name="Note 7 3 3 3" xfId="10442"/>
    <cellStyle name="Note 7 2 2 3 3" xfId="10443"/>
    <cellStyle name="Note 8 2 3 3" xfId="10444"/>
    <cellStyle name="Note 9 2 3 3" xfId="10445"/>
    <cellStyle name="Output 12 3 3" xfId="10446"/>
    <cellStyle name="Output 2 8 3 3" xfId="10447"/>
    <cellStyle name="Output 3 4 3 3" xfId="10448"/>
    <cellStyle name="Output 4 4 3 3" xfId="10449"/>
    <cellStyle name="Output 5 3 3 3" xfId="10450"/>
    <cellStyle name="Total 10 3 3" xfId="10451"/>
    <cellStyle name="Input 8 2 2 5" xfId="10452"/>
    <cellStyle name="Total 2 2 2 3 2 5" xfId="10453"/>
    <cellStyle name="Input 3 3 2 2 5" xfId="10454"/>
    <cellStyle name="Total 11 3 3" xfId="10455"/>
    <cellStyle name="Total 2 8 3 3" xfId="10456"/>
    <cellStyle name="Total 3 3 3 3" xfId="10457"/>
    <cellStyle name="Total 4 3 3 3" xfId="10458"/>
    <cellStyle name="Total 5 2 3 3" xfId="10459"/>
    <cellStyle name="Note 3 2 2 3 2 5" xfId="10460"/>
    <cellStyle name="Style 24 2 2 2 5" xfId="10461"/>
    <cellStyle name="Input 14 2 2 5" xfId="10462"/>
    <cellStyle name="Total 12 3 3" xfId="10463"/>
    <cellStyle name="Total 2 9 3 3" xfId="10464"/>
    <cellStyle name="Total 3 4 3 3" xfId="10465"/>
    <cellStyle name="Total 4 4 3 3" xfId="10466"/>
    <cellStyle name="Total 5 3 3 3" xfId="10467"/>
    <cellStyle name="Output 3 3 2 2 4" xfId="10468"/>
    <cellStyle name="Style 24 2 2 2 4" xfId="10469"/>
    <cellStyle name="Note 3 8 2 4" xfId="10470"/>
    <cellStyle name="Input 2 2 3 2 2 4" xfId="10471"/>
    <cellStyle name="Note 2 4 2 3 3 4" xfId="10472"/>
    <cellStyle name="Total 8 4 4" xfId="10473"/>
    <cellStyle name="Note 4 5 2 7" xfId="10474"/>
    <cellStyle name="Output 5 3 2 7" xfId="10475"/>
    <cellStyle name="Output 8 2 7" xfId="10476"/>
    <cellStyle name="Note 3 8 7" xfId="10477"/>
    <cellStyle name="Input 2 4 2 3 4" xfId="10478"/>
    <cellStyle name="Note 5 2 2 8" xfId="10479"/>
    <cellStyle name="Input 18 3 3" xfId="10480"/>
    <cellStyle name="Output 2 2 4 2 3 5" xfId="10481"/>
    <cellStyle name="Calculation 4 2 5 5" xfId="10482"/>
    <cellStyle name="Calculation 12 3 3" xfId="10483"/>
    <cellStyle name="Input 19 3 3" xfId="10484"/>
    <cellStyle name="Note 13 3 3" xfId="10485"/>
    <cellStyle name="Output 13 3 3" xfId="10486"/>
    <cellStyle name="Total 13 3 3" xfId="10487"/>
    <cellStyle name="Note 4 3 3 4" xfId="10488"/>
    <cellStyle name="Calculation 2 8 3 3" xfId="10489"/>
    <cellStyle name="Calculation 3 4 3 3" xfId="10490"/>
    <cellStyle name="Calculation 4 4 3 3" xfId="10491"/>
    <cellStyle name="Calculation 5 3 3 3" xfId="10492"/>
    <cellStyle name="Input 2 8 3 3" xfId="10493"/>
    <cellStyle name="Input 3 4 3 3" xfId="10494"/>
    <cellStyle name="Input 4 4 3 3" xfId="10495"/>
    <cellStyle name="Input 5 4 3 3" xfId="10496"/>
    <cellStyle name="Note 2 8 3 3" xfId="10497"/>
    <cellStyle name="Note 2 2 5 3 3" xfId="10498"/>
    <cellStyle name="Note 3 6 3 3" xfId="10499"/>
    <cellStyle name="Note 3 2 6 3 3" xfId="10500"/>
    <cellStyle name="Note 4 5 3 3" xfId="10501"/>
    <cellStyle name="Note 4 2 4 3 3" xfId="10502"/>
    <cellStyle name="Note 5 4 3 3" xfId="10503"/>
    <cellStyle name="Note 5 2 3 3 3" xfId="10504"/>
    <cellStyle name="Note 6 4 3 3" xfId="10505"/>
    <cellStyle name="Note 6 2 3 3 3" xfId="10506"/>
    <cellStyle name="Note 7 4 3 3" xfId="10507"/>
    <cellStyle name="Note 7 2 3 3 3" xfId="10508"/>
    <cellStyle name="Note 8 3 3 3" xfId="10509"/>
    <cellStyle name="Output 2 9 3 3" xfId="10510"/>
    <cellStyle name="Output 3 5 3 3" xfId="10511"/>
    <cellStyle name="Output 4 5 3 3" xfId="10512"/>
    <cellStyle name="Output 5 4 3 3" xfId="10513"/>
    <cellStyle name="Total 2 10 3 3" xfId="10514"/>
    <cellStyle name="Total 3 5 3 3" xfId="10515"/>
    <cellStyle name="Total 4 5 3 3" xfId="10516"/>
    <cellStyle name="Total 5 4 3 3" xfId="10517"/>
    <cellStyle name="Input 20 3 3" xfId="10518"/>
    <cellStyle name="Note 9 3 8" xfId="10519"/>
    <cellStyle name="Input 4 4 5 3" xfId="10520"/>
    <cellStyle name="Calculation 5 3 5 3" xfId="10521"/>
    <cellStyle name="Calculation 4 4 5 3" xfId="10522"/>
    <cellStyle name="Input 3 4 5 3" xfId="10523"/>
    <cellStyle name="Note 4 2 3 3 5" xfId="10524"/>
    <cellStyle name="Calculation 2 4 2 3 4" xfId="10525"/>
    <cellStyle name="Input 21 3 3" xfId="10526"/>
    <cellStyle name="Calculation 3 2 3 4" xfId="10527"/>
    <cellStyle name="Calculation 2 9 2 5" xfId="10528"/>
    <cellStyle name="Note 5 2 6 5" xfId="10529"/>
    <cellStyle name="Calculation 8 2 8" xfId="10530"/>
    <cellStyle name="Input 4 4 5 5" xfId="10531"/>
    <cellStyle name="Note 4 2 6 6" xfId="10532"/>
    <cellStyle name="Note 3 3 3 6" xfId="10533"/>
    <cellStyle name="Note 2 5 3 6" xfId="10534"/>
    <cellStyle name="Note 2 4 2 3 6" xfId="10535"/>
    <cellStyle name="Note 2 3 2 3 6" xfId="10536"/>
    <cellStyle name="Note 2 2 2 3 6" xfId="10537"/>
    <cellStyle name="Calculation 2 9 6" xfId="10538"/>
    <cellStyle name="Calculation 2 2 5 6" xfId="10539"/>
    <cellStyle name="Calculation 2 2 2 2 6" xfId="10540"/>
    <cellStyle name="Calculation 2 2 3 2 6" xfId="10541"/>
    <cellStyle name="Calculation 2 2 4 2 6" xfId="10542"/>
    <cellStyle name="Calculation 2 3 2 6" xfId="10543"/>
    <cellStyle name="Calculation 2 4 2 6" xfId="10544"/>
    <cellStyle name="Calculation 2 5 2 6" xfId="10545"/>
    <cellStyle name="Calculation 3 5 6" xfId="10546"/>
    <cellStyle name="Calculation 2 2 5 3 4" xfId="10547"/>
    <cellStyle name="Calculation 2 6 4 4" xfId="10548"/>
    <cellStyle name="Header2 2 6" xfId="10549"/>
    <cellStyle name="Input 2 5 3 6" xfId="10550"/>
    <cellStyle name="Input 2 9 6" xfId="10551"/>
    <cellStyle name="Input 2 2 5 6" xfId="10552"/>
    <cellStyle name="Input 2 2 2 2 6" xfId="10553"/>
    <cellStyle name="Input 2 2 3 2 6" xfId="10554"/>
    <cellStyle name="Input 2 2 4 2 6" xfId="10555"/>
    <cellStyle name="Input 2 3 2 6" xfId="10556"/>
    <cellStyle name="Input 2 4 2 6" xfId="10557"/>
    <cellStyle name="Input 2 5 2 6" xfId="10558"/>
    <cellStyle name="Input 3 5 6" xfId="10559"/>
    <cellStyle name="Input 4 5 6" xfId="10560"/>
    <cellStyle name="Input 5 5 6" xfId="10561"/>
    <cellStyle name="Input 6 3 6" xfId="10562"/>
    <cellStyle name="Input 7 2 6" xfId="10563"/>
    <cellStyle name="Input 8 2 6" xfId="10564"/>
    <cellStyle name="Total 8 3 5" xfId="10565"/>
    <cellStyle name="Output 12 2 8" xfId="10566"/>
    <cellStyle name="Calculation 2 5 3 6" xfId="10567"/>
    <cellStyle name="Input 4 2 5 5" xfId="10568"/>
    <cellStyle name="Total 2 4 3 6" xfId="10569"/>
    <cellStyle name="Total 2 2 4 3 6" xfId="10570"/>
    <cellStyle name="Total 2 2 3 3 6" xfId="10571"/>
    <cellStyle name="Total 2 12 6" xfId="10572"/>
    <cellStyle name="Note 2 9 6" xfId="10573"/>
    <cellStyle name="Note 2 2 6 6" xfId="10574"/>
    <cellStyle name="Note 2 3 3 6" xfId="10575"/>
    <cellStyle name="Note 2 4 3 6" xfId="10576"/>
    <cellStyle name="Note 3 7 6" xfId="10577"/>
    <cellStyle name="Note 3 2 7 6" xfId="10578"/>
    <cellStyle name="Output 2 10 6" xfId="10579"/>
    <cellStyle name="Output 2 2 5 6" xfId="10580"/>
    <cellStyle name="Output 2 2 2 2 6" xfId="10581"/>
    <cellStyle name="Output 2 2 3 2 6" xfId="10582"/>
    <cellStyle name="Output 2 2 4 2 6" xfId="10583"/>
    <cellStyle name="Output 2 3 2 6" xfId="10584"/>
    <cellStyle name="Output 2 4 2 6" xfId="10585"/>
    <cellStyle name="Output 2 5 2 6" xfId="10586"/>
    <cellStyle name="Output 3 6 6" xfId="10587"/>
    <cellStyle name="Input 7 3 6" xfId="10588"/>
    <cellStyle name="Input 5 6 6" xfId="10589"/>
    <cellStyle name="Input 3 6 6" xfId="10590"/>
    <cellStyle name="Input 2 4 3 6" xfId="10591"/>
    <cellStyle name="Input 2 2 4 3 6" xfId="10592"/>
    <cellStyle name="Input 2 2 2 3 6" xfId="10593"/>
    <cellStyle name="Input 2 10 6" xfId="10594"/>
    <cellStyle name="Calculation 3 6 6" xfId="10595"/>
    <cellStyle name="Calculation 2 4 3 6" xfId="10596"/>
    <cellStyle name="Calculation 2 2 4 3 6" xfId="10597"/>
    <cellStyle name="Calculation 2 2 2 3 6" xfId="10598"/>
    <cellStyle name="Calculation 2 10 6" xfId="10599"/>
    <cellStyle name="StmtTtl2 2 6" xfId="10600"/>
    <cellStyle name="Total 2 11 6" xfId="10601"/>
    <cellStyle name="Total 2 2 5 6" xfId="10602"/>
    <cellStyle name="Total 2 2 2 2 6" xfId="10603"/>
    <cellStyle name="Total 2 2 3 2 6" xfId="10604"/>
    <cellStyle name="Total 2 2 4 2 6" xfId="10605"/>
    <cellStyle name="Total 2 3 2 6" xfId="10606"/>
    <cellStyle name="Total 2 4 2 6" xfId="10607"/>
    <cellStyle name="Total 2 5 2 6" xfId="10608"/>
    <cellStyle name="Total 2 6 2 6" xfId="10609"/>
    <cellStyle name="Total 3 6 6" xfId="10610"/>
    <cellStyle name="Note 5 3 2 2 4" xfId="10611"/>
    <cellStyle name="Note 2 6 2 2 4" xfId="10612"/>
    <cellStyle name="Output 2 4 3 2 4" xfId="10613"/>
    <cellStyle name="Output 2 2 4 2 2 4" xfId="10614"/>
    <cellStyle name="Note 6 4 4 4" xfId="10615"/>
    <cellStyle name="Calculation 3 3 4 4" xfId="10616"/>
    <cellStyle name="Input 2 7 2 7" xfId="10617"/>
    <cellStyle name="Input 4 2 2 7" xfId="10618"/>
    <cellStyle name="styleDateRange 2 8" xfId="10619"/>
    <cellStyle name="Total 2 2 6 7" xfId="10620"/>
    <cellStyle name="Output 2 5 3 6" xfId="10621"/>
    <cellStyle name="Input 11 4 5" xfId="10622"/>
    <cellStyle name="Output 2 3 3 6" xfId="10623"/>
    <cellStyle name="Output 2 2 3 3 6" xfId="10624"/>
    <cellStyle name="Output 2 2 6 6" xfId="10625"/>
    <cellStyle name="Note 4 7 6" xfId="10626"/>
    <cellStyle name="Note 3 2 2 3 6" xfId="10627"/>
    <cellStyle name="Note 3 8 6" xfId="10628"/>
    <cellStyle name="Note 2 4 4 6" xfId="10629"/>
    <cellStyle name="Note 2 2 7 6" xfId="10630"/>
    <cellStyle name="Note 3 2 2 2 6" xfId="10631"/>
    <cellStyle name="Note 4 6 6" xfId="10632"/>
    <cellStyle name="Note 2 8 5 4" xfId="10633"/>
    <cellStyle name="Total 3 7 6" xfId="10634"/>
    <cellStyle name="Total 2 5 3 6" xfId="10635"/>
    <cellStyle name="Total 2 3 3 6" xfId="10636"/>
    <cellStyle name="Total 2 2 6 6" xfId="10637"/>
    <cellStyle name="Total 2 2 2 3 6" xfId="10638"/>
    <cellStyle name="StmtTtl2 3 6" xfId="10639"/>
    <cellStyle name="Output 3 7 6" xfId="10640"/>
    <cellStyle name="Note 2 5 2 6" xfId="10641"/>
    <cellStyle name="Note 2 2 2 2 6" xfId="10642"/>
    <cellStyle name="Note 2 3 2 2 6" xfId="10643"/>
    <cellStyle name="Note 2 4 2 2 6" xfId="10644"/>
    <cellStyle name="Note 3 3 2 6" xfId="10645"/>
    <cellStyle name="Input 8 3 6" xfId="10646"/>
    <cellStyle name="Input 6 4 6" xfId="10647"/>
    <cellStyle name="Input 4 6 6" xfId="10648"/>
    <cellStyle name="Input 2 3 3 6" xfId="10649"/>
    <cellStyle name="Input 2 2 3 3 6" xfId="10650"/>
    <cellStyle name="Input 2 2 6 6" xfId="10651"/>
    <cellStyle name="Calculation 2 3 3 6" xfId="10652"/>
    <cellStyle name="Calculation 2 2 3 3 6" xfId="10653"/>
    <cellStyle name="Calculation 2 2 6 6" xfId="10654"/>
    <cellStyle name="Output 2 4 3 6" xfId="10655"/>
    <cellStyle name="Output 2 2 4 3 6" xfId="10656"/>
    <cellStyle name="Output 2 2 2 3 6" xfId="10657"/>
    <cellStyle name="Output 2 11 6" xfId="10658"/>
    <cellStyle name="Note 3 2 8 6" xfId="10659"/>
    <cellStyle name="Note 2 3 4 6" xfId="10660"/>
    <cellStyle name="Note 2 10 6" xfId="10661"/>
    <cellStyle name="Note 4 2 5 6" xfId="10662"/>
    <cellStyle name="Input 2 2 3 2 3 5" xfId="10663"/>
    <cellStyle name="Total 7 9" xfId="10664"/>
    <cellStyle name="Input 2 2 2 2 3 5" xfId="10665"/>
    <cellStyle name="Total 3 2 9" xfId="10666"/>
    <cellStyle name="Total 10 8" xfId="10667"/>
    <cellStyle name="Note 3 4 4 5" xfId="10668"/>
    <cellStyle name="Output 5 3 8" xfId="10669"/>
    <cellStyle name="Style 21 7" xfId="10670"/>
    <cellStyle name="Style 21 2 7" xfId="10671"/>
    <cellStyle name="Style 22 7" xfId="10672"/>
    <cellStyle name="Style 22 2 7" xfId="10673"/>
    <cellStyle name="Style 23 7" xfId="10674"/>
    <cellStyle name="Style 23 2 7" xfId="10675"/>
    <cellStyle name="Style 24 7" xfId="10676"/>
    <cellStyle name="Style 24 2 7" xfId="10677"/>
    <cellStyle name="Style 25 7" xfId="10678"/>
    <cellStyle name="Style 25 2 7" xfId="10679"/>
    <cellStyle name="Style 26 7" xfId="10680"/>
    <cellStyle name="Style 26 2 7" xfId="10681"/>
    <cellStyle name="styleColumnTitles 7" xfId="10682"/>
    <cellStyle name="styleColumnTitles 2 7" xfId="10683"/>
    <cellStyle name="styleDateRange 7" xfId="10684"/>
    <cellStyle name="styleDateRange 2 7" xfId="10685"/>
    <cellStyle name="Note 13 4 5" xfId="10686"/>
    <cellStyle name="Output 13 4 5" xfId="10687"/>
    <cellStyle name="Calculation 2 8 4 5" xfId="10688"/>
    <cellStyle name="Calculation 3 4 4 5" xfId="10689"/>
    <cellStyle name="styleSeriesAttributes 7" xfId="10690"/>
    <cellStyle name="styleSeriesAttributes 2 7" xfId="10691"/>
    <cellStyle name="styleSeriesData 7" xfId="10692"/>
    <cellStyle name="styleSeriesData 2 7" xfId="10693"/>
    <cellStyle name="styleSeriesDataForecast 7" xfId="10694"/>
    <cellStyle name="styleSeriesDataForecast 2 7" xfId="10695"/>
    <cellStyle name="styleSeriesDataForecastNA 7" xfId="10696"/>
    <cellStyle name="styleSeriesDataForecastNA 2 7" xfId="10697"/>
    <cellStyle name="styleSeriesDataNA 7" xfId="10698"/>
    <cellStyle name="styleSeriesDataNA 2 7" xfId="10699"/>
    <cellStyle name="Style 21 2 2 6" xfId="10700"/>
    <cellStyle name="Style 22 2 2 6" xfId="10701"/>
    <cellStyle name="Style 23 2 2 6" xfId="10702"/>
    <cellStyle name="Style 24 2 2 6" xfId="10703"/>
    <cellStyle name="Style 25 2 2 6" xfId="10704"/>
    <cellStyle name="Style 26 2 2 6" xfId="10705"/>
    <cellStyle name="styleColumnTitles 2 2 6" xfId="10706"/>
    <cellStyle name="styleDateRange 2 2 6" xfId="10707"/>
    <cellStyle name="Total 13 4 5" xfId="10708"/>
    <cellStyle name="Input 2 2 2 2 2 5" xfId="10709"/>
    <cellStyle name="styleSeriesAttributes 2 2 6" xfId="10710"/>
    <cellStyle name="styleSeriesData 2 2 6" xfId="10711"/>
    <cellStyle name="styleSeriesDataForecast 2 2 6" xfId="10712"/>
    <cellStyle name="styleSeriesDataForecastNA 2 2 6" xfId="10713"/>
    <cellStyle name="styleSeriesDataNA 2 2 6" xfId="10714"/>
    <cellStyle name="Total 5 2 8" xfId="10715"/>
    <cellStyle name="Total 4 3 8" xfId="10716"/>
    <cellStyle name="Total 3 3 8" xfId="10717"/>
    <cellStyle name="Total 2 8 8" xfId="10718"/>
    <cellStyle name="Total 11 8" xfId="10719"/>
    <cellStyle name="Total 2 6 3 6" xfId="10720"/>
    <cellStyle name="Note 2 4 5 6" xfId="10721"/>
    <cellStyle name="Total 3 8 5" xfId="10722"/>
    <cellStyle name="Note 7 4 5 4" xfId="10723"/>
    <cellStyle name="styleSeriesDataNA 3 4" xfId="10724"/>
    <cellStyle name="Output 2 3 3 2 4" xfId="10725"/>
    <cellStyle name="Header2 2 2 4" xfId="10726"/>
    <cellStyle name="Total 12 4 4" xfId="10727"/>
    <cellStyle name="Input 12 4 4" xfId="10728"/>
    <cellStyle name="Calculation 4 2 10" xfId="10729"/>
    <cellStyle name="Note 9 2 2 7" xfId="10730"/>
    <cellStyle name="Total 5 5 7" xfId="10731"/>
    <cellStyle name="styleSeriesDataNA 2 2 7" xfId="10732"/>
    <cellStyle name="Output 2 3 3 7" xfId="10733"/>
    <cellStyle name="Calculation 7 2 6" xfId="10734"/>
    <cellStyle name="Calculation 2 6 2 6" xfId="10735"/>
    <cellStyle name="Calculation 3 2 2 6" xfId="10736"/>
    <cellStyle name="Calculation 4 2 2 6" xfId="10737"/>
    <cellStyle name="Calculation 5 4 6" xfId="10738"/>
    <cellStyle name="Output 9 2 6" xfId="10739"/>
    <cellStyle name="Input 10 2 6" xfId="10740"/>
    <cellStyle name="Input 2 6 2 6" xfId="10741"/>
    <cellStyle name="Input 3 2 2 6" xfId="10742"/>
    <cellStyle name="Input 4 2 2 6" xfId="10743"/>
    <cellStyle name="Input 5 2 2 6" xfId="10744"/>
    <cellStyle name="Calculation 4 2 9" xfId="10745"/>
    <cellStyle name="Total 2 2 4 2 2 5" xfId="10746"/>
    <cellStyle name="Note 11 2 6" xfId="10747"/>
    <cellStyle name="Note 2 6 2 6" xfId="10748"/>
    <cellStyle name="Note 2 2 3 2 6" xfId="10749"/>
    <cellStyle name="Note 3 4 2 6" xfId="10750"/>
    <cellStyle name="Note 3 2 4 2 6" xfId="10751"/>
    <cellStyle name="Note 4 3 2 6" xfId="10752"/>
    <cellStyle name="Note 4 2 2 2 6" xfId="10753"/>
    <cellStyle name="Note 5 5 6" xfId="10754"/>
    <cellStyle name="Note 5 2 4 6" xfId="10755"/>
    <cellStyle name="Note 6 5 6" xfId="10756"/>
    <cellStyle name="Note 6 2 4 6" xfId="10757"/>
    <cellStyle name="Note 7 5 6" xfId="10758"/>
    <cellStyle name="Note 7 2 4 6" xfId="10759"/>
    <cellStyle name="Note 8 4 6" xfId="10760"/>
    <cellStyle name="Note 9 3 6" xfId="10761"/>
    <cellStyle name="Output 7 2 6" xfId="10762"/>
    <cellStyle name="Output 2 6 2 6" xfId="10763"/>
    <cellStyle name="Output 3 2 2 6" xfId="10764"/>
    <cellStyle name="Output 4 2 2 6" xfId="10765"/>
    <cellStyle name="Output 5 5 6" xfId="10766"/>
    <cellStyle name="Input 16 2 2 5" xfId="10767"/>
    <cellStyle name="Total 7 2 6" xfId="10768"/>
    <cellStyle name="Total 2 7 2 6" xfId="10769"/>
    <cellStyle name="Total 3 2 2 6" xfId="10770"/>
    <cellStyle name="Total 4 2 2 6" xfId="10771"/>
    <cellStyle name="Total 5 5 6" xfId="10772"/>
    <cellStyle name="Calculation 8 2 6" xfId="10773"/>
    <cellStyle name="Input 12 2 6" xfId="10774"/>
    <cellStyle name="Input 11 2 6" xfId="10775"/>
    <cellStyle name="Calculation 9 2 6" xfId="10776"/>
    <cellStyle name="Output 8 2 6" xfId="10777"/>
    <cellStyle name="Input 4 5 2 5" xfId="10778"/>
    <cellStyle name="Total 3 7 2 5" xfId="10779"/>
    <cellStyle name="Output 3 3 2 2 5" xfId="10780"/>
    <cellStyle name="Total 8 2 6" xfId="10781"/>
    <cellStyle name="Total 9 2 6" xfId="10782"/>
    <cellStyle name="Calculation 4 3 2 2 4" xfId="10783"/>
    <cellStyle name="Calculation 7 2 2 4" xfId="10784"/>
    <cellStyle name="Note 2 3 2 2 2 4" xfId="10785"/>
    <cellStyle name="Total 2 2 3 3 2 4" xfId="10786"/>
    <cellStyle name="Input 2 8 4 4" xfId="10787"/>
    <cellStyle name="Input 5 3 4 4" xfId="10788"/>
    <cellStyle name="Total 3 5 2 7" xfId="10789"/>
    <cellStyle name="Total 2 9 2 7" xfId="10790"/>
    <cellStyle name="Note 2 2 4 2 8" xfId="10791"/>
    <cellStyle name="Input 5 2 2 8" xfId="10792"/>
    <cellStyle name="Output 5 2 2 6" xfId="10793"/>
    <cellStyle name="Output 4 3 2 6" xfId="10794"/>
    <cellStyle name="Output 3 3 2 6" xfId="10795"/>
    <cellStyle name="Output 2 7 2 6" xfId="10796"/>
    <cellStyle name="Output 11 2 6" xfId="10797"/>
    <cellStyle name="Style 22 2 8" xfId="10798"/>
    <cellStyle name="Input 5 3 2 6" xfId="10799"/>
    <cellStyle name="Input 4 3 2 6" xfId="10800"/>
    <cellStyle name="Input 3 3 2 6" xfId="10801"/>
    <cellStyle name="Input 2 7 2 6" xfId="10802"/>
    <cellStyle name="Calculation 10 2 6" xfId="10803"/>
    <cellStyle name="Input 14 2 6" xfId="10804"/>
    <cellStyle name="Input 16 2 6" xfId="10805"/>
    <cellStyle name="Input 17 2 6" xfId="10806"/>
    <cellStyle name="Input 15 2 6" xfId="10807"/>
    <cellStyle name="Input 13 2 6" xfId="10808"/>
    <cellStyle name="Calculation 5 2 2 6" xfId="10809"/>
    <cellStyle name="Calculation 4 3 2 6" xfId="10810"/>
    <cellStyle name="Calculation 3 3 2 6" xfId="10811"/>
    <cellStyle name="Calculation 2 7 2 6" xfId="10812"/>
    <cellStyle name="Calculation 11 2 6" xfId="10813"/>
    <cellStyle name="Total 4 2 2 2 5" xfId="10814"/>
    <cellStyle name="Output 10 2 6" xfId="10815"/>
    <cellStyle name="Note 12 2 6" xfId="10816"/>
    <cellStyle name="Note 2 7 2 6" xfId="10817"/>
    <cellStyle name="Note 2 2 4 2 6" xfId="10818"/>
    <cellStyle name="Note 3 5 2 6" xfId="10819"/>
    <cellStyle name="Note 3 2 5 2 6" xfId="10820"/>
    <cellStyle name="Note 4 4 2 6" xfId="10821"/>
    <cellStyle name="Note 4 2 3 2 6" xfId="10822"/>
    <cellStyle name="Note 5 3 2 6" xfId="10823"/>
    <cellStyle name="Note 5 2 2 2 6" xfId="10824"/>
    <cellStyle name="Note 6 3 2 6" xfId="10825"/>
    <cellStyle name="Note 6 2 2 2 6" xfId="10826"/>
    <cellStyle name="Note 7 3 2 6" xfId="10827"/>
    <cellStyle name="Note 7 2 2 2 6" xfId="10828"/>
    <cellStyle name="Note 8 2 2 6" xfId="10829"/>
    <cellStyle name="Note 9 2 2 6" xfId="10830"/>
    <cellStyle name="Output 12 2 6" xfId="10831"/>
    <cellStyle name="Output 2 8 2 6" xfId="10832"/>
    <cellStyle name="Output 3 4 2 6" xfId="10833"/>
    <cellStyle name="Output 4 4 2 6" xfId="10834"/>
    <cellStyle name="Output 5 3 2 6" xfId="10835"/>
    <cellStyle name="Total 10 2 6" xfId="10836"/>
    <cellStyle name="Input 7 2 2 5" xfId="10837"/>
    <cellStyle name="Total 2 2 6 2 5" xfId="10838"/>
    <cellStyle name="Input 4 3 2 2 5" xfId="10839"/>
    <cellStyle name="Total 11 2 6" xfId="10840"/>
    <cellStyle name="Total 2 8 2 6" xfId="10841"/>
    <cellStyle name="Total 3 3 2 6" xfId="10842"/>
    <cellStyle name="Total 4 3 2 6" xfId="10843"/>
    <cellStyle name="Total 5 2 2 6" xfId="10844"/>
    <cellStyle name="Output 2 2 6 2 5" xfId="10845"/>
    <cellStyle name="Style 23 2 2 2 5" xfId="10846"/>
    <cellStyle name="Calculation 10 2 2 5" xfId="10847"/>
    <cellStyle name="Total 12 2 6" xfId="10848"/>
    <cellStyle name="Total 2 9 2 6" xfId="10849"/>
    <cellStyle name="Total 3 4 2 6" xfId="10850"/>
    <cellStyle name="Total 4 4 2 6" xfId="10851"/>
    <cellStyle name="Total 5 3 2 6" xfId="10852"/>
    <cellStyle name="Input 4 3 2 2 4" xfId="10853"/>
    <cellStyle name="styleDateRange 2 2 2 4" xfId="10854"/>
    <cellStyle name="Note 4 6 2 4" xfId="10855"/>
    <cellStyle name="Input 2 5 2 2 4" xfId="10856"/>
    <cellStyle name="Input 18 4 4" xfId="10857"/>
    <cellStyle name="Note 7 2 3 5 4" xfId="10858"/>
    <cellStyle name="Note 6 4 2 7" xfId="10859"/>
    <cellStyle name="Total 8 2 7" xfId="10860"/>
    <cellStyle name="Input 20 5 5" xfId="10861"/>
    <cellStyle name="Input 2 5 2 3 4" xfId="10862"/>
    <cellStyle name="Note 6 3 8" xfId="10863"/>
    <cellStyle name="Input 18 2 6" xfId="10864"/>
    <cellStyle name="Note 4 5 3 5" xfId="10865"/>
    <cellStyle name="Note 2 8 3 5" xfId="10866"/>
    <cellStyle name="Calculation 3 2 5 5" xfId="10867"/>
    <cellStyle name="Calculation 12 2 6" xfId="10868"/>
    <cellStyle name="Input 19 2 6" xfId="10869"/>
    <cellStyle name="Note 13 2 6" xfId="10870"/>
    <cellStyle name="Output 13 2 6" xfId="10871"/>
    <cellStyle name="Total 13 2 6" xfId="10872"/>
    <cellStyle name="Note 6 6 4" xfId="10873"/>
    <cellStyle name="Total 3 5 3 5" xfId="10874"/>
    <cellStyle name="Calculation 2 8 2 6" xfId="10875"/>
    <cellStyle name="Calculation 3 4 2 6" xfId="10876"/>
    <cellStyle name="Calculation 4 4 2 6" xfId="10877"/>
    <cellStyle name="Calculation 5 3 2 6" xfId="10878"/>
    <cellStyle name="Input 2 8 2 6" xfId="10879"/>
    <cellStyle name="Input 3 4 2 6" xfId="10880"/>
    <cellStyle name="Input 4 4 2 6" xfId="10881"/>
    <cellStyle name="Input 5 4 2 6" xfId="10882"/>
    <cellStyle name="Note 2 8 2 6" xfId="10883"/>
    <cellStyle name="Note 2 2 5 2 6" xfId="10884"/>
    <cellStyle name="Note 3 6 2 6" xfId="10885"/>
    <cellStyle name="Note 3 2 6 2 6" xfId="10886"/>
    <cellStyle name="Note 4 5 2 6" xfId="10887"/>
    <cellStyle name="Note 4 2 4 2 6" xfId="10888"/>
    <cellStyle name="Note 5 4 2 6" xfId="10889"/>
    <cellStyle name="Note 5 2 3 2 6" xfId="10890"/>
    <cellStyle name="Note 6 4 2 6" xfId="10891"/>
    <cellStyle name="Note 6 2 3 2 6" xfId="10892"/>
    <cellStyle name="Note 7 4 2 6" xfId="10893"/>
    <cellStyle name="Note 7 2 3 2 6" xfId="10894"/>
    <cellStyle name="Note 8 3 2 6" xfId="10895"/>
    <cellStyle name="Output 2 9 2 6" xfId="10896"/>
    <cellStyle name="Output 3 5 2 6" xfId="10897"/>
    <cellStyle name="Output 4 5 2 6" xfId="10898"/>
    <cellStyle name="Output 5 4 2 6" xfId="10899"/>
    <cellStyle name="Total 2 10 2 6" xfId="10900"/>
    <cellStyle name="Total 3 5 2 6" xfId="10901"/>
    <cellStyle name="Total 4 5 2 6" xfId="10902"/>
    <cellStyle name="Total 5 4 2 6" xfId="10903"/>
    <cellStyle name="Input 20 2 6" xfId="10904"/>
    <cellStyle name="Output 2 7 8" xfId="10905"/>
    <cellStyle name="Input 3 5 8" xfId="10906"/>
    <cellStyle name="Output 4 3 3 5" xfId="10907"/>
    <cellStyle name="Input 2 2 3 2 3 4" xfId="10908"/>
    <cellStyle name="Input 21 2 6" xfId="10909"/>
    <cellStyle name="Note 5 4 5 4" xfId="10910"/>
    <cellStyle name="Note 6 2 6 3" xfId="10911"/>
    <cellStyle name="Note 7 7 3" xfId="10912"/>
    <cellStyle name="Note 7 2 6 3" xfId="10913"/>
    <cellStyle name="Note 8 6 3" xfId="10914"/>
    <cellStyle name="Note 9 5 3" xfId="10915"/>
    <cellStyle name="Output 7 4 3" xfId="10916"/>
    <cellStyle name="Output 2 6 4 3" xfId="10917"/>
    <cellStyle name="Output 3 2 4 3" xfId="10918"/>
    <cellStyle name="Output 4 2 4 3" xfId="10919"/>
    <cellStyle name="Output 5 7 3" xfId="10920"/>
    <cellStyle name="Note 4 2 4 5 3" xfId="10921"/>
    <cellStyle name="Total 7 4 3" xfId="10922"/>
    <cellStyle name="Total 2 7 4 3" xfId="10923"/>
    <cellStyle name="Total 3 2 4 3" xfId="10924"/>
    <cellStyle name="Total 4 2 4 3" xfId="10925"/>
    <cellStyle name="Total 5 7 3" xfId="10926"/>
    <cellStyle name="Calculation 8 4 3" xfId="10927"/>
    <cellStyle name="Input 12 4 3" xfId="10928"/>
    <cellStyle name="Input 11 4 3" xfId="10929"/>
    <cellStyle name="Calculation 9 4 3" xfId="10930"/>
    <cellStyle name="Output 8 4 3" xfId="10931"/>
    <cellStyle name="Note 4 5 5 3" xfId="10932"/>
    <cellStyle name="Total 8 4 3" xfId="10933"/>
    <cellStyle name="Total 9 4 3" xfId="10934"/>
    <cellStyle name="Input 2 9 3 3" xfId="10935"/>
    <cellStyle name="Note 2 2 2 3 3 3" xfId="10936"/>
    <cellStyle name="Note 7 2 3 5 3" xfId="10937"/>
    <cellStyle name="Note 3 2 6 5 3" xfId="10938"/>
    <cellStyle name="Output 13 5 3" xfId="10939"/>
    <cellStyle name="Input 14 5 3" xfId="10940"/>
    <cellStyle name="Input 5 3 5 3" xfId="10941"/>
    <cellStyle name="Output 5 2 4 3" xfId="10942"/>
    <cellStyle name="Output 4 3 4 3" xfId="10943"/>
    <cellStyle name="Output 3 3 4 3" xfId="10944"/>
    <cellStyle name="Output 2 7 4 3" xfId="10945"/>
    <cellStyle name="Output 11 4 3" xfId="10946"/>
    <cellStyle name="Input 5 3 4 3" xfId="10947"/>
    <cellStyle name="Input 4 3 4 3" xfId="10948"/>
    <cellStyle name="Input 3 3 4 3" xfId="10949"/>
    <cellStyle name="Input 2 7 4 3" xfId="10950"/>
    <cellStyle name="Calculation 10 4 3" xfId="10951"/>
    <cellStyle name="Input 14 4 3" xfId="10952"/>
    <cellStyle name="Input 16 4 3" xfId="10953"/>
    <cellStyle name="Input 17 4 3" xfId="10954"/>
    <cellStyle name="Input 15 4 3" xfId="10955"/>
    <cellStyle name="Input 13 4 3" xfId="10956"/>
    <cellStyle name="Calculation 5 2 4 3" xfId="10957"/>
    <cellStyle name="Calculation 4 3 4 3" xfId="10958"/>
    <cellStyle name="Calculation 3 3 4 3" xfId="10959"/>
    <cellStyle name="Calculation 2 7 4 3" xfId="10960"/>
    <cellStyle name="Calculation 11 4 3" xfId="10961"/>
    <cellStyle name="Output 10 4 3" xfId="10962"/>
    <cellStyle name="Note 12 4 3" xfId="10963"/>
    <cellStyle name="Note 2 7 4 3" xfId="10964"/>
    <cellStyle name="Note 2 2 4 4 3" xfId="10965"/>
    <cellStyle name="Note 3 5 4 3" xfId="10966"/>
    <cellStyle name="Note 3 2 5 4 3" xfId="10967"/>
    <cellStyle name="Note 4 4 4 3" xfId="10968"/>
    <cellStyle name="Note 4 2 3 4 3" xfId="10969"/>
    <cellStyle name="Note 5 3 4 3" xfId="10970"/>
    <cellStyle name="Note 5 2 2 4 3" xfId="10971"/>
    <cellStyle name="Note 6 3 4 3" xfId="10972"/>
    <cellStyle name="Note 6 2 2 4 3" xfId="10973"/>
    <cellStyle name="Note 7 3 4 3" xfId="10974"/>
    <cellStyle name="Note 7 2 2 4 3" xfId="10975"/>
    <cellStyle name="Note 8 2 4 3" xfId="10976"/>
    <cellStyle name="Note 9 2 4 3" xfId="10977"/>
    <cellStyle name="Output 12 4 3" xfId="10978"/>
    <cellStyle name="Output 2 8 4 3" xfId="10979"/>
    <cellStyle name="Output 3 4 4 3" xfId="10980"/>
    <cellStyle name="Output 4 4 4 3" xfId="10981"/>
    <cellStyle name="Output 5 3 4 3" xfId="10982"/>
    <cellStyle name="Total 10 4 3" xfId="10983"/>
    <cellStyle name="Total 11 4 3" xfId="10984"/>
    <cellStyle name="Total 2 8 4 3" xfId="10985"/>
    <cellStyle name="Total 3 3 4 3" xfId="10986"/>
    <cellStyle name="Total 4 3 4 3" xfId="10987"/>
    <cellStyle name="Total 5 2 4 3" xfId="10988"/>
    <cellStyle name="Total 12 4 3" xfId="10989"/>
    <cellStyle name="Total 2 9 4 3" xfId="10990"/>
    <cellStyle name="Total 3 4 4 3" xfId="10991"/>
    <cellStyle name="Total 4 4 4 3" xfId="10992"/>
    <cellStyle name="Total 5 3 4 3" xfId="10993"/>
    <cellStyle name="Note 2 4 2 3 3 3" xfId="10994"/>
    <cellStyle name="Note 6 2 3 5 3" xfId="10995"/>
    <cellStyle name="Input 19 5 3" xfId="10996"/>
    <cellStyle name="Input 2 7 5 3" xfId="10997"/>
    <cellStyle name="Input 18 4 3" xfId="10998"/>
    <cellStyle name="Calculation 12 4 3" xfId="10999"/>
    <cellStyle name="Input 19 4 3" xfId="11000"/>
    <cellStyle name="Note 13 4 3" xfId="11001"/>
    <cellStyle name="Output 13 4 3" xfId="11002"/>
    <cellStyle name="Total 13 4 3" xfId="11003"/>
    <cellStyle name="Calculation 2 8 4 3" xfId="11004"/>
    <cellStyle name="Calculation 3 4 4 3" xfId="11005"/>
    <cellStyle name="Calculation 4 4 4 3" xfId="11006"/>
    <cellStyle name="Calculation 5 3 4 3" xfId="11007"/>
    <cellStyle name="Input 2 8 4 3" xfId="11008"/>
    <cellStyle name="Input 3 4 4 3" xfId="11009"/>
    <cellStyle name="Input 4 4 4 3" xfId="11010"/>
    <cellStyle name="Input 5 4 4 3" xfId="11011"/>
    <cellStyle name="Note 2 8 4 3" xfId="11012"/>
    <cellStyle name="Note 2 2 5 4 3" xfId="11013"/>
    <cellStyle name="Note 3 6 4 3" xfId="11014"/>
    <cellStyle name="Note 3 2 6 4 3" xfId="11015"/>
    <cellStyle name="Note 4 5 4 3" xfId="11016"/>
    <cellStyle name="Note 4 2 4 4 3" xfId="11017"/>
    <cellStyle name="Note 5 4 4 3" xfId="11018"/>
    <cellStyle name="Note 5 2 3 4 3" xfId="11019"/>
    <cellStyle name="Note 6 4 4 3" xfId="11020"/>
    <cellStyle name="Note 6 2 3 4 3" xfId="11021"/>
    <cellStyle name="Note 7 4 4 3" xfId="11022"/>
    <cellStyle name="Note 7 2 3 4 3" xfId="11023"/>
    <cellStyle name="Note 8 3 4 3" xfId="11024"/>
    <cellStyle name="Output 2 9 4 3" xfId="11025"/>
    <cellStyle name="Output 3 5 4 3" xfId="11026"/>
    <cellStyle name="Output 4 5 4 3" xfId="11027"/>
    <cellStyle name="Output 5 4 4 3" xfId="11028"/>
    <cellStyle name="Total 2 10 4 3" xfId="11029"/>
    <cellStyle name="Total 3 5 4 3" xfId="11030"/>
    <cellStyle name="Total 4 5 4 3" xfId="11031"/>
    <cellStyle name="Total 5 4 4 3" xfId="11032"/>
    <cellStyle name="Input 20 4 3" xfId="11033"/>
    <cellStyle name="Input 21 4 3" xfId="11034"/>
    <cellStyle name="Note 4 2 6 2 3" xfId="11035"/>
    <cellStyle name="Note 3 3 3 2 3" xfId="11036"/>
    <cellStyle name="Note 2 5 3 2 3" xfId="11037"/>
    <cellStyle name="Note 2 4 2 3 2 3" xfId="11038"/>
    <cellStyle name="Note 2 3 2 3 2 3" xfId="11039"/>
    <cellStyle name="Note 2 2 2 3 2 3" xfId="11040"/>
    <cellStyle name="Calculation 2 9 2 3" xfId="11041"/>
    <cellStyle name="Calculation 2 2 5 2 3" xfId="11042"/>
    <cellStyle name="Calculation 2 2 2 2 2 3" xfId="11043"/>
    <cellStyle name="Calculation 2 2 3 2 2 3" xfId="11044"/>
    <cellStyle name="Calculation 2 2 4 2 2 3" xfId="11045"/>
    <cellStyle name="Calculation 2 3 2 2 3" xfId="11046"/>
    <cellStyle name="Calculation 2 4 2 2 3" xfId="11047"/>
    <cellStyle name="Calculation 2 5 2 2 3" xfId="11048"/>
    <cellStyle name="Calculation 3 5 2 3" xfId="11049"/>
    <cellStyle name="Header2 2 2 3" xfId="11050"/>
    <cellStyle name="Input 2 5 3 2 3" xfId="11051"/>
    <cellStyle name="Input 2 9 2 3" xfId="11052"/>
    <cellStyle name="Input 2 2 5 2 3" xfId="11053"/>
    <cellStyle name="Input 2 2 2 2 2 3" xfId="11054"/>
    <cellStyle name="Input 2 2 3 2 2 3" xfId="11055"/>
    <cellStyle name="Input 2 2 4 2 2 3" xfId="11056"/>
    <cellStyle name="Input 2 3 2 2 3" xfId="11057"/>
    <cellStyle name="Input 2 4 2 2 3" xfId="11058"/>
    <cellStyle name="Input 2 5 2 2 3" xfId="11059"/>
    <cellStyle name="Input 3 5 2 3" xfId="11060"/>
    <cellStyle name="Input 4 5 2 3" xfId="11061"/>
    <cellStyle name="Input 5 5 2 3" xfId="11062"/>
    <cellStyle name="Input 6 3 2 3" xfId="11063"/>
    <cellStyle name="Input 7 2 2 3" xfId="11064"/>
    <cellStyle name="Input 8 2 2 3" xfId="11065"/>
    <cellStyle name="Calculation 2 5 3 2 3" xfId="11066"/>
    <cellStyle name="Total 2 4 3 2 3" xfId="11067"/>
    <cellStyle name="Total 2 2 4 3 2 3" xfId="11068"/>
    <cellStyle name="Total 2 2 3 3 2 3" xfId="11069"/>
    <cellStyle name="Total 2 12 2 3" xfId="11070"/>
    <cellStyle name="Note 2 9 2 3" xfId="11071"/>
    <cellStyle name="Note 2 2 6 2 3" xfId="11072"/>
    <cellStyle name="Note 2 3 3 2 3" xfId="11073"/>
    <cellStyle name="Note 2 4 3 2 3" xfId="11074"/>
    <cellStyle name="Note 3 7 2 3" xfId="11075"/>
    <cellStyle name="Note 3 2 7 2 3" xfId="11076"/>
    <cellStyle name="Output 2 10 2 3" xfId="11077"/>
    <cellStyle name="Output 2 2 5 2 3" xfId="11078"/>
    <cellStyle name="Output 2 2 2 2 2 3" xfId="11079"/>
    <cellStyle name="Output 2 2 3 2 2 3" xfId="11080"/>
    <cellStyle name="Output 2 2 4 2 2 3" xfId="11081"/>
    <cellStyle name="Output 2 3 2 2 3" xfId="11082"/>
    <cellStyle name="Output 2 4 2 2 3" xfId="11083"/>
    <cellStyle name="Output 2 5 2 2 3" xfId="11084"/>
    <cellStyle name="Output 3 6 2 3" xfId="11085"/>
    <cellStyle name="Input 7 3 2 3" xfId="11086"/>
    <cellStyle name="Input 5 6 2 3" xfId="11087"/>
    <cellStyle name="Input 3 6 2 3" xfId="11088"/>
    <cellStyle name="Input 2 4 3 2 3" xfId="11089"/>
    <cellStyle name="Input 2 2 4 3 2 3" xfId="11090"/>
    <cellStyle name="Input 2 2 2 3 2 3" xfId="11091"/>
    <cellStyle name="Input 2 10 2 3" xfId="11092"/>
    <cellStyle name="Calculation 3 6 2 3" xfId="11093"/>
    <cellStyle name="Calculation 2 4 3 2 3" xfId="11094"/>
    <cellStyle name="Calculation 2 2 4 3 2 3" xfId="11095"/>
    <cellStyle name="Calculation 2 2 2 3 2 3" xfId="11096"/>
    <cellStyle name="Calculation 2 10 2 3" xfId="11097"/>
    <cellStyle name="StmtTtl2 2 2 3" xfId="11098"/>
    <cellStyle name="Total 2 11 2 3" xfId="11099"/>
    <cellStyle name="Total 2 2 5 2 3" xfId="11100"/>
    <cellStyle name="Total 2 2 2 2 2 3" xfId="11101"/>
    <cellStyle name="Total 2 2 3 2 2 3" xfId="11102"/>
    <cellStyle name="Total 2 2 4 2 2 3" xfId="11103"/>
    <cellStyle name="Total 2 3 2 2 3" xfId="11104"/>
    <cellStyle name="Total 2 4 2 2 3" xfId="11105"/>
    <cellStyle name="Total 2 5 2 2 3" xfId="11106"/>
    <cellStyle name="Total 2 6 2 2 3" xfId="11107"/>
    <cellStyle name="Total 3 6 2 3" xfId="11108"/>
    <cellStyle name="Calculation 2 2 2 2 3 3" xfId="11109"/>
    <cellStyle name="Output 3 5 5 3" xfId="11110"/>
    <cellStyle name="Input 12 5 3" xfId="11111"/>
    <cellStyle name="Output 2 5 3 2 3" xfId="11112"/>
    <cellStyle name="Output 2 3 3 2 3" xfId="11113"/>
    <cellStyle name="Output 2 2 3 3 2 3" xfId="11114"/>
    <cellStyle name="Output 2 2 6 2 3" xfId="11115"/>
    <cellStyle name="Note 4 7 2 3" xfId="11116"/>
    <cellStyle name="Note 3 2 2 3 2 3" xfId="11117"/>
    <cellStyle name="Note 3 8 2 3" xfId="11118"/>
    <cellStyle name="Note 2 4 4 2 3" xfId="11119"/>
    <cellStyle name="Note 2 2 7 2 3" xfId="11120"/>
    <cellStyle name="Note 3 2 2 2 2 3" xfId="11121"/>
    <cellStyle name="Note 4 6 2 3" xfId="11122"/>
    <cellStyle name="Total 3 7 2 3" xfId="11123"/>
    <cellStyle name="Total 2 5 3 2 3" xfId="11124"/>
    <cellStyle name="Total 2 3 3 2 3" xfId="11125"/>
    <cellStyle name="Total 2 2 6 2 3" xfId="11126"/>
    <cellStyle name="Total 2 2 2 3 2 3" xfId="11127"/>
    <cellStyle name="StmtTtl2 3 2 3" xfId="11128"/>
    <cellStyle name="Output 3 7 2 3" xfId="11129"/>
    <cellStyle name="Note 2 5 2 2 3" xfId="11130"/>
    <cellStyle name="Note 2 2 2 2 2 3" xfId="11131"/>
    <cellStyle name="Note 2 3 2 2 2 3" xfId="11132"/>
    <cellStyle name="Note 2 4 2 2 2 3" xfId="11133"/>
    <cellStyle name="Note 3 3 2 2 3" xfId="11134"/>
    <cellStyle name="Input 8 3 2 3" xfId="11135"/>
    <cellStyle name="Input 6 4 2 3" xfId="11136"/>
    <cellStyle name="Input 4 6 2 3" xfId="11137"/>
    <cellStyle name="Input 2 3 3 2 3" xfId="11138"/>
    <cellStyle name="Input 2 2 3 3 2 3" xfId="11139"/>
    <cellStyle name="Input 2 2 6 2 3" xfId="11140"/>
    <cellStyle name="Calculation 2 3 3 2 3" xfId="11141"/>
    <cellStyle name="Calculation 2 2 3 3 2 3" xfId="11142"/>
    <cellStyle name="Calculation 2 2 6 2 3" xfId="11143"/>
    <cellStyle name="Output 2 4 3 2 3" xfId="11144"/>
    <cellStyle name="Output 2 2 4 3 2 3" xfId="11145"/>
    <cellStyle name="Output 2 2 2 3 2 3" xfId="11146"/>
    <cellStyle name="Output 2 11 2 3" xfId="11147"/>
    <cellStyle name="Note 3 2 8 2 3" xfId="11148"/>
    <cellStyle name="Note 2 3 4 2 3" xfId="11149"/>
    <cellStyle name="Note 2 10 2 3" xfId="11150"/>
    <cellStyle name="Note 4 2 5 2 3" xfId="11151"/>
    <cellStyle name="Style 21 3 3" xfId="11152"/>
    <cellStyle name="Style 21 2 3 3" xfId="11153"/>
    <cellStyle name="Style 22 3 3" xfId="11154"/>
    <cellStyle name="Style 22 2 3 3" xfId="11155"/>
    <cellStyle name="Style 23 3 3" xfId="11156"/>
    <cellStyle name="Style 23 2 3 3" xfId="11157"/>
    <cellStyle name="Style 24 3 3" xfId="11158"/>
    <cellStyle name="Style 24 2 3 3" xfId="11159"/>
    <cellStyle name="Style 25 3 3" xfId="11160"/>
    <cellStyle name="Style 25 2 3 3" xfId="11161"/>
    <cellStyle name="Style 26 3 3" xfId="11162"/>
    <cellStyle name="Style 26 2 3 3" xfId="11163"/>
    <cellStyle name="styleColumnTitles 3 3" xfId="11164"/>
    <cellStyle name="styleColumnTitles 2 3 3" xfId="11165"/>
    <cellStyle name="styleDateRange 3 3" xfId="11166"/>
    <cellStyle name="styleDateRange 2 3 3" xfId="11167"/>
    <cellStyle name="styleSeriesAttributes 3 3" xfId="11168"/>
    <cellStyle name="styleSeriesAttributes 2 3 3" xfId="11169"/>
    <cellStyle name="styleSeriesData 3 3" xfId="11170"/>
    <cellStyle name="styleSeriesData 2 3 3" xfId="11171"/>
    <cellStyle name="styleSeriesDataForecast 3 3" xfId="11172"/>
    <cellStyle name="styleSeriesDataForecast 2 3 3" xfId="11173"/>
    <cellStyle name="styleSeriesDataForecastNA 3 3" xfId="11174"/>
    <cellStyle name="styleSeriesDataForecastNA 2 3 3" xfId="11175"/>
    <cellStyle name="styleSeriesDataNA 3 3" xfId="11176"/>
    <cellStyle name="styleSeriesDataNA 2 3 3" xfId="11177"/>
    <cellStyle name="Style 21 2 2 2 3" xfId="11178"/>
    <cellStyle name="Style 22 2 2 2 3" xfId="11179"/>
    <cellStyle name="Style 23 2 2 2 3" xfId="11180"/>
    <cellStyle name="Style 24 2 2 2 3" xfId="11181"/>
    <cellStyle name="Style 25 2 2 2 3" xfId="11182"/>
    <cellStyle name="Style 26 2 2 2 3" xfId="11183"/>
    <cellStyle name="styleColumnTitles 2 2 2 3" xfId="11184"/>
    <cellStyle name="styleDateRange 2 2 2 3" xfId="11185"/>
    <cellStyle name="styleSeriesAttributes 2 2 2 3" xfId="11186"/>
    <cellStyle name="styleSeriesData 2 2 2 3" xfId="11187"/>
    <cellStyle name="styleSeriesDataForecast 2 2 2 3" xfId="11188"/>
    <cellStyle name="styleSeriesDataForecastNA 2 2 2 3" xfId="11189"/>
    <cellStyle name="styleSeriesDataNA 2 2 2 3" xfId="11190"/>
    <cellStyle name="Total 2 6 3 2 3" xfId="11191"/>
    <cellStyle name="Note 3 3 3 3 3" xfId="11192"/>
    <cellStyle name="Note 5 2 3 5 3" xfId="11193"/>
    <cellStyle name="Input 4 3 5 3" xfId="11194"/>
    <cellStyle name="Calculation 7 2 2 3" xfId="11195"/>
    <cellStyle name="Calculation 2 6 2 2 3" xfId="11196"/>
    <cellStyle name="Calculation 3 2 2 2 3" xfId="11197"/>
    <cellStyle name="Calculation 4 2 2 2 3" xfId="11198"/>
    <cellStyle name="Calculation 5 4 2 3" xfId="11199"/>
    <cellStyle name="Output 9 2 2 3" xfId="11200"/>
    <cellStyle name="Input 10 2 2 3" xfId="11201"/>
    <cellStyle name="Input 2 6 2 2 3" xfId="11202"/>
    <cellStyle name="Input 3 2 2 2 3" xfId="11203"/>
    <cellStyle name="Input 4 2 2 2 3" xfId="11204"/>
    <cellStyle name="Input 5 2 2 2 3" xfId="11205"/>
    <cellStyle name="Note 11 2 2 3" xfId="11206"/>
    <cellStyle name="Note 2 6 2 2 3" xfId="11207"/>
    <cellStyle name="Note 2 2 3 2 2 3" xfId="11208"/>
    <cellStyle name="Note 3 4 2 2 3" xfId="11209"/>
    <cellStyle name="Note 3 2 4 2 2 3" xfId="11210"/>
    <cellStyle name="Note 4 3 2 2 3" xfId="11211"/>
    <cellStyle name="Note 4 2 2 2 2 3" xfId="11212"/>
    <cellStyle name="Note 5 5 2 3" xfId="11213"/>
    <cellStyle name="Note 5 2 4 2 3" xfId="11214"/>
    <cellStyle name="Note 6 5 2 3" xfId="11215"/>
    <cellStyle name="Note 6 2 4 2 3" xfId="11216"/>
    <cellStyle name="Note 7 5 2 3" xfId="11217"/>
    <cellStyle name="Note 7 2 4 2 3" xfId="11218"/>
    <cellStyle name="Note 8 4 2 3" xfId="11219"/>
    <cellStyle name="Note 9 3 2 3" xfId="11220"/>
    <cellStyle name="Output 7 2 2 3" xfId="11221"/>
    <cellStyle name="Output 2 6 2 2 3" xfId="11222"/>
    <cellStyle name="Output 3 2 2 2 3" xfId="11223"/>
    <cellStyle name="Output 4 2 2 2 3" xfId="11224"/>
    <cellStyle name="Output 5 5 2 3" xfId="11225"/>
    <cellStyle name="Total 7 2 2 3" xfId="11226"/>
    <cellStyle name="Total 2 7 2 2 3" xfId="11227"/>
    <cellStyle name="Total 3 2 2 2 3" xfId="11228"/>
    <cellStyle name="Total 4 2 2 2 3" xfId="11229"/>
    <cellStyle name="Total 5 5 2 3" xfId="11230"/>
    <cellStyle name="Calculation 8 2 2 3" xfId="11231"/>
    <cellStyle name="Input 12 2 2 3" xfId="11232"/>
    <cellStyle name="Input 11 2 2 3" xfId="11233"/>
    <cellStyle name="Calculation 9 2 2 3" xfId="11234"/>
    <cellStyle name="Output 8 2 2 3" xfId="11235"/>
    <cellStyle name="Total 8 2 2 3" xfId="11236"/>
    <cellStyle name="Total 9 2 2 3" xfId="11237"/>
    <cellStyle name="Note 2 3 2 3 3 3" xfId="11238"/>
    <cellStyle name="Note 7 4 5 3" xfId="11239"/>
    <cellStyle name="Note 13 5 3" xfId="11240"/>
    <cellStyle name="Calculation 10 5 3" xfId="11241"/>
    <cellStyle name="Output 5 2 2 2 3" xfId="11242"/>
    <cellStyle name="Output 4 3 2 2 3" xfId="11243"/>
    <cellStyle name="Output 3 3 2 2 3" xfId="11244"/>
    <cellStyle name="Output 2 7 2 2 3" xfId="11245"/>
    <cellStyle name="Output 11 2 2 3" xfId="11246"/>
    <cellStyle name="Input 5 3 2 2 3" xfId="11247"/>
    <cellStyle name="Input 4 3 2 2 3" xfId="11248"/>
    <cellStyle name="Input 3 3 2 2 3" xfId="11249"/>
    <cellStyle name="Input 2 7 2 2 3" xfId="11250"/>
    <cellStyle name="Calculation 10 2 2 3" xfId="11251"/>
    <cellStyle name="Input 14 2 2 3" xfId="11252"/>
    <cellStyle name="Input 16 2 2 3" xfId="11253"/>
    <cellStyle name="Input 17 2 2 3" xfId="11254"/>
    <cellStyle name="Input 15 2 2 3" xfId="11255"/>
    <cellStyle name="Input 13 2 2 3" xfId="11256"/>
    <cellStyle name="Calculation 5 2 2 2 3" xfId="11257"/>
    <cellStyle name="Calculation 4 3 2 2 3" xfId="11258"/>
    <cellStyle name="Calculation 3 3 2 2 3" xfId="11259"/>
    <cellStyle name="Calculation 2 7 2 2 3" xfId="11260"/>
    <cellStyle name="Calculation 11 2 2 3" xfId="11261"/>
    <cellStyle name="Output 10 2 2 3" xfId="11262"/>
    <cellStyle name="Note 12 2 2 3" xfId="11263"/>
    <cellStyle name="Note 2 7 2 2 3" xfId="11264"/>
    <cellStyle name="Note 2 2 4 2 2 3" xfId="11265"/>
    <cellStyle name="Note 3 5 2 2 3" xfId="11266"/>
    <cellStyle name="Note 3 2 5 2 2 3" xfId="11267"/>
    <cellStyle name="Note 4 4 2 2 3" xfId="11268"/>
    <cellStyle name="Note 4 2 3 2 2 3" xfId="11269"/>
    <cellStyle name="Note 5 3 2 2 3" xfId="11270"/>
    <cellStyle name="Note 5 2 2 2 2 3" xfId="11271"/>
    <cellStyle name="Note 6 3 2 2 3" xfId="11272"/>
    <cellStyle name="Note 6 2 2 2 2 3" xfId="11273"/>
    <cellStyle name="Note 7 3 2 2 3" xfId="11274"/>
    <cellStyle name="Note 7 2 2 2 2 3" xfId="11275"/>
    <cellStyle name="Note 8 2 2 2 3" xfId="11276"/>
    <cellStyle name="Note 9 2 2 2 3" xfId="11277"/>
    <cellStyle name="Output 12 2 2 3" xfId="11278"/>
    <cellStyle name="Output 2 8 2 2 3" xfId="11279"/>
    <cellStyle name="Output 3 4 2 2 3" xfId="11280"/>
    <cellStyle name="Output 4 4 2 2 3" xfId="11281"/>
    <cellStyle name="Output 5 3 2 2 3" xfId="11282"/>
    <cellStyle name="Total 10 2 2 3" xfId="11283"/>
    <cellStyle name="Total 11 2 2 3" xfId="11284"/>
    <cellStyle name="Total 2 8 2 2 3" xfId="11285"/>
    <cellStyle name="Total 3 3 2 2 3" xfId="11286"/>
    <cellStyle name="Total 4 3 2 2 3" xfId="11287"/>
    <cellStyle name="Total 5 2 2 2 3" xfId="11288"/>
    <cellStyle name="Total 12 2 2 3" xfId="11289"/>
    <cellStyle name="Total 2 9 2 2 3" xfId="11290"/>
    <cellStyle name="Total 3 4 2 2 3" xfId="11291"/>
    <cellStyle name="Total 4 4 2 2 3" xfId="11292"/>
    <cellStyle name="Total 5 3 2 2 3" xfId="11293"/>
    <cellStyle name="Note 2 5 3 3 3" xfId="11294"/>
    <cellStyle name="Note 6 4 5 3" xfId="11295"/>
    <cellStyle name="Calculation 12 5 3" xfId="11296"/>
    <cellStyle name="Input 3 3 5 3" xfId="11297"/>
    <cellStyle name="Input 18 2 2 3" xfId="11298"/>
    <cellStyle name="Calculation 12 2 2 3" xfId="11299"/>
    <cellStyle name="Input 19 2 2 3" xfId="11300"/>
    <cellStyle name="Note 13 2 2 3" xfId="11301"/>
    <cellStyle name="Output 13 2 2 3" xfId="11302"/>
    <cellStyle name="Total 13 2 2 3" xfId="11303"/>
    <cellStyle name="Calculation 2 8 2 2 3" xfId="11304"/>
    <cellStyle name="Calculation 3 4 2 2 3" xfId="11305"/>
    <cellStyle name="Calculation 4 4 2 2 3" xfId="11306"/>
    <cellStyle name="Calculation 5 3 2 2 3" xfId="11307"/>
    <cellStyle name="Input 2 8 2 2 3" xfId="11308"/>
    <cellStyle name="Input 3 4 2 2 3" xfId="11309"/>
    <cellStyle name="Input 4 4 2 2 3" xfId="11310"/>
    <cellStyle name="Input 5 4 2 2 3" xfId="11311"/>
    <cellStyle name="Note 2 8 2 2 3" xfId="11312"/>
    <cellStyle name="Note 2 2 5 2 2 3" xfId="11313"/>
    <cellStyle name="Note 3 6 2 2 3" xfId="11314"/>
    <cellStyle name="Note 3 2 6 2 2 3" xfId="11315"/>
    <cellStyle name="Note 4 5 2 2 3" xfId="11316"/>
    <cellStyle name="Note 4 2 4 2 2 3" xfId="11317"/>
    <cellStyle name="Note 5 4 2 2 3" xfId="11318"/>
    <cellStyle name="Note 5 2 3 2 2 3" xfId="11319"/>
    <cellStyle name="Note 6 4 2 2 3" xfId="11320"/>
    <cellStyle name="Note 6 2 3 2 2 3" xfId="11321"/>
    <cellStyle name="Note 7 4 2 2 3" xfId="11322"/>
    <cellStyle name="Note 7 2 3 2 2 3" xfId="11323"/>
    <cellStyle name="Note 8 3 2 2 3" xfId="11324"/>
    <cellStyle name="Output 2 9 2 2 3" xfId="11325"/>
    <cellStyle name="Output 3 5 2 2 3" xfId="11326"/>
    <cellStyle name="Output 4 5 2 2 3" xfId="11327"/>
    <cellStyle name="Output 5 4 2 2 3" xfId="11328"/>
    <cellStyle name="Total 2 10 2 2 3" xfId="11329"/>
    <cellStyle name="Total 3 5 2 2 3" xfId="11330"/>
    <cellStyle name="Total 4 5 2 2 3" xfId="11331"/>
    <cellStyle name="Total 5 4 2 2 3" xfId="11332"/>
    <cellStyle name="Input 20 2 2 3" xfId="11333"/>
    <cellStyle name="Input 21 2 2 3" xfId="11334"/>
    <cellStyle name="Note 2 9 3 3" xfId="11335"/>
    <cellStyle name="Note 2 2 6 3 3" xfId="11336"/>
    <cellStyle name="Note 2 3 3 3 3" xfId="11337"/>
    <cellStyle name="Note 2 4 3 3 3" xfId="11338"/>
    <cellStyle name="Note 3 7 3 3" xfId="11339"/>
    <cellStyle name="Note 3 2 7 3 3" xfId="11340"/>
    <cellStyle name="Output 2 10 3 3" xfId="11341"/>
    <cellStyle name="Output 2 2 5 3 3" xfId="11342"/>
    <cellStyle name="Output 2 2 2 2 3 3" xfId="11343"/>
    <cellStyle name="Output 2 2 3 2 3 3" xfId="11344"/>
    <cellStyle name="Output 2 2 4 2 3 3" xfId="11345"/>
    <cellStyle name="Output 2 3 2 3 3" xfId="11346"/>
    <cellStyle name="Output 2 4 2 3 3" xfId="11347"/>
    <cellStyle name="Output 2 5 2 3 3" xfId="11348"/>
    <cellStyle name="Output 3 6 3 3" xfId="11349"/>
    <cellStyle name="Input 7 3 3 3" xfId="11350"/>
    <cellStyle name="Input 5 6 3 3" xfId="11351"/>
    <cellStyle name="Input 3 6 3 3" xfId="11352"/>
    <cellStyle name="Input 2 4 3 3 3" xfId="11353"/>
    <cellStyle name="Input 2 2 4 3 3 3" xfId="11354"/>
    <cellStyle name="Input 2 2 2 3 3 3" xfId="11355"/>
    <cellStyle name="Input 2 10 3 3" xfId="11356"/>
    <cellStyle name="Calculation 3 6 3 3" xfId="11357"/>
    <cellStyle name="Calculation 2 4 3 3 3" xfId="11358"/>
    <cellStyle name="Calculation 2 2 4 3 3 3" xfId="11359"/>
    <cellStyle name="Calculation 2 2 2 3 3 3" xfId="11360"/>
    <cellStyle name="Calculation 2 10 3 3" xfId="11361"/>
    <cellStyle name="StmtTtl2 2 3 3" xfId="11362"/>
    <cellStyle name="Total 2 11 3 3" xfId="11363"/>
    <cellStyle name="Total 2 2 5 3 3" xfId="11364"/>
    <cellStyle name="Total 2 2 2 2 3 3" xfId="11365"/>
    <cellStyle name="Total 2 2 3 2 3 3" xfId="11366"/>
    <cellStyle name="Total 2 2 4 2 3 3" xfId="11367"/>
    <cellStyle name="Total 2 3 2 3 3" xfId="11368"/>
    <cellStyle name="Total 2 4 2 3 3" xfId="11369"/>
    <cellStyle name="Total 2 5 2 3 3" xfId="11370"/>
    <cellStyle name="Total 2 6 2 3 3" xfId="11371"/>
    <cellStyle name="Total 3 6 3 3" xfId="11372"/>
    <cellStyle name="Output 2 5 3 3 3" xfId="11373"/>
    <cellStyle name="Output 2 3 3 3 3" xfId="11374"/>
    <cellStyle name="Output 2 2 3 3 3 3" xfId="11375"/>
    <cellStyle name="Output 2 2 6 3 3" xfId="11376"/>
    <cellStyle name="Note 4 7 3 3" xfId="11377"/>
    <cellStyle name="Note 3 2 2 3 3 3" xfId="11378"/>
    <cellStyle name="Note 3 8 3 3" xfId="11379"/>
    <cellStyle name="Note 2 4 4 3 3" xfId="11380"/>
    <cellStyle name="Note 2 2 7 3 3" xfId="11381"/>
    <cellStyle name="Note 3 2 2 2 3 3" xfId="11382"/>
    <cellStyle name="Note 4 6 3 3" xfId="11383"/>
    <cellStyle name="Total 3 7 3 3" xfId="11384"/>
    <cellStyle name="Total 2 5 3 3 3" xfId="11385"/>
    <cellStyle name="Total 2 3 3 3 3" xfId="11386"/>
    <cellStyle name="Total 2 2 6 3 3" xfId="11387"/>
    <cellStyle name="Total 2 2 2 3 3 3" xfId="11388"/>
    <cellStyle name="StmtTtl2 3 3 3" xfId="11389"/>
    <cellStyle name="Output 3 7 3 3" xfId="11390"/>
    <cellStyle name="Note 2 5 2 3 3" xfId="11391"/>
    <cellStyle name="Note 2 2 2 2 3 3" xfId="11392"/>
    <cellStyle name="Note 2 3 2 2 3 3" xfId="11393"/>
    <cellStyle name="Note 2 4 2 2 3 3" xfId="11394"/>
    <cellStyle name="Note 3 3 2 3 3" xfId="11395"/>
    <cellStyle name="Input 8 3 3 3" xfId="11396"/>
    <cellStyle name="Input 6 4 3 3" xfId="11397"/>
    <cellStyle name="Input 4 6 3 3" xfId="11398"/>
    <cellStyle name="Input 2 3 3 3 3" xfId="11399"/>
    <cellStyle name="Input 2 2 3 3 3 3" xfId="11400"/>
    <cellStyle name="Input 2 2 6 3 3" xfId="11401"/>
    <cellStyle name="Calculation 2 3 3 3 3" xfId="11402"/>
    <cellStyle name="Calculation 2 2 3 3 3 3" xfId="11403"/>
    <cellStyle name="Calculation 2 2 6 3 3" xfId="11404"/>
    <cellStyle name="Output 2 4 3 3 3" xfId="11405"/>
    <cellStyle name="Output 2 2 4 3 3 3" xfId="11406"/>
    <cellStyle name="Output 2 2 2 3 3 3" xfId="11407"/>
    <cellStyle name="Output 2 11 3 3" xfId="11408"/>
    <cellStyle name="Note 3 2 8 3 3" xfId="11409"/>
    <cellStyle name="Note 2 3 4 3 3" xfId="11410"/>
    <cellStyle name="Note 2 10 3 3" xfId="11411"/>
    <cellStyle name="Note 4 2 5 3 3" xfId="11412"/>
    <cellStyle name="Style 21 4 3" xfId="11413"/>
    <cellStyle name="Style 21 2 4 3" xfId="11414"/>
    <cellStyle name="Style 22 4 3" xfId="11415"/>
    <cellStyle name="Style 22 2 4 3" xfId="11416"/>
    <cellStyle name="Style 23 4 3" xfId="11417"/>
    <cellStyle name="Style 23 2 4 3" xfId="11418"/>
    <cellStyle name="Style 24 4 3" xfId="11419"/>
    <cellStyle name="Style 24 2 4 3" xfId="11420"/>
    <cellStyle name="Style 25 4 3" xfId="11421"/>
    <cellStyle name="Style 25 2 4 3" xfId="11422"/>
    <cellStyle name="Style 26 4 3" xfId="11423"/>
    <cellStyle name="Style 26 2 4 3" xfId="11424"/>
    <cellStyle name="styleColumnTitles 4 3" xfId="11425"/>
    <cellStyle name="styleColumnTitles 2 4 3" xfId="11426"/>
    <cellStyle name="styleDateRange 4 3" xfId="11427"/>
    <cellStyle name="styleDateRange 2 4 3" xfId="11428"/>
    <cellStyle name="styleSeriesAttributes 4 3" xfId="11429"/>
    <cellStyle name="styleSeriesAttributes 2 4 3" xfId="11430"/>
    <cellStyle name="styleSeriesData 4 3" xfId="11431"/>
    <cellStyle name="styleSeriesData 2 4 3" xfId="11432"/>
    <cellStyle name="styleSeriesDataForecast 4 3" xfId="11433"/>
    <cellStyle name="styleSeriesDataForecast 2 4 3" xfId="11434"/>
    <cellStyle name="styleSeriesDataForecastNA 4 3" xfId="11435"/>
    <cellStyle name="styleSeriesDataForecastNA 2 4 3" xfId="11436"/>
    <cellStyle name="styleSeriesDataNA 4 3" xfId="11437"/>
    <cellStyle name="styleSeriesDataNA 2 4 3" xfId="11438"/>
    <cellStyle name="Style 21 2 2 3 3" xfId="11439"/>
    <cellStyle name="Style 22 2 2 3 3" xfId="11440"/>
    <cellStyle name="Style 23 2 2 3 3" xfId="11441"/>
    <cellStyle name="Style 24 2 2 3 3" xfId="11442"/>
    <cellStyle name="Style 25 2 2 3 3" xfId="11443"/>
    <cellStyle name="Style 26 2 2 3 3" xfId="11444"/>
    <cellStyle name="styleColumnTitles 2 2 3 3" xfId="11445"/>
    <cellStyle name="styleDateRange 2 2 3 3" xfId="11446"/>
    <cellStyle name="styleSeriesAttributes 2 2 3 3" xfId="11447"/>
    <cellStyle name="styleSeriesData 2 2 3 3" xfId="11448"/>
    <cellStyle name="styleSeriesDataForecast 2 2 3 3" xfId="11449"/>
    <cellStyle name="styleSeriesDataForecastNA 2 2 3 3" xfId="11450"/>
    <cellStyle name="styleSeriesDataNA 2 2 3 3" xfId="11451"/>
    <cellStyle name="Total 2 6 3 3 3" xfId="11452"/>
    <cellStyle name="Calculation 7 2 3 3" xfId="11453"/>
    <cellStyle name="Calculation 2 6 2 3 3" xfId="11454"/>
    <cellStyle name="Calculation 3 2 2 3 3" xfId="11455"/>
    <cellStyle name="Calculation 4 2 2 3 3" xfId="11456"/>
    <cellStyle name="Calculation 5 4 3 3" xfId="11457"/>
    <cellStyle name="Output 9 2 3 3" xfId="11458"/>
    <cellStyle name="Input 10 2 3 3" xfId="11459"/>
    <cellStyle name="Input 2 6 2 3 3" xfId="11460"/>
    <cellStyle name="Input 3 2 2 3 3" xfId="11461"/>
    <cellStyle name="Input 4 2 2 3 3" xfId="11462"/>
    <cellStyle name="Input 5 2 2 3 3" xfId="11463"/>
    <cellStyle name="Note 11 2 3 3" xfId="11464"/>
    <cellStyle name="Note 2 6 2 3 3" xfId="11465"/>
    <cellStyle name="Note 2 2 3 2 3 3" xfId="11466"/>
    <cellStyle name="Note 3 4 2 3 3" xfId="11467"/>
    <cellStyle name="Note 3 2 4 2 3 3" xfId="11468"/>
    <cellStyle name="Note 4 3 2 3 3" xfId="11469"/>
    <cellStyle name="Note 4 2 2 2 3 3" xfId="11470"/>
    <cellStyle name="Note 5 5 3 3" xfId="11471"/>
    <cellStyle name="Note 5 2 4 3 3" xfId="11472"/>
    <cellStyle name="Note 6 5 3 3" xfId="11473"/>
    <cellStyle name="Note 6 2 4 3 3" xfId="11474"/>
    <cellStyle name="Note 7 5 3 3" xfId="11475"/>
    <cellStyle name="Note 7 2 4 3 3" xfId="11476"/>
    <cellStyle name="Note 8 4 3 3" xfId="11477"/>
    <cellStyle name="Note 9 3 3 3" xfId="11478"/>
    <cellStyle name="Output 7 2 3 3" xfId="11479"/>
    <cellStyle name="Output 2 6 2 3 3" xfId="11480"/>
    <cellStyle name="Output 3 2 2 3 3" xfId="11481"/>
    <cellStyle name="Output 4 2 2 3 3" xfId="11482"/>
    <cellStyle name="Output 5 5 3 3" xfId="11483"/>
    <cellStyle name="Total 7 2 3 3" xfId="11484"/>
    <cellStyle name="Total 2 7 2 3 3" xfId="11485"/>
    <cellStyle name="Total 3 2 2 3 3" xfId="11486"/>
    <cellStyle name="Total 4 2 2 3 3" xfId="11487"/>
    <cellStyle name="Total 5 5 3 3" xfId="11488"/>
    <cellStyle name="Calculation 8 2 3 3" xfId="11489"/>
    <cellStyle name="Input 12 2 3 3" xfId="11490"/>
    <cellStyle name="Input 11 2 3 3" xfId="11491"/>
    <cellStyle name="Calculation 9 2 3 3" xfId="11492"/>
    <cellStyle name="Output 8 2 3 3" xfId="11493"/>
    <cellStyle name="Total 8 2 3 3" xfId="11494"/>
    <cellStyle name="Total 9 2 3 3" xfId="11495"/>
    <cellStyle name="Output 5 2 2 3 3" xfId="11496"/>
    <cellStyle name="Output 4 3 2 3 3" xfId="11497"/>
    <cellStyle name="Output 3 3 2 3 3" xfId="11498"/>
    <cellStyle name="Output 2 7 2 3 3" xfId="11499"/>
    <cellStyle name="Output 11 2 3 3" xfId="11500"/>
    <cellStyle name="Input 5 3 2 3 3" xfId="11501"/>
    <cellStyle name="Input 4 3 2 3 3" xfId="11502"/>
    <cellStyle name="Input 3 3 2 3 3" xfId="11503"/>
    <cellStyle name="Input 2 7 2 3 3" xfId="11504"/>
    <cellStyle name="Calculation 10 2 3 3" xfId="11505"/>
    <cellStyle name="Input 14 2 3 3" xfId="11506"/>
    <cellStyle name="Input 16 2 3 3" xfId="11507"/>
    <cellStyle name="Input 17 2 3 3" xfId="11508"/>
    <cellStyle name="Input 15 2 3 3" xfId="11509"/>
    <cellStyle name="Input 13 2 3 3" xfId="11510"/>
    <cellStyle name="Calculation 5 2 2 3 3" xfId="11511"/>
    <cellStyle name="Calculation 4 3 2 3 3" xfId="11512"/>
    <cellStyle name="Calculation 3 3 2 3 3" xfId="11513"/>
    <cellStyle name="Calculation 2 7 2 3 3" xfId="11514"/>
    <cellStyle name="Calculation 11 2 3 3" xfId="11515"/>
    <cellStyle name="Output 10 2 3 3" xfId="11516"/>
    <cellStyle name="Note 12 2 3 3" xfId="11517"/>
    <cellStyle name="Note 2 7 2 3 3" xfId="11518"/>
    <cellStyle name="Note 2 2 4 2 3 3" xfId="11519"/>
    <cellStyle name="Note 3 5 2 3 3" xfId="11520"/>
    <cellStyle name="Note 3 2 5 2 3 3" xfId="11521"/>
    <cellStyle name="Note 4 4 2 3 3" xfId="11522"/>
    <cellStyle name="Note 4 2 3 2 3 3" xfId="11523"/>
    <cellStyle name="Note 5 3 2 3 3" xfId="11524"/>
    <cellStyle name="Note 5 2 2 2 3 3" xfId="11525"/>
    <cellStyle name="Note 6 3 2 3 3" xfId="11526"/>
    <cellStyle name="Note 6 2 2 2 3 3" xfId="11527"/>
    <cellStyle name="Note 7 3 2 3 3" xfId="11528"/>
    <cellStyle name="Note 7 2 2 2 3 3" xfId="11529"/>
    <cellStyle name="Note 8 2 2 3 3" xfId="11530"/>
    <cellStyle name="Note 9 2 2 3 3" xfId="11531"/>
    <cellStyle name="Output 12 2 3 3" xfId="11532"/>
    <cellStyle name="Output 2 8 2 3 3" xfId="11533"/>
    <cellStyle name="Output 3 4 2 3 3" xfId="11534"/>
    <cellStyle name="Output 4 4 2 3 3" xfId="11535"/>
    <cellStyle name="Output 5 3 2 3 3" xfId="11536"/>
    <cellStyle name="Total 10 2 3 3" xfId="11537"/>
    <cellStyle name="Total 11 2 3 3" xfId="11538"/>
    <cellStyle name="Total 2 8 2 3 3" xfId="11539"/>
    <cellStyle name="Total 3 3 2 3 3" xfId="11540"/>
    <cellStyle name="Total 4 3 2 3 3" xfId="11541"/>
    <cellStyle name="Total 5 2 2 3 3" xfId="11542"/>
    <cellStyle name="Total 12 2 3 3" xfId="11543"/>
    <cellStyle name="Total 2 9 2 3 3" xfId="11544"/>
    <cellStyle name="Total 3 4 2 3 3" xfId="11545"/>
    <cellStyle name="Total 4 4 2 3 3" xfId="11546"/>
    <cellStyle name="Total 5 3 2 3 3" xfId="11547"/>
    <cellStyle name="Input 18 2 3 3" xfId="11548"/>
    <cellStyle name="Calculation 12 2 3 3" xfId="11549"/>
    <cellStyle name="Input 19 2 3 3" xfId="11550"/>
    <cellStyle name="Note 13 2 3 3" xfId="11551"/>
    <cellStyle name="Output 13 2 3 3" xfId="11552"/>
    <cellStyle name="Total 13 2 3 3" xfId="11553"/>
    <cellStyle name="Calculation 2 8 2 3 3" xfId="11554"/>
    <cellStyle name="Calculation 3 4 2 3 3" xfId="11555"/>
    <cellStyle name="Calculation 4 4 2 3 3" xfId="11556"/>
    <cellStyle name="Calculation 5 3 2 3 3" xfId="11557"/>
    <cellStyle name="Input 2 8 2 3 3" xfId="11558"/>
    <cellStyle name="Input 3 4 2 3 3" xfId="11559"/>
    <cellStyle name="Input 4 4 2 3 3" xfId="11560"/>
    <cellStyle name="Input 5 4 2 3 3" xfId="11561"/>
    <cellStyle name="Note 2 8 2 3 3" xfId="11562"/>
    <cellStyle name="Note 2 2 5 2 3 3" xfId="11563"/>
    <cellStyle name="Note 3 6 2 3 3" xfId="11564"/>
    <cellStyle name="Note 3 2 6 2 3 3" xfId="11565"/>
    <cellStyle name="Note 4 5 2 3 3" xfId="11566"/>
    <cellStyle name="Note 4 2 4 2 3 3" xfId="11567"/>
    <cellStyle name="Note 5 4 2 3 3" xfId="11568"/>
    <cellStyle name="Note 5 2 3 2 3 3" xfId="11569"/>
    <cellStyle name="Note 6 4 2 3 3" xfId="11570"/>
    <cellStyle name="Note 6 2 3 2 3 3" xfId="11571"/>
    <cellStyle name="Note 7 4 2 3 3" xfId="11572"/>
    <cellStyle name="Note 7 2 3 2 3 3" xfId="11573"/>
    <cellStyle name="Note 8 3 2 3 3" xfId="11574"/>
    <cellStyle name="Output 2 9 2 3 3" xfId="11575"/>
    <cellStyle name="Output 3 5 2 3 3" xfId="11576"/>
    <cellStyle name="Output 4 5 2 3 3" xfId="11577"/>
    <cellStyle name="Output 5 4 2 3 3" xfId="11578"/>
    <cellStyle name="Total 2 10 2 3 3" xfId="11579"/>
    <cellStyle name="Total 3 5 2 3 3" xfId="11580"/>
    <cellStyle name="Total 4 5 2 3 3" xfId="11581"/>
    <cellStyle name="Total 5 4 2 3 3" xfId="11582"/>
    <cellStyle name="Input 20 2 3 3" xfId="11583"/>
    <cellStyle name="Input 21 2 3 3" xfId="11584"/>
    <cellStyle name="Note 2 7 2 2 4" xfId="11585"/>
    <cellStyle name="Input 10 2 2 4" xfId="11586"/>
    <cellStyle name="Input 2 3 3 2 4" xfId="11587"/>
    <cellStyle name="Note 3 7 2 4" xfId="11588"/>
    <cellStyle name="Note 3 6 4 4" xfId="11589"/>
    <cellStyle name="Input 16 4 4" xfId="11590"/>
    <cellStyle name="Note 7 5 2 5" xfId="11591"/>
    <cellStyle name="Output 11 2 7" xfId="11592"/>
    <cellStyle name="Calculation 4 2 2 7" xfId="11593"/>
    <cellStyle name="Style 25 2 8" xfId="11594"/>
    <cellStyle name="Note 4 6 7" xfId="11595"/>
    <cellStyle name="Input 13 3 5" xfId="11596"/>
    <cellStyle name="Note 2 4 2 3 3 5" xfId="11597"/>
    <cellStyle name="Input 5 2 5 4" xfId="11598"/>
    <cellStyle name="Note 7 2 3 9" xfId="11599"/>
    <cellStyle name="Output 4 4 2 2 5" xfId="11600"/>
    <cellStyle name="Total 2 2 7 6" xfId="11601"/>
    <cellStyle name="Total 2 2 2 4 5" xfId="11602"/>
    <cellStyle name="Input 11 2 2 4" xfId="11603"/>
    <cellStyle name="styleSeriesData 3 4" xfId="11604"/>
    <cellStyle name="Total 2 6 2 2 4" xfId="11605"/>
    <cellStyle name="Calculation 2 2 3 2 2 4" xfId="11606"/>
    <cellStyle name="Total 10 4 4" xfId="11607"/>
    <cellStyle name="Total 7 4 4" xfId="11608"/>
    <cellStyle name="Calculation 4 4 2 7" xfId="11609"/>
    <cellStyle name="Note 5 2 2 2 7" xfId="11610"/>
    <cellStyle name="Output 5 5 7" xfId="11611"/>
    <cellStyle name="Calculation 7 6 3" xfId="11612"/>
    <cellStyle name="Calculation 2 6 6 3" xfId="11613"/>
    <cellStyle name="Calculation 3 2 6 3" xfId="11614"/>
    <cellStyle name="Calculation 4 2 6 3" xfId="11615"/>
    <cellStyle name="Calculation 5 7 3" xfId="11616"/>
    <cellStyle name="Output 9 5 3" xfId="11617"/>
    <cellStyle name="Input 10 6 3" xfId="11618"/>
    <cellStyle name="Input 2 6 6 3" xfId="11619"/>
    <cellStyle name="Input 3 2 6 3" xfId="11620"/>
    <cellStyle name="Input 4 2 6 3" xfId="11621"/>
    <cellStyle name="Input 5 2 6 3" xfId="11622"/>
    <cellStyle name="styleDateRange 2 3 5" xfId="11623"/>
    <cellStyle name="Note 11 5 3" xfId="11624"/>
    <cellStyle name="Note 2 6 5 3" xfId="11625"/>
    <cellStyle name="Note 2 2 3 5 3" xfId="11626"/>
    <cellStyle name="Note 3 4 5 3" xfId="11627"/>
    <cellStyle name="Note 3 2 4 5 3" xfId="11628"/>
    <cellStyle name="Note 4 3 5 3" xfId="11629"/>
    <cellStyle name="Note 4 2 2 5 3" xfId="11630"/>
    <cellStyle name="Note 5 8 3" xfId="11631"/>
    <cellStyle name="Note 5 2 7 3" xfId="11632"/>
    <cellStyle name="Note 6 8 3" xfId="11633"/>
    <cellStyle name="Note 6 2 7 3" xfId="11634"/>
    <cellStyle name="Note 7 8 3" xfId="11635"/>
    <cellStyle name="Note 7 2 7 3" xfId="11636"/>
    <cellStyle name="Note 8 7 3" xfId="11637"/>
    <cellStyle name="Note 9 6 3" xfId="11638"/>
    <cellStyle name="Output 7 5 3" xfId="11639"/>
    <cellStyle name="Output 2 6 5 3" xfId="11640"/>
    <cellStyle name="Output 3 2 5 3" xfId="11641"/>
    <cellStyle name="Output 4 2 5 3" xfId="11642"/>
    <cellStyle name="Output 5 8 3" xfId="11643"/>
    <cellStyle name="Total 7 5 3" xfId="11644"/>
    <cellStyle name="Total 2 7 5 3" xfId="11645"/>
    <cellStyle name="Total 3 2 5 3" xfId="11646"/>
    <cellStyle name="Total 4 2 5 3" xfId="11647"/>
    <cellStyle name="Total 5 8 3" xfId="11648"/>
    <cellStyle name="Calculation 8 6 3" xfId="11649"/>
    <cellStyle name="Input 12 6 3" xfId="11650"/>
    <cellStyle name="Input 11 6 3" xfId="11651"/>
    <cellStyle name="Calculation 9 6 3" xfId="11652"/>
    <cellStyle name="Output 8 5 3" xfId="11653"/>
    <cellStyle name="Total 8 5 3" xfId="11654"/>
    <cellStyle name="Total 9 5 3" xfId="11655"/>
    <cellStyle name="Input 14 2 2 4" xfId="11656"/>
    <cellStyle name="styleSeriesDataForecastNA 2 2 2 4" xfId="11657"/>
    <cellStyle name="Total 2 2 6 2 4" xfId="11658"/>
    <cellStyle name="Input 6 3 2 4" xfId="11659"/>
    <cellStyle name="Output 13 4 4" xfId="11660"/>
    <cellStyle name="Input 5 3 5 4" xfId="11661"/>
    <cellStyle name="Note 8 3 2 7" xfId="11662"/>
    <cellStyle name="Total 4 3 2 7" xfId="11663"/>
    <cellStyle name="styleColumnTitles 3 5" xfId="11664"/>
    <cellStyle name="Output 2 3 2 2 5" xfId="11665"/>
    <cellStyle name="Output 5 2 5 3" xfId="11666"/>
    <cellStyle name="Output 4 3 5 3" xfId="11667"/>
    <cellStyle name="Output 3 3 5 3" xfId="11668"/>
    <cellStyle name="Output 2 7 5 3" xfId="11669"/>
    <cellStyle name="Output 11 5 3" xfId="11670"/>
    <cellStyle name="Input 5 3 6 3" xfId="11671"/>
    <cellStyle name="Input 4 3 6 3" xfId="11672"/>
    <cellStyle name="Input 3 3 6 3" xfId="11673"/>
    <cellStyle name="Input 2 7 6 3" xfId="11674"/>
    <cellStyle name="Calculation 10 6 3" xfId="11675"/>
    <cellStyle name="Input 14 6 3" xfId="11676"/>
    <cellStyle name="Input 16 6 3" xfId="11677"/>
    <cellStyle name="Input 17 6 3" xfId="11678"/>
    <cellStyle name="Input 15 6 3" xfId="11679"/>
    <cellStyle name="Input 13 6 3" xfId="11680"/>
    <cellStyle name="Calculation 5 2 6 3" xfId="11681"/>
    <cellStyle name="Calculation 4 3 6 3" xfId="11682"/>
    <cellStyle name="Calculation 3 3 6 3" xfId="11683"/>
    <cellStyle name="Calculation 2 7 6 3" xfId="11684"/>
    <cellStyle name="Calculation 11 6 3" xfId="11685"/>
    <cellStyle name="Note 13 3 5" xfId="11686"/>
    <cellStyle name="Total 5 3 2 2 5" xfId="11687"/>
    <cellStyle name="Output 10 5 3" xfId="11688"/>
    <cellStyle name="Note 12 5 3" xfId="11689"/>
    <cellStyle name="Note 2 7 5 3" xfId="11690"/>
    <cellStyle name="Note 2 2 4 5 3" xfId="11691"/>
    <cellStyle name="Note 3 5 5 3" xfId="11692"/>
    <cellStyle name="Note 3 2 5 5 3" xfId="11693"/>
    <cellStyle name="Note 4 4 5 3" xfId="11694"/>
    <cellStyle name="Note 4 2 3 5 3" xfId="11695"/>
    <cellStyle name="Note 5 3 5 3" xfId="11696"/>
    <cellStyle name="Note 5 2 2 5 3" xfId="11697"/>
    <cellStyle name="Note 6 3 5 3" xfId="11698"/>
    <cellStyle name="Note 6 2 2 5 3" xfId="11699"/>
    <cellStyle name="Note 7 3 5 3" xfId="11700"/>
    <cellStyle name="Note 7 2 2 5 3" xfId="11701"/>
    <cellStyle name="Note 8 2 5 3" xfId="11702"/>
    <cellStyle name="Note 9 2 5 3" xfId="11703"/>
    <cellStyle name="Output 12 5 3" xfId="11704"/>
    <cellStyle name="Output 2 8 5 3" xfId="11705"/>
    <cellStyle name="Output 3 4 5 3" xfId="11706"/>
    <cellStyle name="Output 4 4 5 3" xfId="11707"/>
    <cellStyle name="Output 5 3 5 3" xfId="11708"/>
    <cellStyle name="Total 10 5 3" xfId="11709"/>
    <cellStyle name="Total 11 5 3" xfId="11710"/>
    <cellStyle name="Total 2 8 5 3" xfId="11711"/>
    <cellStyle name="Total 3 3 5 3" xfId="11712"/>
    <cellStyle name="Total 4 3 5 3" xfId="11713"/>
    <cellStyle name="Total 5 2 5 3" xfId="11714"/>
    <cellStyle name="Total 12 5 3" xfId="11715"/>
    <cellStyle name="Total 2 9 5 3" xfId="11716"/>
    <cellStyle name="Total 3 4 5 3" xfId="11717"/>
    <cellStyle name="Total 4 4 5 3" xfId="11718"/>
    <cellStyle name="Total 5 3 5 3" xfId="11719"/>
    <cellStyle name="Output 5 2 2 2 4" xfId="11720"/>
    <cellStyle name="Style 22 2 2 2 4" xfId="11721"/>
    <cellStyle name="Note 4 7 2 4" xfId="11722"/>
    <cellStyle name="Input 2 2 5 2 4" xfId="11723"/>
    <cellStyle name="Total 4 4 4 4" xfId="11724"/>
    <cellStyle name="Output 8 4 4" xfId="11725"/>
    <cellStyle name="Note 3 6 2 7" xfId="11726"/>
    <cellStyle name="Output 3 4 2 7" xfId="11727"/>
    <cellStyle name="Input 11 2 7" xfId="11728"/>
    <cellStyle name="Note 4 7 7" xfId="11729"/>
    <cellStyle name="Input 18 6 3" xfId="11730"/>
    <cellStyle name="Output 3 6 3 5" xfId="11731"/>
    <cellStyle name="Calculation 12 6 3" xfId="11732"/>
    <cellStyle name="Input 19 6 3" xfId="11733"/>
    <cellStyle name="Note 13 6 3" xfId="11734"/>
    <cellStyle name="Output 13 6 3" xfId="11735"/>
    <cellStyle name="Total 13 6 3" xfId="11736"/>
    <cellStyle name="Note 3 4 3 4" xfId="11737"/>
    <cellStyle name="Output 2 11 8" xfId="11738"/>
    <cellStyle name="Calculation 2 8 6 3" xfId="11739"/>
    <cellStyle name="Calculation 3 4 6 3" xfId="11740"/>
    <cellStyle name="Calculation 4 4 6 3" xfId="11741"/>
    <cellStyle name="Calculation 5 3 6 3" xfId="11742"/>
    <cellStyle name="Input 2 8 6 3" xfId="11743"/>
    <cellStyle name="Input 3 4 6 3" xfId="11744"/>
    <cellStyle name="Input 4 4 6 3" xfId="11745"/>
    <cellStyle name="Input 5 4 6 3" xfId="11746"/>
    <cellStyle name="Input 4 5 8" xfId="11747"/>
    <cellStyle name="Note 2 8 6 3" xfId="11748"/>
    <cellStyle name="Note 2 2 5 6 3" xfId="11749"/>
    <cellStyle name="Note 3 6 6 3" xfId="11750"/>
    <cellStyle name="Note 3 2 6 6 3" xfId="11751"/>
    <cellStyle name="Note 4 5 6 3" xfId="11752"/>
    <cellStyle name="Note 4 2 4 6 3" xfId="11753"/>
    <cellStyle name="Note 5 4 6 3" xfId="11754"/>
    <cellStyle name="Note 5 2 3 6 3" xfId="11755"/>
    <cellStyle name="Note 6 4 6 3" xfId="11756"/>
    <cellStyle name="Note 6 2 3 6 3" xfId="11757"/>
    <cellStyle name="Note 7 4 6 3" xfId="11758"/>
    <cellStyle name="Note 7 2 3 6 3" xfId="11759"/>
    <cellStyle name="Note 8 3 6 3" xfId="11760"/>
    <cellStyle name="Output 2 9 6 3" xfId="11761"/>
    <cellStyle name="Output 3 5 6 3" xfId="11762"/>
    <cellStyle name="Output 4 5 6 3" xfId="11763"/>
    <cellStyle name="Output 5 4 6 3" xfId="11764"/>
    <cellStyle name="Total 2 10 6 3" xfId="11765"/>
    <cellStyle name="Total 3 5 6 3" xfId="11766"/>
    <cellStyle name="Total 4 5 6 3" xfId="11767"/>
    <cellStyle name="Total 5 4 6 3" xfId="11768"/>
    <cellStyle name="Input 20 6 3" xfId="11769"/>
    <cellStyle name="Input 4 2 3 4" xfId="11770"/>
    <cellStyle name="Output 2 10 8" xfId="11771"/>
    <cellStyle name="Input 21 5 4" xfId="11772"/>
    <cellStyle name="Input 21 6 3" xfId="11773"/>
    <cellStyle name="Calculation 7 3 4" xfId="11774"/>
    <cellStyle name="Note 2 3 2 2 2 5" xfId="11775"/>
    <cellStyle name="Calculation 2 6 2 8" xfId="11776"/>
    <cellStyle name="Total 11 9" xfId="11777"/>
    <cellStyle name="Input 10 3 2 3" xfId="11778"/>
    <cellStyle name="Input 2 4 4 2 3" xfId="11779"/>
    <cellStyle name="Input 7 4 2 3" xfId="11780"/>
    <cellStyle name="Note 4 2 6 4 3" xfId="11781"/>
    <cellStyle name="Note 3 3 3 4 3" xfId="11782"/>
    <cellStyle name="Note 2 5 3 4 3" xfId="11783"/>
    <cellStyle name="Note 2 4 2 3 4 3" xfId="11784"/>
    <cellStyle name="Note 2 3 2 3 4 3" xfId="11785"/>
    <cellStyle name="Note 2 2 2 3 4 3" xfId="11786"/>
    <cellStyle name="Total 12 9" xfId="11787"/>
    <cellStyle name="Input 6 6 3" xfId="11788"/>
    <cellStyle name="Input 4 7 3" xfId="11789"/>
    <cellStyle name="Input 2 4 5 3" xfId="11790"/>
    <cellStyle name="Input 2 2 4 5 3" xfId="11791"/>
    <cellStyle name="Input 2 2 2 5 3" xfId="11792"/>
    <cellStyle name="Input 2 12 3" xfId="11793"/>
    <cellStyle name="Input 24 3" xfId="11794"/>
    <cellStyle name="Note 14 3" xfId="11795"/>
    <cellStyle name="Note 2 11 3" xfId="11796"/>
    <cellStyle name="Note 2 2 8 3" xfId="11797"/>
    <cellStyle name="Calculation 2 9 4 3" xfId="11798"/>
    <cellStyle name="Calculation 2 2 5 4 3" xfId="11799"/>
    <cellStyle name="Calculation 2 2 2 2 4 3" xfId="11800"/>
    <cellStyle name="Calculation 2 2 3 2 4 3" xfId="11801"/>
    <cellStyle name="Calculation 2 2 4 2 4 3" xfId="11802"/>
    <cellStyle name="Calculation 2 3 2 4 3" xfId="11803"/>
    <cellStyle name="Calculation 2 4 2 4 3" xfId="11804"/>
    <cellStyle name="Calculation 2 5 2 4 3" xfId="11805"/>
    <cellStyle name="Calculation 3 5 4 3" xfId="11806"/>
    <cellStyle name="Note 3 2 10 3" xfId="11807"/>
    <cellStyle name="Note 3 2 2 5 3" xfId="11808"/>
    <cellStyle name="Note 4 8 3" xfId="11809"/>
    <cellStyle name="Output 3 8 2 3" xfId="11810"/>
    <cellStyle name="Calculation 2 3 5 3" xfId="11811"/>
    <cellStyle name="Calculation 2 2 4 5 3" xfId="11812"/>
    <cellStyle name="Calculation 2 2 3 5 3" xfId="11813"/>
    <cellStyle name="Calculation 2 2 2 5 3" xfId="11814"/>
    <cellStyle name="Calculation 2 2 8 3" xfId="11815"/>
    <cellStyle name="Calculation 13 3" xfId="11816"/>
    <cellStyle name="Input 17 3 4" xfId="11817"/>
    <cellStyle name="Note 5 3 3 4" xfId="11818"/>
    <cellStyle name="Total 3 3 3 4" xfId="11819"/>
    <cellStyle name="Note 2 7 9" xfId="11820"/>
    <cellStyle name="Total 11 3 4" xfId="11821"/>
    <cellStyle name="Output 2 4 4 6" xfId="11822"/>
    <cellStyle name="Calculation 2 9 3 4" xfId="11823"/>
    <cellStyle name="Calculation 3 2 4 4" xfId="11824"/>
    <cellStyle name="Total 5 5 8" xfId="11825"/>
    <cellStyle name="Output 2 4 3 7" xfId="11826"/>
    <cellStyle name="Note 2 3 4 7" xfId="11827"/>
    <cellStyle name="Note 7 5 7" xfId="11828"/>
    <cellStyle name="Output 4 2 4 4" xfId="11829"/>
    <cellStyle name="Output 5 4 9" xfId="11830"/>
    <cellStyle name="Output 3 4 4 4" xfId="11831"/>
    <cellStyle name="Total 2 11 2 4" xfId="11832"/>
    <cellStyle name="Style 26 3 4" xfId="11833"/>
    <cellStyle name="Note 3 5 2 7" xfId="11834"/>
    <cellStyle name="Output 2 6 4 4" xfId="11835"/>
    <cellStyle name="Note 5 3 4 5" xfId="11836"/>
    <cellStyle name="Total 2 2 2 4 2 3" xfId="11837"/>
    <cellStyle name="Total 2 2 4 4 2 3" xfId="11838"/>
    <cellStyle name="Total 2 2 3 2 8" xfId="11839"/>
    <cellStyle name="Output 2 8 4 4" xfId="11840"/>
    <cellStyle name="Total 14 3" xfId="11841"/>
    <cellStyle name="Header2 2 4 3" xfId="11842"/>
    <cellStyle name="Input 2 5 3 4 3" xfId="11843"/>
    <cellStyle name="Input 2 9 4 3" xfId="11844"/>
    <cellStyle name="Input 2 2 5 4 3" xfId="11845"/>
    <cellStyle name="Input 2 2 2 2 4 3" xfId="11846"/>
    <cellStyle name="Input 2 2 3 2 4 3" xfId="11847"/>
    <cellStyle name="Input 2 2 4 2 4 3" xfId="11848"/>
    <cellStyle name="Input 2 3 2 4 3" xfId="11849"/>
    <cellStyle name="Input 2 4 2 4 3" xfId="11850"/>
    <cellStyle name="Input 2 5 2 4 3" xfId="11851"/>
    <cellStyle name="Input 3 5 4 3" xfId="11852"/>
    <cellStyle name="Input 4 5 4 3" xfId="11853"/>
    <cellStyle name="Input 5 5 4 3" xfId="11854"/>
    <cellStyle name="Input 6 3 4 3" xfId="11855"/>
    <cellStyle name="Input 7 2 4 3" xfId="11856"/>
    <cellStyle name="Input 8 2 4 3" xfId="11857"/>
    <cellStyle name="Output 3 4 2 8" xfId="11858"/>
    <cellStyle name="Calculation 2 5 3 4 3" xfId="11859"/>
    <cellStyle name="Total 2 4 3 4 3" xfId="11860"/>
    <cellStyle name="Total 2 2 4 3 4 3" xfId="11861"/>
    <cellStyle name="Total 2 2 3 3 4 3" xfId="11862"/>
    <cellStyle name="Total 2 12 4 3" xfId="11863"/>
    <cellStyle name="Input 16 3 4" xfId="11864"/>
    <cellStyle name="Output 14 3" xfId="11865"/>
    <cellStyle name="Note 2 4 6 3" xfId="11866"/>
    <cellStyle name="Calculation 2 2 7 2 3" xfId="11867"/>
    <cellStyle name="Calculation 2 2 4 4 2 3" xfId="11868"/>
    <cellStyle name="Header2 3 2 3" xfId="11869"/>
    <cellStyle name="Total 9 9" xfId="11870"/>
    <cellStyle name="Input 2 2 7 2 3" xfId="11871"/>
    <cellStyle name="Input 2 3 4 2 3" xfId="11872"/>
    <cellStyle name="Input [yellow] 3 3" xfId="11873"/>
    <cellStyle name="Note 13 3 4" xfId="11874"/>
    <cellStyle name="Calculation 5 3 10" xfId="11875"/>
    <cellStyle name="Output 2 2 4 2 7" xfId="11876"/>
    <cellStyle name="Output 2 5 2 7" xfId="11877"/>
    <cellStyle name="Note 12 2 7" xfId="11878"/>
    <cellStyle name="Total 2 2 7 2 3" xfId="11879"/>
    <cellStyle name="Total 2 4 4 2 3" xfId="11880"/>
    <cellStyle name="Note 2 9 4 3" xfId="11881"/>
    <cellStyle name="Note 2 2 6 4 3" xfId="11882"/>
    <cellStyle name="Note 2 3 3 4 3" xfId="11883"/>
    <cellStyle name="Note 2 4 3 4 3" xfId="11884"/>
    <cellStyle name="Note 3 7 4 3" xfId="11885"/>
    <cellStyle name="Note 3 2 7 4 3" xfId="11886"/>
    <cellStyle name="Output 2 10 4 3" xfId="11887"/>
    <cellStyle name="Output 2 2 5 4 3" xfId="11888"/>
    <cellStyle name="Output 2 2 2 2 4 3" xfId="11889"/>
    <cellStyle name="Output 2 2 3 2 4 3" xfId="11890"/>
    <cellStyle name="Output 2 2 4 2 4 3" xfId="11891"/>
    <cellStyle name="Output 2 3 2 4 3" xfId="11892"/>
    <cellStyle name="Output 2 4 2 4 3" xfId="11893"/>
    <cellStyle name="Output 2 5 2 4 3" xfId="11894"/>
    <cellStyle name="Output 3 6 4 3" xfId="11895"/>
    <cellStyle name="Input 7 3 4 3" xfId="11896"/>
    <cellStyle name="Input 5 6 4 3" xfId="11897"/>
    <cellStyle name="Input 3 6 4 3" xfId="11898"/>
    <cellStyle name="Input 2 4 3 4 3" xfId="11899"/>
    <cellStyle name="Input 2 2 4 3 4 3" xfId="11900"/>
    <cellStyle name="Input 2 2 2 3 4 3" xfId="11901"/>
    <cellStyle name="Input 2 10 4 3" xfId="11902"/>
    <cellStyle name="Calculation 3 6 4 3" xfId="11903"/>
    <cellStyle name="Calculation 2 4 3 4 3" xfId="11904"/>
    <cellStyle name="Calculation 2 2 4 3 4 3" xfId="11905"/>
    <cellStyle name="Calculation 2 2 2 3 4 3" xfId="11906"/>
    <cellStyle name="Calculation 2 10 4 3" xfId="11907"/>
    <cellStyle name="StmtTtl2 2 4 3" xfId="11908"/>
    <cellStyle name="Total 2 11 4 3" xfId="11909"/>
    <cellStyle name="Total 2 2 5 4 3" xfId="11910"/>
    <cellStyle name="Total 2 2 2 2 4 3" xfId="11911"/>
    <cellStyle name="Total 2 2 3 2 4 3" xfId="11912"/>
    <cellStyle name="Total 2 2 4 2 4 3" xfId="11913"/>
    <cellStyle name="Total 2 3 2 4 3" xfId="11914"/>
    <cellStyle name="Total 2 4 2 4 3" xfId="11915"/>
    <cellStyle name="Total 2 5 2 4 3" xfId="11916"/>
    <cellStyle name="Total 2 6 2 4 3" xfId="11917"/>
    <cellStyle name="Total 3 6 4 3" xfId="11918"/>
    <cellStyle name="Note 4 2 3 2 2 4" xfId="11919"/>
    <cellStyle name="Note 11 2 2 4" xfId="11920"/>
    <cellStyle name="Calculation 2 2 6 2 4" xfId="11921"/>
    <cellStyle name="Output 2 2 3 2 2 4" xfId="11922"/>
    <cellStyle name="Note 5 2 3 4 4" xfId="11923"/>
    <cellStyle name="Calculation 4 3 4 4" xfId="11924"/>
    <cellStyle name="Input 3 3 2 7" xfId="11925"/>
    <cellStyle name="Input 3 2 2 7" xfId="11926"/>
    <cellStyle name="styleDateRange 8" xfId="11927"/>
    <cellStyle name="Total 2 3 3 7" xfId="11928"/>
    <cellStyle name="Output 2 5 3 4 3" xfId="11929"/>
    <cellStyle name="Input 8 5 3" xfId="11930"/>
    <cellStyle name="Note 3 9 3" xfId="11931"/>
    <cellStyle name="Note 7 2 2 4 5" xfId="11932"/>
    <cellStyle name="Note 2 3 5 2 3" xfId="11933"/>
    <cellStyle name="Note 2 4 5 2 3" xfId="11934"/>
    <cellStyle name="Note 3 2 9 2 3" xfId="11935"/>
    <cellStyle name="Output 2 12 2 3" xfId="11936"/>
    <cellStyle name="Output 2 2 7 2 3" xfId="11937"/>
    <cellStyle name="Output 2 2 2 4 2 3" xfId="11938"/>
    <cellStyle name="Output 2 3 4 2 3" xfId="11939"/>
    <cellStyle name="Output 2 4 4 2 3" xfId="11940"/>
    <cellStyle name="Input 14 3 4" xfId="11941"/>
    <cellStyle name="Input 7 3 7" xfId="11942"/>
    <cellStyle name="Note 4 4 2 7" xfId="11943"/>
    <cellStyle name="Output 8 4 5" xfId="11944"/>
    <cellStyle name="Calculation 2 4 4 2 3" xfId="11945"/>
    <cellStyle name="Input 2 2 2 4 2 3" xfId="11946"/>
    <cellStyle name="Output 2 3 3 4 3" xfId="11947"/>
    <cellStyle name="Output 2 2 3 3 4 3" xfId="11948"/>
    <cellStyle name="Output 2 2 6 4 3" xfId="11949"/>
    <cellStyle name="Note 4 7 4 3" xfId="11950"/>
    <cellStyle name="Note 3 2 2 3 4 3" xfId="11951"/>
    <cellStyle name="Note 3 8 4 3" xfId="11952"/>
    <cellStyle name="Note 2 4 4 4 3" xfId="11953"/>
    <cellStyle name="Note 2 2 7 4 3" xfId="11954"/>
    <cellStyle name="Total 2 8 9" xfId="11955"/>
    <cellStyle name="Input 7 5 3" xfId="11956"/>
    <cellStyle name="Input 3 7 3" xfId="11957"/>
    <cellStyle name="Input 2 2 3 5 3" xfId="11958"/>
    <cellStyle name="Note 6 2 3 3 4" xfId="11959"/>
    <cellStyle name="Note 4 4 3 4" xfId="11960"/>
    <cellStyle name="Note 3 2 2 2 4 3" xfId="11961"/>
    <cellStyle name="Note 4 6 4 3" xfId="11962"/>
    <cellStyle name="Input 5 4 5 4" xfId="11963"/>
    <cellStyle name="Calculation 8 5 5" xfId="11964"/>
    <cellStyle name="Calculation 2 12 3" xfId="11965"/>
    <cellStyle name="Calculation 2 4 5 3" xfId="11966"/>
    <cellStyle name="Note 8 6 4" xfId="11967"/>
    <cellStyle name="Output 2 11 7" xfId="11968"/>
    <cellStyle name="Total 2 13 2 3" xfId="11969"/>
    <cellStyle name="Total 3 8 2 3" xfId="11970"/>
    <cellStyle name="Total 2 3 4 2 3" xfId="11971"/>
    <cellStyle name="Total 3 7 4 3" xfId="11972"/>
    <cellStyle name="Total 2 5 3 4 3" xfId="11973"/>
    <cellStyle name="Total 2 3 3 4 3" xfId="11974"/>
    <cellStyle name="Total 2 2 6 4 3" xfId="11975"/>
    <cellStyle name="Total 2 2 2 3 4 3" xfId="11976"/>
    <cellStyle name="StmtTtl2 3 4 3" xfId="11977"/>
    <cellStyle name="Output 3 6 7" xfId="11978"/>
    <cellStyle name="Note 4 2 3 3 4" xfId="11979"/>
    <cellStyle name="Calculation 2 11 2 3" xfId="11980"/>
    <cellStyle name="Input 23 3" xfId="11981"/>
    <cellStyle name="Input 2 11 2 3" xfId="11982"/>
    <cellStyle name="Input 2 2 4 4 2 3" xfId="11983"/>
    <cellStyle name="Input 8 4 2 3" xfId="11984"/>
    <cellStyle name="Output 3 7 4 3" xfId="11985"/>
    <cellStyle name="Input 22 3" xfId="11986"/>
    <cellStyle name="Header2 4 2 3" xfId="11987"/>
    <cellStyle name="Output 5 5 2 4" xfId="11988"/>
    <cellStyle name="Total 5 2 2 2 4" xfId="11989"/>
    <cellStyle name="Output 12 4 4" xfId="11990"/>
    <cellStyle name="StmtTtl2 4 2 3" xfId="11991"/>
    <cellStyle name="Output 3 5 2 2 5" xfId="11992"/>
    <cellStyle name="Total 2 2 3 4 2 3" xfId="11993"/>
    <cellStyle name="Total 2 5 4 2 3" xfId="11994"/>
    <cellStyle name="Note 7 3 8" xfId="11995"/>
    <cellStyle name="Note 2 5 2 4 3" xfId="11996"/>
    <cellStyle name="Note 2 2 2 2 4 3" xfId="11997"/>
    <cellStyle name="Note 2 3 2 2 4 3" xfId="11998"/>
    <cellStyle name="Note 2 4 2 2 4 3" xfId="11999"/>
    <cellStyle name="Note 3 3 2 4 3" xfId="12000"/>
    <cellStyle name="Input 8 3 4 3" xfId="12001"/>
    <cellStyle name="Input 6 4 4 3" xfId="12002"/>
    <cellStyle name="Input 4 6 4 3" xfId="12003"/>
    <cellStyle name="Input 2 3 3 4 3" xfId="12004"/>
    <cellStyle name="Input 2 2 3 3 4 3" xfId="12005"/>
    <cellStyle name="Input 2 2 6 4 3" xfId="12006"/>
    <cellStyle name="Calculation 2 3 3 4 3" xfId="12007"/>
    <cellStyle name="Calculation 2 2 3 3 4 3" xfId="12008"/>
    <cellStyle name="Calculation 2 2 6 4 3" xfId="12009"/>
    <cellStyle name="Calculation 3 8 3" xfId="12010"/>
    <cellStyle name="Note 3 2 2 4 2 3" xfId="12011"/>
    <cellStyle name="Output 2 2 4 4 2 3" xfId="12012"/>
    <cellStyle name="Output 2 2 3 4 2 3" xfId="12013"/>
    <cellStyle name="Input 2 2 3 4 2 3" xfId="12014"/>
    <cellStyle name="Output 2 4 3 4 3" xfId="12015"/>
    <cellStyle name="Output 2 2 4 3 4 3" xfId="12016"/>
    <cellStyle name="Output 2 2 2 3 4 3" xfId="12017"/>
    <cellStyle name="Output 2 11 4 3" xfId="12018"/>
    <cellStyle name="Note 3 2 8 4 3" xfId="12019"/>
    <cellStyle name="Note 2 3 4 4 3" xfId="12020"/>
    <cellStyle name="Note 2 10 4 3" xfId="12021"/>
    <cellStyle name="Input 5 8 3" xfId="12022"/>
    <cellStyle name="Input 2 3 5 3" xfId="12023"/>
    <cellStyle name="Input 2 2 8 3" xfId="12024"/>
    <cellStyle name="Note 5 2 3 3 4" xfId="12025"/>
    <cellStyle name="Note 4 2 5 4 3" xfId="12026"/>
    <cellStyle name="Style 21 5 3" xfId="12027"/>
    <cellStyle name="Style 21 2 5 3" xfId="12028"/>
    <cellStyle name="Style 22 5 3" xfId="12029"/>
    <cellStyle name="Style 22 2 5 3" xfId="12030"/>
    <cellStyle name="Style 23 5 3" xfId="12031"/>
    <cellStyle name="Style 23 2 5 3" xfId="12032"/>
    <cellStyle name="Style 24 5 3" xfId="12033"/>
    <cellStyle name="Style 24 2 5 3" xfId="12034"/>
    <cellStyle name="Style 25 5 3" xfId="12035"/>
    <cellStyle name="Style 25 2 5 3" xfId="12036"/>
    <cellStyle name="Style 26 5 3" xfId="12037"/>
    <cellStyle name="Style 26 2 5 3" xfId="12038"/>
    <cellStyle name="styleColumnTitles 5 3" xfId="12039"/>
    <cellStyle name="styleColumnTitles 2 5 3" xfId="12040"/>
    <cellStyle name="styleDateRange 5 3" xfId="12041"/>
    <cellStyle name="styleDateRange 2 5 3" xfId="12042"/>
    <cellStyle name="styleSeriesAttributes 5 3" xfId="12043"/>
    <cellStyle name="styleSeriesAttributes 2 5 3" xfId="12044"/>
    <cellStyle name="styleSeriesData 5 3" xfId="12045"/>
    <cellStyle name="styleSeriesData 2 5 3" xfId="12046"/>
    <cellStyle name="styleSeriesDataForecast 5 3" xfId="12047"/>
    <cellStyle name="styleSeriesDataForecast 2 5 3" xfId="12048"/>
    <cellStyle name="styleSeriesDataForecastNA 5 3" xfId="12049"/>
    <cellStyle name="styleSeriesDataForecastNA 2 5 3" xfId="12050"/>
    <cellStyle name="styleSeriesDataNA 5 3" xfId="12051"/>
    <cellStyle name="styleSeriesDataNA 2 5 3" xfId="12052"/>
    <cellStyle name="Style 21 2 2 4 3" xfId="12053"/>
    <cellStyle name="Style 22 2 2 4 3" xfId="12054"/>
    <cellStyle name="Style 23 2 2 4 3" xfId="12055"/>
    <cellStyle name="Style 24 2 2 4 3" xfId="12056"/>
    <cellStyle name="Style 25 2 2 4 3" xfId="12057"/>
    <cellStyle name="Style 26 2 2 4 3" xfId="12058"/>
    <cellStyle name="styleColumnTitles 2 2 4 3" xfId="12059"/>
    <cellStyle name="styleDateRange 2 2 4 3" xfId="12060"/>
    <cellStyle name="styleSeriesAttributes 2 2 4 3" xfId="12061"/>
    <cellStyle name="styleSeriesData 2 2 4 3" xfId="12062"/>
    <cellStyle name="styleSeriesDataForecast 2 2 4 3" xfId="12063"/>
    <cellStyle name="styleSeriesDataForecastNA 2 2 4 3" xfId="12064"/>
    <cellStyle name="styleSeriesDataNA 2 2 4 3" xfId="12065"/>
    <cellStyle name="Note 2 2 5 5 4" xfId="12066"/>
    <cellStyle name="Calculation 3 7 2 3" xfId="12067"/>
    <cellStyle name="Calculation 2 3 4 2 3" xfId="12068"/>
    <cellStyle name="Calculation 2 2 3 4 2 3" xfId="12069"/>
    <cellStyle name="Calculation 2 2 2 4 2 3" xfId="12070"/>
    <cellStyle name="Note 2 3 6 3" xfId="12071"/>
    <cellStyle name="Total 2 8 3 4" xfId="12072"/>
    <cellStyle name="Total 5 6 5" xfId="12073"/>
    <cellStyle name="Note 6 4 3 4" xfId="12074"/>
    <cellStyle name="Total 2 6 3 4 3" xfId="12075"/>
    <cellStyle name="Output 2 12 6" xfId="12076"/>
    <cellStyle name="Total 2 5 4 5" xfId="12077"/>
    <cellStyle name="Note 2 3 2 3 3 4" xfId="12078"/>
    <cellStyle name="styleSeriesDataForecastNA 2 3 4" xfId="12079"/>
    <cellStyle name="Output 2 5 3 2 4" xfId="12080"/>
    <cellStyle name="Calculation 3 5 2 4" xfId="12081"/>
    <cellStyle name="Total 5 2 4 4" xfId="12082"/>
    <cellStyle name="Calculation 8 4 4" xfId="12083"/>
    <cellStyle name="Input 5 4 2 7" xfId="12084"/>
    <cellStyle name="Note 8 2 2 7" xfId="12085"/>
    <cellStyle name="Total 4 2 2 7" xfId="12086"/>
    <cellStyle name="styleSeriesDataForecastNA 2 2 7" xfId="12087"/>
    <cellStyle name="Calculation 7 2 4 3" xfId="12088"/>
    <cellStyle name="Calculation 2 6 2 4 3" xfId="12089"/>
    <cellStyle name="Calculation 3 2 2 4 3" xfId="12090"/>
    <cellStyle name="Calculation 4 2 2 4 3" xfId="12091"/>
    <cellStyle name="Calculation 5 4 4 3" xfId="12092"/>
    <cellStyle name="Output 9 2 4 3" xfId="12093"/>
    <cellStyle name="Input 10 2 4 3" xfId="12094"/>
    <cellStyle name="Input 2 6 2 4 3" xfId="12095"/>
    <cellStyle name="Input 3 2 2 4 3" xfId="12096"/>
    <cellStyle name="Input 4 2 2 4 3" xfId="12097"/>
    <cellStyle name="Input 5 2 2 4 3" xfId="12098"/>
    <cellStyle name="Calculation 3 2 9" xfId="12099"/>
    <cellStyle name="Total 2 3 2 2 5" xfId="12100"/>
    <cellStyle name="Note 11 2 4 3" xfId="12101"/>
    <cellStyle name="Note 2 6 2 4 3" xfId="12102"/>
    <cellStyle name="Note 2 2 3 2 4 3" xfId="12103"/>
    <cellStyle name="Note 3 4 2 4 3" xfId="12104"/>
    <cellStyle name="Note 3 2 4 2 4 3" xfId="12105"/>
    <cellStyle name="Note 4 3 2 4 3" xfId="12106"/>
    <cellStyle name="Note 4 2 2 2 4 3" xfId="12107"/>
    <cellStyle name="Note 5 5 4 3" xfId="12108"/>
    <cellStyle name="Note 5 2 4 4 3" xfId="12109"/>
    <cellStyle name="Note 6 5 4 3" xfId="12110"/>
    <cellStyle name="Note 6 2 4 4 3" xfId="12111"/>
    <cellStyle name="Note 7 5 4 3" xfId="12112"/>
    <cellStyle name="Note 7 2 4 4 3" xfId="12113"/>
    <cellStyle name="Note 8 4 4 3" xfId="12114"/>
    <cellStyle name="Note 9 3 4 3" xfId="12115"/>
    <cellStyle name="Output 7 2 4 3" xfId="12116"/>
    <cellStyle name="Output 2 6 2 4 3" xfId="12117"/>
    <cellStyle name="Output 3 2 2 4 3" xfId="12118"/>
    <cellStyle name="Output 4 2 2 4 3" xfId="12119"/>
    <cellStyle name="Output 5 5 4 3" xfId="12120"/>
    <cellStyle name="Input 5 7 2 3" xfId="12121"/>
    <cellStyle name="Input 6 5 2 3" xfId="12122"/>
    <cellStyle name="Note 3 2 8 7" xfId="12123"/>
    <cellStyle name="Total 7 2 4 3" xfId="12124"/>
    <cellStyle name="Total 2 7 2 4 3" xfId="12125"/>
    <cellStyle name="Total 3 2 2 4 3" xfId="12126"/>
    <cellStyle name="Total 4 2 2 4 3" xfId="12127"/>
    <cellStyle name="Total 5 5 4 3" xfId="12128"/>
    <cellStyle name="Output 3 2 4 4" xfId="12129"/>
    <cellStyle name="Calculation 8 2 4 3" xfId="12130"/>
    <cellStyle name="Input 12 2 4 3" xfId="12131"/>
    <cellStyle name="Input 11 2 4 3" xfId="12132"/>
    <cellStyle name="Calculation 9 2 4 3" xfId="12133"/>
    <cellStyle name="Output 8 2 4 3" xfId="12134"/>
    <cellStyle name="Total 8 2 4 3" xfId="12135"/>
    <cellStyle name="Total 9 2 4 3" xfId="12136"/>
    <cellStyle name="Calculation 5 2 2 2 4" xfId="12137"/>
    <cellStyle name="Input 4 3 5 4" xfId="12138"/>
    <cellStyle name="Note 2 2 2 2 2 4" xfId="12139"/>
    <cellStyle name="Total 2 2 4 3 2 4" xfId="12140"/>
    <cellStyle name="Calculation 5 3 4 4" xfId="12141"/>
    <cellStyle name="Output 11 4 4" xfId="12142"/>
    <cellStyle name="Total 2 10 2 7" xfId="12143"/>
    <cellStyle name="Total 12 2 7" xfId="12144"/>
    <cellStyle name="Calculation 10 2 8" xfId="12145"/>
    <cellStyle name="Output 5 2 2 4 3" xfId="12146"/>
    <cellStyle name="Output 4 3 2 4 3" xfId="12147"/>
    <cellStyle name="Output 3 3 2 4 3" xfId="12148"/>
    <cellStyle name="Output 2 7 2 4 3" xfId="12149"/>
    <cellStyle name="Output 11 2 4 3" xfId="12150"/>
    <cellStyle name="Style 22 8" xfId="12151"/>
    <cellStyle name="Input 5 3 2 4 3" xfId="12152"/>
    <cellStyle name="Input 4 3 2 4 3" xfId="12153"/>
    <cellStyle name="Input 3 3 2 4 3" xfId="12154"/>
    <cellStyle name="Input 2 7 2 4 3" xfId="12155"/>
    <cellStyle name="Calculation 10 2 4 3" xfId="12156"/>
    <cellStyle name="Input 14 2 4 3" xfId="12157"/>
    <cellStyle name="Input 16 2 4 3" xfId="12158"/>
    <cellStyle name="Input 17 2 4 3" xfId="12159"/>
    <cellStyle name="Input 15 2 4 3" xfId="12160"/>
    <cellStyle name="Input 13 2 4 3" xfId="12161"/>
    <cellStyle name="Calculation 5 2 2 4 3" xfId="12162"/>
    <cellStyle name="Calculation 4 3 2 4 3" xfId="12163"/>
    <cellStyle name="Calculation 3 3 2 4 3" xfId="12164"/>
    <cellStyle name="Calculation 2 7 2 4 3" xfId="12165"/>
    <cellStyle name="Calculation 11 2 4 3" xfId="12166"/>
    <cellStyle name="Total 5 5 2 5" xfId="12167"/>
    <cellStyle name="Output 10 2 4 3" xfId="12168"/>
    <cellStyle name="Note 12 2 4 3" xfId="12169"/>
    <cellStyle name="Note 2 7 2 4 3" xfId="12170"/>
    <cellStyle name="Note 2 2 4 2 4 3" xfId="12171"/>
    <cellStyle name="Note 3 5 2 4 3" xfId="12172"/>
    <cellStyle name="Note 3 2 5 2 4 3" xfId="12173"/>
    <cellStyle name="Note 4 4 2 4 3" xfId="12174"/>
    <cellStyle name="Note 4 2 3 2 4 3" xfId="12175"/>
    <cellStyle name="Note 5 3 2 4 3" xfId="12176"/>
    <cellStyle name="Note 5 2 2 2 4 3" xfId="12177"/>
    <cellStyle name="Note 6 3 2 4 3" xfId="12178"/>
    <cellStyle name="Note 6 2 2 2 4 3" xfId="12179"/>
    <cellStyle name="Note 7 3 2 4 3" xfId="12180"/>
    <cellStyle name="Note 7 2 2 2 4 3" xfId="12181"/>
    <cellStyle name="Note 8 2 2 4 3" xfId="12182"/>
    <cellStyle name="Note 9 2 2 4 3" xfId="12183"/>
    <cellStyle name="Output 12 2 4 3" xfId="12184"/>
    <cellStyle name="Output 2 8 2 4 3" xfId="12185"/>
    <cellStyle name="Output 3 4 2 4 3" xfId="12186"/>
    <cellStyle name="Output 4 4 2 4 3" xfId="12187"/>
    <cellStyle name="Output 5 3 2 4 3" xfId="12188"/>
    <cellStyle name="Total 10 2 4 3" xfId="12189"/>
    <cellStyle name="Total 11 2 4 3" xfId="12190"/>
    <cellStyle name="Total 2 8 2 4 3" xfId="12191"/>
    <cellStyle name="Total 3 3 2 4 3" xfId="12192"/>
    <cellStyle name="Total 4 3 2 4 3" xfId="12193"/>
    <cellStyle name="Total 5 2 2 4 3" xfId="12194"/>
    <cellStyle name="Total 12 2 4 3" xfId="12195"/>
    <cellStyle name="Total 2 9 2 4 3" xfId="12196"/>
    <cellStyle name="Total 3 4 2 4 3" xfId="12197"/>
    <cellStyle name="Total 4 4 2 4 3" xfId="12198"/>
    <cellStyle name="Total 5 3 2 4 3" xfId="12199"/>
    <cellStyle name="Input 5 3 2 2 4" xfId="12200"/>
    <cellStyle name="styleColumnTitles 2 2 2 4" xfId="12201"/>
    <cellStyle name="Note 3 2 2 2 2 4" xfId="12202"/>
    <cellStyle name="Input 2 4 2 2 4" xfId="12203"/>
    <cellStyle name="Input 2 7 5 4" xfId="12204"/>
    <cellStyle name="Note 2 2 2 3 3 4" xfId="12205"/>
    <cellStyle name="Note 5 2 3 2 7" xfId="12206"/>
    <cellStyle name="Input 18 2 4 3" xfId="12207"/>
    <cellStyle name="Note 5 4 3 5" xfId="12208"/>
    <cellStyle name="Note 2 2 6 3 5" xfId="12209"/>
    <cellStyle name="Calculation 12 2 4 3" xfId="12210"/>
    <cellStyle name="Input 19 2 4 3" xfId="12211"/>
    <cellStyle name="Note 13 2 4 3" xfId="12212"/>
    <cellStyle name="Output 13 2 4 3" xfId="12213"/>
    <cellStyle name="Total 13 2 4 3" xfId="12214"/>
    <cellStyle name="Note 5 2 5 4" xfId="12215"/>
    <cellStyle name="Input 2 2 4 2 8" xfId="12216"/>
    <cellStyle name="Calculation 2 8 2 4 3" xfId="12217"/>
    <cellStyle name="Calculation 3 4 2 4 3" xfId="12218"/>
    <cellStyle name="Calculation 4 4 2 4 3" xfId="12219"/>
    <cellStyle name="Calculation 5 3 2 4 3" xfId="12220"/>
    <cellStyle name="Input 2 8 2 4 3" xfId="12221"/>
    <cellStyle name="Input 3 4 2 4 3" xfId="12222"/>
    <cellStyle name="Input 4 4 2 4 3" xfId="12223"/>
    <cellStyle name="Input 5 4 2 4 3" xfId="12224"/>
    <cellStyle name="Calculation 2 3 2 8" xfId="12225"/>
    <cellStyle name="Note 2 8 2 4 3" xfId="12226"/>
    <cellStyle name="Note 2 2 5 2 4 3" xfId="12227"/>
    <cellStyle name="Note 3 6 2 4 3" xfId="12228"/>
    <cellStyle name="Note 3 2 6 2 4 3" xfId="12229"/>
    <cellStyle name="Note 4 5 2 4 3" xfId="12230"/>
    <cellStyle name="Note 4 2 4 2 4 3" xfId="12231"/>
    <cellStyle name="Note 5 4 2 4 3" xfId="12232"/>
    <cellStyle name="Note 5 2 3 2 4 3" xfId="12233"/>
    <cellStyle name="Note 6 4 2 4 3" xfId="12234"/>
    <cellStyle name="Note 6 2 3 2 4 3" xfId="12235"/>
    <cellStyle name="Note 7 4 2 4 3" xfId="12236"/>
    <cellStyle name="Note 7 2 3 2 4 3" xfId="12237"/>
    <cellStyle name="Note 8 3 2 4 3" xfId="12238"/>
    <cellStyle name="Output 2 9 2 4 3" xfId="12239"/>
    <cellStyle name="Output 3 5 2 4 3" xfId="12240"/>
    <cellStyle name="Output 4 5 2 4 3" xfId="12241"/>
    <cellStyle name="Output 5 4 2 4 3" xfId="12242"/>
    <cellStyle name="Note 3 2 5 2 7" xfId="12243"/>
    <cellStyle name="Total 2 10 2 4 3" xfId="12244"/>
    <cellStyle name="Total 3 5 2 4 3" xfId="12245"/>
    <cellStyle name="Total 4 5 2 4 3" xfId="12246"/>
    <cellStyle name="Total 5 4 2 4 3" xfId="12247"/>
    <cellStyle name="Input 20 2 4 3" xfId="12248"/>
    <cellStyle name="Output 3 3 8" xfId="12249"/>
    <cellStyle name="Output 3 3 3 5" xfId="12250"/>
    <cellStyle name="Input 2 2 2 2 3 4" xfId="12251"/>
    <cellStyle name="Input 21 2 4 3" xfId="12252"/>
    <cellStyle name="Output 9 3 4" xfId="12253"/>
    <cellStyle name="Output 2 6 4 5" xfId="12254"/>
    <cellStyle name="Output 10 2 2 4" xfId="12255"/>
    <cellStyle name="Calculation 5 4 2 4" xfId="12256"/>
    <cellStyle name="Input 6 4 2 4" xfId="12257"/>
    <cellStyle name="Note 2 3 3 2 4" xfId="12258"/>
    <cellStyle name="Note 2 8 4 4" xfId="12259"/>
    <cellStyle name="Calculation 10 4 4" xfId="12260"/>
    <cellStyle name="Output 3 3 2 7" xfId="12261"/>
    <cellStyle name="Calculation 2 6 2 7" xfId="12262"/>
    <cellStyle name="Style 24 2 8" xfId="12263"/>
    <cellStyle name="Calculation 2 13 2" xfId="12264"/>
    <cellStyle name="Calculation 2 2 9 2" xfId="12265"/>
    <cellStyle name="Calculation 2 2 2 6 2" xfId="12266"/>
    <cellStyle name="Calculation 2 2 3 6 2" xfId="12267"/>
    <cellStyle name="Calculation 2 2 4 6 2" xfId="12268"/>
    <cellStyle name="Calculation 2 3 6 2" xfId="12269"/>
    <cellStyle name="Calculation 2 4 6 2" xfId="12270"/>
    <cellStyle name="Calculation 3 9 2" xfId="12271"/>
    <cellStyle name="Input 2 13 2" xfId="12272"/>
    <cellStyle name="Input 2 2 9 2" xfId="12273"/>
    <cellStyle name="Input 2 2 2 6 2" xfId="12274"/>
    <cellStyle name="Input 2 2 3 6 2" xfId="12275"/>
    <cellStyle name="Input 2 2 4 6 2" xfId="12276"/>
    <cellStyle name="Input 2 3 6 2" xfId="12277"/>
    <cellStyle name="Input 2 4 6 2" xfId="12278"/>
    <cellStyle name="Input 3 8 2" xfId="12279"/>
    <cellStyle name="Input 4 8 2" xfId="12280"/>
    <cellStyle name="Input 5 9 2" xfId="12281"/>
    <cellStyle name="Input 6 7 2" xfId="12282"/>
    <cellStyle name="Input 7 6 2" xfId="12283"/>
    <cellStyle name="Input 8 6 2" xfId="12284"/>
    <cellStyle name="Calculation 10 3 5" xfId="12285"/>
    <cellStyle name="Calculation 2 2 2 2 2 5" xfId="12286"/>
    <cellStyle name="Note 2 12 2" xfId="12287"/>
    <cellStyle name="Note 2 2 9 2" xfId="12288"/>
    <cellStyle name="Note 2 3 7 2" xfId="12289"/>
    <cellStyle name="Note 2 4 7 2" xfId="12290"/>
    <cellStyle name="Note 3 10 2" xfId="12291"/>
    <cellStyle name="Note 3 2 11 2" xfId="12292"/>
    <cellStyle name="Note 3 2 2 6 2" xfId="12293"/>
    <cellStyle name="Note 4 9 2" xfId="12294"/>
    <cellStyle name="Output 2 13 2" xfId="12295"/>
    <cellStyle name="Output 2 2 8 2" xfId="12296"/>
    <cellStyle name="Output 2 2 2 5 2" xfId="12297"/>
    <cellStyle name="Output 2 2 3 5 2" xfId="12298"/>
    <cellStyle name="Output 2 2 4 5 2" xfId="12299"/>
    <cellStyle name="Output 2 3 5 2" xfId="12300"/>
    <cellStyle name="Output 2 4 5 2" xfId="12301"/>
    <cellStyle name="Output 3 9 2" xfId="12302"/>
    <cellStyle name="StmtTtl2 5 2" xfId="12303"/>
    <cellStyle name="Total 2 14 2" xfId="12304"/>
    <cellStyle name="Total 2 2 8 2" xfId="12305"/>
    <cellStyle name="Total 2 2 2 5 2" xfId="12306"/>
    <cellStyle name="Total 2 2 3 5 2" xfId="12307"/>
    <cellStyle name="Total 2 2 4 5 2" xfId="12308"/>
    <cellStyle name="Total 2 3 5 2" xfId="12309"/>
    <cellStyle name="Total 2 4 5 2" xfId="12310"/>
    <cellStyle name="Total 2 5 5 2" xfId="12311"/>
    <cellStyle name="Total 3 9 2" xfId="12312"/>
    <cellStyle name="Calculation 2 6 5 4" xfId="12313"/>
    <cellStyle name="Calculation 2 5 5 2" xfId="12314"/>
    <cellStyle name="Note 6 2 3 9" xfId="12315"/>
    <cellStyle name="Input 2 5 5 2" xfId="12316"/>
    <cellStyle name="Input [yellow] 2 2 2" xfId="12317"/>
    <cellStyle name="Note 2 2 2 5 2" xfId="12318"/>
    <cellStyle name="Note 2 3 2 5 2" xfId="12319"/>
    <cellStyle name="Note 2 4 2 5 2" xfId="12320"/>
    <cellStyle name="Note 2 5 5 2" xfId="12321"/>
    <cellStyle name="Note 3 3 5 2" xfId="12322"/>
    <cellStyle name="Note 4 2 7 2" xfId="12323"/>
    <cellStyle name="Output 2 5 5 2" xfId="12324"/>
    <cellStyle name="Total 2 6 5 2" xfId="12325"/>
    <cellStyle name="Total 2 2 3 4 6" xfId="12326"/>
    <cellStyle name="Total 2 13 5" xfId="12327"/>
    <cellStyle name="Calculation 8 2 2 4" xfId="12328"/>
    <cellStyle name="styleSeriesAttributes 3 4" xfId="12329"/>
    <cellStyle name="Total 2 4 2 2 4" xfId="12330"/>
    <cellStyle name="Calculation 2 2 5 2 4" xfId="12331"/>
    <cellStyle name="Output 4 4 4 4" xfId="12332"/>
    <cellStyle name="Output 5 7 4" xfId="12333"/>
    <cellStyle name="Calculation 2 8 2 7" xfId="12334"/>
    <cellStyle name="Note 4 2 3 2 7" xfId="12335"/>
    <cellStyle name="Output 3 2 2 7" xfId="12336"/>
    <cellStyle name="styleColumnTitles 2 2 7" xfId="12337"/>
    <cellStyle name="Note 2 10 7" xfId="12338"/>
    <cellStyle name="Calculation 7 7 2" xfId="12339"/>
    <cellStyle name="Calculation 2 6 7 2" xfId="12340"/>
    <cellStyle name="Calculation 3 2 7 2" xfId="12341"/>
    <cellStyle name="Calculation 4 2 7 2" xfId="12342"/>
    <cellStyle name="Calculation 5 8 2" xfId="12343"/>
    <cellStyle name="Output 9 6 2" xfId="12344"/>
    <cellStyle name="Input 10 7 2" xfId="12345"/>
    <cellStyle name="Input 2 6 7 2" xfId="12346"/>
    <cellStyle name="Input 3 2 7 2" xfId="12347"/>
    <cellStyle name="Input 4 2 7 2" xfId="12348"/>
    <cellStyle name="Input 5 2 7 2" xfId="12349"/>
    <cellStyle name="Total 4 4 3 5" xfId="12350"/>
    <cellStyle name="Style 22 2 2 2 5" xfId="12351"/>
    <cellStyle name="Note 11 6 2" xfId="12352"/>
    <cellStyle name="Note 2 6 6 2" xfId="12353"/>
    <cellStyle name="Note 2 2 3 6 2" xfId="12354"/>
    <cellStyle name="Note 3 4 6 2" xfId="12355"/>
    <cellStyle name="Note 3 2 4 6 2" xfId="12356"/>
    <cellStyle name="Note 4 3 6 2" xfId="12357"/>
    <cellStyle name="Note 4 2 2 6 2" xfId="12358"/>
    <cellStyle name="Note 5 9 2" xfId="12359"/>
    <cellStyle name="Note 5 2 8 2" xfId="12360"/>
    <cellStyle name="Note 6 9 2" xfId="12361"/>
    <cellStyle name="Note 6 2 8 2" xfId="12362"/>
    <cellStyle name="Note 7 9 2" xfId="12363"/>
    <cellStyle name="Note 7 2 8 2" xfId="12364"/>
    <cellStyle name="Note 8 8 2" xfId="12365"/>
    <cellStyle name="Note 9 7 2" xfId="12366"/>
    <cellStyle name="Output 7 6 2" xfId="12367"/>
    <cellStyle name="Output 2 6 6 2" xfId="12368"/>
    <cellStyle name="Output 3 2 6 2" xfId="12369"/>
    <cellStyle name="Output 4 2 6 2" xfId="12370"/>
    <cellStyle name="Output 5 9 2" xfId="12371"/>
    <cellStyle name="Total 7 6 2" xfId="12372"/>
    <cellStyle name="Total 2 7 6 2" xfId="12373"/>
    <cellStyle name="Total 3 2 6 2" xfId="12374"/>
    <cellStyle name="Total 4 2 6 2" xfId="12375"/>
    <cellStyle name="Total 5 9 2" xfId="12376"/>
    <cellStyle name="Calculation 8 7 2" xfId="12377"/>
    <cellStyle name="Input 12 7 2" xfId="12378"/>
    <cellStyle name="Input 11 7 2" xfId="12379"/>
    <cellStyle name="Calculation 9 7 2" xfId="12380"/>
    <cellStyle name="Output 8 6 2" xfId="12381"/>
    <cellStyle name="Total 8 6 2" xfId="12382"/>
    <cellStyle name="Total 9 6 2" xfId="12383"/>
    <cellStyle name="Input 2 7 2 2 4" xfId="12384"/>
    <cellStyle name="styleSeriesData 2 2 2 4" xfId="12385"/>
    <cellStyle name="Total 2 5 3 2 4" xfId="12386"/>
    <cellStyle name="Input 4 5 2 4" xfId="12387"/>
    <cellStyle name="Input 19 4 4" xfId="12388"/>
    <cellStyle name="Output 13 5 4" xfId="12389"/>
    <cellStyle name="Note 7 4 2 7" xfId="12390"/>
    <cellStyle name="Total 2 8 2 7" xfId="12391"/>
    <cellStyle name="Total 2 9 2 2 5" xfId="12392"/>
    <cellStyle name="Note 2 2 3 2 2 5" xfId="12393"/>
    <cellStyle name="Output 5 2 6 2" xfId="12394"/>
    <cellStyle name="Output 4 3 6 2" xfId="12395"/>
    <cellStyle name="Output 3 3 6 2" xfId="12396"/>
    <cellStyle name="Output 2 7 6 2" xfId="12397"/>
    <cellStyle name="Output 11 6 2" xfId="12398"/>
    <cellStyle name="Input 5 3 7 2" xfId="12399"/>
    <cellStyle name="Input 4 3 7 2" xfId="12400"/>
    <cellStyle name="Input 3 3 7 2" xfId="12401"/>
    <cellStyle name="Input 2 7 7 2" xfId="12402"/>
    <cellStyle name="Calculation 10 7 2" xfId="12403"/>
    <cellStyle name="Input 14 7 2" xfId="12404"/>
    <cellStyle name="Input 16 7 2" xfId="12405"/>
    <cellStyle name="Input 17 7 2" xfId="12406"/>
    <cellStyle name="Input 15 7 2" xfId="12407"/>
    <cellStyle name="Input 13 7 2" xfId="12408"/>
    <cellStyle name="Calculation 5 2 7 2" xfId="12409"/>
    <cellStyle name="Calculation 4 3 7 2" xfId="12410"/>
    <cellStyle name="Calculation 3 3 7 2" xfId="12411"/>
    <cellStyle name="Calculation 2 7 7 2" xfId="12412"/>
    <cellStyle name="Calculation 11 7 2" xfId="12413"/>
    <cellStyle name="Note 3 6 3 5" xfId="12414"/>
    <cellStyle name="Calculation 3 4 2 2 5" xfId="12415"/>
    <cellStyle name="Output 10 6 2" xfId="12416"/>
    <cellStyle name="Note 12 6 2" xfId="12417"/>
    <cellStyle name="Note 2 7 6 2" xfId="12418"/>
    <cellStyle name="Note 2 2 4 6 2" xfId="12419"/>
    <cellStyle name="Note 3 5 6 2" xfId="12420"/>
    <cellStyle name="Note 3 2 5 6 2" xfId="12421"/>
    <cellStyle name="Note 4 4 6 2" xfId="12422"/>
    <cellStyle name="Note 4 2 3 6 2" xfId="12423"/>
    <cellStyle name="Note 5 3 6 2" xfId="12424"/>
    <cellStyle name="Note 5 2 2 6 2" xfId="12425"/>
    <cellStyle name="Note 6 3 6 2" xfId="12426"/>
    <cellStyle name="Note 6 2 2 6 2" xfId="12427"/>
    <cellStyle name="Note 7 3 6 2" xfId="12428"/>
    <cellStyle name="Note 7 2 2 6 2" xfId="12429"/>
    <cellStyle name="Note 8 2 6 2" xfId="12430"/>
    <cellStyle name="Note 9 2 6 2" xfId="12431"/>
    <cellStyle name="Output 12 6 2" xfId="12432"/>
    <cellStyle name="Output 2 8 6 2" xfId="12433"/>
    <cellStyle name="Output 3 4 6 2" xfId="12434"/>
    <cellStyle name="Output 4 4 6 2" xfId="12435"/>
    <cellStyle name="Output 5 3 6 2" xfId="12436"/>
    <cellStyle name="Total 10 6 2" xfId="12437"/>
    <cellStyle name="Total 11 6 2" xfId="12438"/>
    <cellStyle name="Total 2 8 6 2" xfId="12439"/>
    <cellStyle name="Total 3 3 6 2" xfId="12440"/>
    <cellStyle name="Total 4 3 6 2" xfId="12441"/>
    <cellStyle name="Total 5 2 6 2" xfId="12442"/>
    <cellStyle name="Total 12 6 2" xfId="12443"/>
    <cellStyle name="Total 2 9 6 2" xfId="12444"/>
    <cellStyle name="Total 3 4 6 2" xfId="12445"/>
    <cellStyle name="Total 4 4 6 2" xfId="12446"/>
    <cellStyle name="Total 5 3 6 2" xfId="12447"/>
    <cellStyle name="Note 13 5 4" xfId="12448"/>
    <cellStyle name="styleSeriesDataNA 2 3 4" xfId="12449"/>
    <cellStyle name="Output 2 2 3 3 2 4" xfId="12450"/>
    <cellStyle name="Input 2 5 3 2 4" xfId="12451"/>
    <cellStyle name="Total 2 9 4 4" xfId="12452"/>
    <cellStyle name="Input 11 4 4" xfId="12453"/>
    <cellStyle name="Note 2 8 2 7" xfId="12454"/>
    <cellStyle name="Output 12 2 7" xfId="12455"/>
    <cellStyle name="Calculation 8 2 7" xfId="12456"/>
    <cellStyle name="Output 2 2 3 3 7" xfId="12457"/>
    <cellStyle name="Input 18 7 2" xfId="12458"/>
    <cellStyle name="Calculation 2 2 4 3 3 5" xfId="12459"/>
    <cellStyle name="Calculation 12 7 2" xfId="12460"/>
    <cellStyle name="Input 19 7 2" xfId="12461"/>
    <cellStyle name="Note 13 7 2" xfId="12462"/>
    <cellStyle name="Output 13 7 2" xfId="12463"/>
    <cellStyle name="Total 13 7 2" xfId="12464"/>
    <cellStyle name="Note 2 6 3 4" xfId="12465"/>
    <cellStyle name="Style 26 2 2 8" xfId="12466"/>
    <cellStyle name="Calculation 2 8 7 2" xfId="12467"/>
    <cellStyle name="Calculation 3 4 7 2" xfId="12468"/>
    <cellStyle name="Calculation 4 4 7 2" xfId="12469"/>
    <cellStyle name="Calculation 5 3 7 2" xfId="12470"/>
    <cellStyle name="Input 2 8 7 2" xfId="12471"/>
    <cellStyle name="Input 3 4 7 2" xfId="12472"/>
    <cellStyle name="Input 4 4 7 2" xfId="12473"/>
    <cellStyle name="Input 5 4 7 2" xfId="12474"/>
    <cellStyle name="Input 6 3 8" xfId="12475"/>
    <cellStyle name="Note 2 8 7 2" xfId="12476"/>
    <cellStyle name="Note 2 2 5 7 2" xfId="12477"/>
    <cellStyle name="Note 3 6 7 2" xfId="12478"/>
    <cellStyle name="Note 3 2 6 7 2" xfId="12479"/>
    <cellStyle name="Note 4 5 7 2" xfId="12480"/>
    <cellStyle name="Note 4 2 4 7 2" xfId="12481"/>
    <cellStyle name="Note 5 4 7 2" xfId="12482"/>
    <cellStyle name="Note 5 2 3 7 2" xfId="12483"/>
    <cellStyle name="Note 6 4 7 2" xfId="12484"/>
    <cellStyle name="Note 6 2 3 7 2" xfId="12485"/>
    <cellStyle name="Note 7 4 7 2" xfId="12486"/>
    <cellStyle name="Note 7 2 3 7 2" xfId="12487"/>
    <cellStyle name="Note 8 3 7 2" xfId="12488"/>
    <cellStyle name="Output 2 9 7 2" xfId="12489"/>
    <cellStyle name="Output 3 5 7 2" xfId="12490"/>
    <cellStyle name="Output 4 5 7 2" xfId="12491"/>
    <cellStyle name="Output 5 4 7 2" xfId="12492"/>
    <cellStyle name="Total 2 10 7 2" xfId="12493"/>
    <cellStyle name="Total 3 5 7 2" xfId="12494"/>
    <cellStyle name="Total 4 5 7 2" xfId="12495"/>
    <cellStyle name="Total 5 4 7 2" xfId="12496"/>
    <cellStyle name="Input 20 7 2" xfId="12497"/>
    <cellStyle name="Input 2 6 3 4" xfId="12498"/>
    <cellStyle name="Total 2 9 2 8" xfId="12499"/>
    <cellStyle name="Output 2 2 2 2 8" xfId="12500"/>
    <cellStyle name="Note 6 2 3 3 5" xfId="12501"/>
    <cellStyle name="Note 3 6 5 4" xfId="12502"/>
    <cellStyle name="Input 21 7 2" xfId="12503"/>
    <cellStyle name="Total 3 7 8" xfId="12504"/>
    <cellStyle name="Calculation 7 2 2 5" xfId="12505"/>
    <cellStyle name="Note 4 4 2 8" xfId="12506"/>
    <cellStyle name="Note 6 7 2 2" xfId="12507"/>
    <cellStyle name="Note 5 7 2 2" xfId="12508"/>
    <cellStyle name="Note 4 3 4 2 2" xfId="12509"/>
    <cellStyle name="Note 3 4 4 2 2" xfId="12510"/>
    <cellStyle name="Note 2 6 4 2 2" xfId="12511"/>
    <cellStyle name="Input 5 2 4 2 2" xfId="12512"/>
    <cellStyle name="Input 4 2 4 2 2" xfId="12513"/>
    <cellStyle name="Input 3 2 4 2 2" xfId="12514"/>
    <cellStyle name="Note 2 2 4 2 2 4" xfId="12515"/>
    <cellStyle name="Input 2 6 2 2 4" xfId="12516"/>
    <cellStyle name="Input 2 2 3 3 2 4" xfId="12517"/>
    <cellStyle name="Note 3 2 7 2 4" xfId="12518"/>
    <cellStyle name="Note 3 2 6 4 4" xfId="12519"/>
    <cellStyle name="Calculation 5 6 2 2" xfId="12520"/>
    <cellStyle name="Calculation 4 2 4 2 2" xfId="12521"/>
    <cellStyle name="Calculation 3 2 4 2 2" xfId="12522"/>
    <cellStyle name="Calculation 2 6 4 2 2" xfId="12523"/>
    <cellStyle name="Calculation 7 4 2 2" xfId="12524"/>
    <cellStyle name="Input 17 4 4" xfId="12525"/>
    <cellStyle name="Calculation 3 2 5 2 2" xfId="12526"/>
    <cellStyle name="Calculation 4 2 5 2 2" xfId="12527"/>
    <cellStyle name="Input 20 2 7" xfId="12528"/>
    <cellStyle name="Input 10 5 2 2" xfId="12529"/>
    <cellStyle name="Style 22 3 5" xfId="12530"/>
    <cellStyle name="Style 25 2 2 8" xfId="12531"/>
    <cellStyle name="Calculation 8 5 2 2" xfId="12532"/>
    <cellStyle name="Calculation 5 4 7" xfId="12533"/>
    <cellStyle name="Input 16 5 2 2" xfId="12534"/>
    <cellStyle name="Style 26 8" xfId="12535"/>
    <cellStyle name="Total 13 5 2 2" xfId="12536"/>
    <cellStyle name="Calculation 3 4 5 2 2" xfId="12537"/>
    <cellStyle name="Note 4 2 6 3 5" xfId="12538"/>
    <cellStyle name="Calculation 2 9 3 2 2" xfId="12539"/>
    <cellStyle name="Calculation 2 2 5 3 2 2" xfId="12540"/>
    <cellStyle name="Calculation 2 2 3 2 3 2 2" xfId="12541"/>
    <cellStyle name="Calculation 2 3 2 3 2 2" xfId="12542"/>
    <cellStyle name="Total 2 4 3 3 2 2" xfId="12543"/>
    <cellStyle name="Calculation 2 11 3 2" xfId="12544"/>
    <cellStyle name="Calculation 2 2 7 3 2" xfId="12545"/>
    <cellStyle name="Calculation 2 2 2 4 3 2" xfId="12546"/>
    <cellStyle name="Calculation 2 2 3 4 3 2" xfId="12547"/>
    <cellStyle name="Calculation 2 2 4 4 3 2" xfId="12548"/>
    <cellStyle name="Calculation 2 3 4 3 2" xfId="12549"/>
    <cellStyle name="Calculation 2 4 4 3 2" xfId="12550"/>
    <cellStyle name="Calculation 3 7 3 2" xfId="12551"/>
    <cellStyle name="Header2 3 3 2" xfId="12552"/>
    <cellStyle name="Input 2 11 3 2" xfId="12553"/>
    <cellStyle name="Input 2 2 7 3 2" xfId="12554"/>
    <cellStyle name="Input 2 2 2 4 3 2" xfId="12555"/>
    <cellStyle name="Input 2 2 3 4 3 2" xfId="12556"/>
    <cellStyle name="Input 2 2 4 4 3 2" xfId="12557"/>
    <cellStyle name="Input 2 3 4 3 2" xfId="12558"/>
    <cellStyle name="Input 2 4 4 3 2" xfId="12559"/>
    <cellStyle name="Input 5 7 3 2" xfId="12560"/>
    <cellStyle name="Input 6 5 3 2" xfId="12561"/>
    <cellStyle name="Input 7 4 3 2" xfId="12562"/>
    <cellStyle name="Input 8 4 3 2" xfId="12563"/>
    <cellStyle name="Input 17 3 5" xfId="12564"/>
    <cellStyle name="Total 4 4 4 5" xfId="12565"/>
    <cellStyle name="Calculation 5 2 5 2 2" xfId="12566"/>
    <cellStyle name="Input 18 5 2 2" xfId="12567"/>
    <cellStyle name="Calculation 3 5 3 2 2" xfId="12568"/>
    <cellStyle name="Input 7 2 3 2 2" xfId="12569"/>
    <cellStyle name="Note 2 3 5 3 2" xfId="12570"/>
    <cellStyle name="Note 2 4 5 3 2" xfId="12571"/>
    <cellStyle name="Note 3 2 9 3 2" xfId="12572"/>
    <cellStyle name="Note 3 2 2 4 3 2" xfId="12573"/>
    <cellStyle name="Output 2 12 3 2" xfId="12574"/>
    <cellStyle name="Output 2 2 7 3 2" xfId="12575"/>
    <cellStyle name="Output 2 2 2 4 3 2" xfId="12576"/>
    <cellStyle name="Output 2 2 3 4 3 2" xfId="12577"/>
    <cellStyle name="Output 2 2 4 4 3 2" xfId="12578"/>
    <cellStyle name="Output 2 3 4 3 2" xfId="12579"/>
    <cellStyle name="Output 2 4 4 3 2" xfId="12580"/>
    <cellStyle name="Output 3 8 3 2" xfId="12581"/>
    <cellStyle name="Header2 4 3 2" xfId="12582"/>
    <cellStyle name="Calculation 7 5 2 2" xfId="12583"/>
    <cellStyle name="Input 2 6 5 2 2" xfId="12584"/>
    <cellStyle name="Input 11 5 2 2" xfId="12585"/>
    <cellStyle name="Input 17 5 2 2" xfId="12586"/>
    <cellStyle name="Calculation 11 5 2 2" xfId="12587"/>
    <cellStyle name="Input 5 4 5 2 2" xfId="12588"/>
    <cellStyle name="Note 2 8 5 2 2" xfId="12589"/>
    <cellStyle name="Note 3 6 5 2 2" xfId="12590"/>
    <cellStyle name="StmtTtl2 4 3 2" xfId="12591"/>
    <cellStyle name="Input 21 5 2 2" xfId="12592"/>
    <cellStyle name="Calculation 2 2 4 2 3 2 2" xfId="12593"/>
    <cellStyle name="Calculation 2 4 2 3 2 2" xfId="12594"/>
    <cellStyle name="Header2 2 3 2 2" xfId="12595"/>
    <cellStyle name="Input 2 5 3 3 2 2" xfId="12596"/>
    <cellStyle name="Input 2 2 2 2 3 2 2" xfId="12597"/>
    <cellStyle name="Input 2 2 3 2 3 2 2" xfId="12598"/>
    <cellStyle name="Input 2 3 2 3 2 2" xfId="12599"/>
    <cellStyle name="Input 2 4 2 3 2 2" xfId="12600"/>
    <cellStyle name="Input 2 5 2 3 2 2" xfId="12601"/>
    <cellStyle name="Input 3 5 3 2 2" xfId="12602"/>
    <cellStyle name="Total 2 13 3 2" xfId="12603"/>
    <cellStyle name="Total 2 2 7 3 2" xfId="12604"/>
    <cellStyle name="Total 2 2 2 4 3 2" xfId="12605"/>
    <cellStyle name="Total 2 2 3 4 3 2" xfId="12606"/>
    <cellStyle name="Total 2 2 4 4 3 2" xfId="12607"/>
    <cellStyle name="Total 2 3 4 3 2" xfId="12608"/>
    <cellStyle name="Total 2 4 4 3 2" xfId="12609"/>
    <cellStyle name="Total 2 5 4 3 2" xfId="12610"/>
    <cellStyle name="Total 3 8 3 2" xfId="12611"/>
    <cellStyle name="Input 4 5 3 2 2" xfId="12612"/>
    <cellStyle name="Input 8 2 3 2 2" xfId="12613"/>
    <cellStyle name="Total 2 2 4 3 3 2 2" xfId="12614"/>
    <cellStyle name="Total 2 2 3 3 3 2 2" xfId="12615"/>
    <cellStyle name="Calculation 9 5 4" xfId="12616"/>
    <cellStyle name="Note 3 2 4 4 2 2" xfId="12617"/>
    <cellStyle name="Note 11 4 2 2" xfId="12618"/>
    <cellStyle name="Input 2 6 4 2 2" xfId="12619"/>
    <cellStyle name="Input 3 2 5 2 2" xfId="12620"/>
    <cellStyle name="Note 4 2 6 3 2 2" xfId="12621"/>
    <cellStyle name="Calculation 2 5 4 2 2" xfId="12622"/>
    <cellStyle name="Note 8 3 9" xfId="12623"/>
    <cellStyle name="Note 7 2 4 2 5" xfId="12624"/>
    <cellStyle name="Input 2 5 4 2 2" xfId="12625"/>
    <cellStyle name="Total 3 5 5 2 2" xfId="12626"/>
    <cellStyle name="Input 2 2 5 3 2 2" xfId="12627"/>
    <cellStyle name="Input 5 5 3 2 2" xfId="12628"/>
    <cellStyle name="Total 2 12 3 2 2" xfId="12629"/>
    <cellStyle name="Note 2 2 2 4 2 2" xfId="12630"/>
    <cellStyle name="Note 2 3 2 4 2 2" xfId="12631"/>
    <cellStyle name="Note 2 4 2 4 2 2" xfId="12632"/>
    <cellStyle name="Note 2 5 4 2 2" xfId="12633"/>
    <cellStyle name="Note 3 3 4 2 2" xfId="12634"/>
    <cellStyle name="Output 2 5 4 2 2" xfId="12635"/>
    <cellStyle name="Calculation 2 6 5 2 2" xfId="12636"/>
    <cellStyle name="Input 4 2 5 2 2" xfId="12637"/>
    <cellStyle name="Input 5 2 5 2 2" xfId="12638"/>
    <cellStyle name="Calculation 9 5 2 2" xfId="12639"/>
    <cellStyle name="Note 2 2 5 5 2 2" xfId="12640"/>
    <cellStyle name="Input 20 5 2 2" xfId="12641"/>
    <cellStyle name="Input 2 2 4 2 3 2 2" xfId="12642"/>
    <cellStyle name="Total 2 6 4 2 2" xfId="12643"/>
    <cellStyle name="Total 2 13 6" xfId="12644"/>
    <cellStyle name="Total 2 2 3 4 5" xfId="12645"/>
    <cellStyle name="Note 5 2 6 2 2" xfId="12646"/>
    <cellStyle name="Note 4 2 2 4 2 2" xfId="12647"/>
    <cellStyle name="Note 2 2 3 4 2 2" xfId="12648"/>
    <cellStyle name="Calculation 9 2 2 4" xfId="12649"/>
    <cellStyle name="styleSeriesData 2 3 4" xfId="12650"/>
    <cellStyle name="Total 3 6 2 4" xfId="12651"/>
    <cellStyle name="Calculation 2 2 4 2 2 4" xfId="12652"/>
    <cellStyle name="Output 9 4 2 2" xfId="12653"/>
    <cellStyle name="Total 11 4 4" xfId="12654"/>
    <cellStyle name="Total 2 7 4 4" xfId="12655"/>
    <cellStyle name="Calculation 5 3 2 7" xfId="12656"/>
    <cellStyle name="Note 6 3 2 7" xfId="12657"/>
    <cellStyle name="Note 8 3 5 2 2" xfId="12658"/>
    <cellStyle name="Output 2 9 5 2 2" xfId="12659"/>
    <cellStyle name="Output 4 5 5 2 2" xfId="12660"/>
    <cellStyle name="Calculation 2 5 3 3 2 2" xfId="12661"/>
    <cellStyle name="Calculation 7 3 2 2" xfId="12662"/>
    <cellStyle name="Calculation 2 6 3 2 2" xfId="12663"/>
    <cellStyle name="Calculation 3 2 3 2 2" xfId="12664"/>
    <cellStyle name="Calculation 4 2 3 2 2" xfId="12665"/>
    <cellStyle name="Calculation 5 5 2 2" xfId="12666"/>
    <cellStyle name="Output 9 3 2 2" xfId="12667"/>
    <cellStyle name="Note 5 4 5 2 2" xfId="12668"/>
    <cellStyle name="Input 10 3 3 2" xfId="12669"/>
    <cellStyle name="Input 2 6 3 2 2" xfId="12670"/>
    <cellStyle name="Input 3 2 3 2 2" xfId="12671"/>
    <cellStyle name="Input 4 2 3 2 2" xfId="12672"/>
    <cellStyle name="Input 5 2 3 2 2" xfId="12673"/>
    <cellStyle name="Total 10 3 5" xfId="12674"/>
    <cellStyle name="styleDateRange 3 5" xfId="12675"/>
    <cellStyle name="Note 11 3 2 2" xfId="12676"/>
    <cellStyle name="Note 2 6 3 2 2" xfId="12677"/>
    <cellStyle name="Note 2 2 3 3 2 2" xfId="12678"/>
    <cellStyle name="Note 3 4 3 2 2" xfId="12679"/>
    <cellStyle name="Note 3 2 4 3 2 2" xfId="12680"/>
    <cellStyle name="Note 4 3 3 2 2" xfId="12681"/>
    <cellStyle name="Note 4 2 2 3 2 2" xfId="12682"/>
    <cellStyle name="Note 5 6 2 2" xfId="12683"/>
    <cellStyle name="Note 5 2 5 2 2" xfId="12684"/>
    <cellStyle name="Note 6 6 2 2" xfId="12685"/>
    <cellStyle name="Note 6 2 5 2 2" xfId="12686"/>
    <cellStyle name="Note 7 6 2 2" xfId="12687"/>
    <cellStyle name="Note 7 2 5 2 2" xfId="12688"/>
    <cellStyle name="Note 8 5 2 2" xfId="12689"/>
    <cellStyle name="Note 9 4 2 2" xfId="12690"/>
    <cellStyle name="Output 7 3 2 2" xfId="12691"/>
    <cellStyle name="Output 2 6 3 2 2" xfId="12692"/>
    <cellStyle name="Output 3 2 3 2 2" xfId="12693"/>
    <cellStyle name="Output 4 2 3 2 2" xfId="12694"/>
    <cellStyle name="Output 5 6 2 2" xfId="12695"/>
    <cellStyle name="Input 15 5 2 2" xfId="12696"/>
    <cellStyle name="Input 13 5 2 2" xfId="12697"/>
    <cellStyle name="Calculation 4 3 5 2 2" xfId="12698"/>
    <cellStyle name="Calculation 3 3 5 2 2" xfId="12699"/>
    <cellStyle name="Calculation 2 7 5 2 2" xfId="12700"/>
    <cellStyle name="Calculation 2 8 5 2 2" xfId="12701"/>
    <cellStyle name="Input 2 8 5 2 2" xfId="12702"/>
    <cellStyle name="Output 5 4 5 2 2" xfId="12703"/>
    <cellStyle name="Total 2 10 5 2 2" xfId="12704"/>
    <cellStyle name="Total 4 5 5 2 2" xfId="12705"/>
    <cellStyle name="Total 5 4 5 2 2" xfId="12706"/>
    <cellStyle name="Calculation 2 5 2 3 2 2" xfId="12707"/>
    <cellStyle name="Total 7 3 2 2" xfId="12708"/>
    <cellStyle name="Total 2 7 3 2 2" xfId="12709"/>
    <cellStyle name="Total 3 2 3 2 2" xfId="12710"/>
    <cellStyle name="Total 4 2 3 2 2" xfId="12711"/>
    <cellStyle name="Total 5 6 2 2" xfId="12712"/>
    <cellStyle name="Input 6 3 3 2 2" xfId="12713"/>
    <cellStyle name="Calculation 8 3 2 2" xfId="12714"/>
    <cellStyle name="Input 12 3 2 2" xfId="12715"/>
    <cellStyle name="Input 11 3 2 2" xfId="12716"/>
    <cellStyle name="Calculation 9 3 2 2" xfId="12717"/>
    <cellStyle name="Output 8 3 2 2" xfId="12718"/>
    <cellStyle name="Total 8 3 2 2" xfId="12719"/>
    <cellStyle name="Total 9 3 2 2" xfId="12720"/>
    <cellStyle name="Input 10 4 2 2" xfId="12721"/>
    <cellStyle name="Input 16 2 2 4" xfId="12722"/>
    <cellStyle name="styleSeriesDataNA 2 2 2 4" xfId="12723"/>
    <cellStyle name="Total 2 2 2 3 2 4" xfId="12724"/>
    <cellStyle name="Input 7 2 2 4" xfId="12725"/>
    <cellStyle name="Total 13 4 4" xfId="12726"/>
    <cellStyle name="Output 5 2 4 4" xfId="12727"/>
    <cellStyle name="Output 2 9 2 7" xfId="12728"/>
    <cellStyle name="Total 5 2 2 7" xfId="12729"/>
    <cellStyle name="Total 2 2 2 2 2 5" xfId="12730"/>
    <cellStyle name="Note 6 2 3 4 5" xfId="12731"/>
    <cellStyle name="Output 5 2 3 2 2" xfId="12732"/>
    <cellStyle name="Output 4 3 3 2 2" xfId="12733"/>
    <cellStyle name="Output 3 3 3 2 2" xfId="12734"/>
    <cellStyle name="Output 2 7 3 2 2" xfId="12735"/>
    <cellStyle name="Output 11 3 2 2" xfId="12736"/>
    <cellStyle name="Input 5 3 3 2 2" xfId="12737"/>
    <cellStyle name="Input 4 3 3 2 2" xfId="12738"/>
    <cellStyle name="Input 3 3 3 2 2" xfId="12739"/>
    <cellStyle name="Input 2 7 3 2 2" xfId="12740"/>
    <cellStyle name="Calculation 10 3 2 2" xfId="12741"/>
    <cellStyle name="Input 14 3 2 2" xfId="12742"/>
    <cellStyle name="Input 16 3 2 2" xfId="12743"/>
    <cellStyle name="Input 17 3 2 2" xfId="12744"/>
    <cellStyle name="Input 15 3 2 2" xfId="12745"/>
    <cellStyle name="Input 13 3 2 2" xfId="12746"/>
    <cellStyle name="Calculation 5 2 3 2 2" xfId="12747"/>
    <cellStyle name="Calculation 4 3 3 2 2" xfId="12748"/>
    <cellStyle name="Calculation 3 3 3 2 2" xfId="12749"/>
    <cellStyle name="Calculation 2 7 3 2 2" xfId="12750"/>
    <cellStyle name="Calculation 11 3 2 2" xfId="12751"/>
    <cellStyle name="Input 19 3 5" xfId="12752"/>
    <cellStyle name="Total 4 4 2 2 5" xfId="12753"/>
    <cellStyle name="Output 10 3 2 2" xfId="12754"/>
    <cellStyle name="Note 12 3 2 2" xfId="12755"/>
    <cellStyle name="Note 2 7 3 2 2" xfId="12756"/>
    <cellStyle name="Note 2 2 4 3 2 2" xfId="12757"/>
    <cellStyle name="Note 3 5 3 2 2" xfId="12758"/>
    <cellStyle name="Note 3 2 5 3 2 2" xfId="12759"/>
    <cellStyle name="Note 4 4 3 2 2" xfId="12760"/>
    <cellStyle name="Note 4 2 3 3 2 2" xfId="12761"/>
    <cellStyle name="Note 5 3 3 2 2" xfId="12762"/>
    <cellStyle name="Note 5 2 2 3 2 2" xfId="12763"/>
    <cellStyle name="Note 6 3 3 2 2" xfId="12764"/>
    <cellStyle name="Note 6 2 2 3 2 2" xfId="12765"/>
    <cellStyle name="Note 7 3 3 2 2" xfId="12766"/>
    <cellStyle name="Note 7 2 2 3 2 2" xfId="12767"/>
    <cellStyle name="Note 8 2 3 2 2" xfId="12768"/>
    <cellStyle name="Note 9 2 3 2 2" xfId="12769"/>
    <cellStyle name="Output 12 3 2 2" xfId="12770"/>
    <cellStyle name="Output 2 8 3 2 2" xfId="12771"/>
    <cellStyle name="Output 3 4 3 2 2" xfId="12772"/>
    <cellStyle name="Output 4 4 3 2 2" xfId="12773"/>
    <cellStyle name="Output 5 3 3 2 2" xfId="12774"/>
    <cellStyle name="Total 10 3 2 2" xfId="12775"/>
    <cellStyle name="Total 11 3 2 2" xfId="12776"/>
    <cellStyle name="Total 2 8 3 2 2" xfId="12777"/>
    <cellStyle name="Total 3 3 3 2 2" xfId="12778"/>
    <cellStyle name="Total 4 3 3 2 2" xfId="12779"/>
    <cellStyle name="Total 5 2 3 2 2" xfId="12780"/>
    <cellStyle name="Total 12 3 2 2" xfId="12781"/>
    <cellStyle name="Total 2 9 3 2 2" xfId="12782"/>
    <cellStyle name="Total 3 4 3 2 2" xfId="12783"/>
    <cellStyle name="Total 4 4 3 2 2" xfId="12784"/>
    <cellStyle name="Total 5 3 3 2 2" xfId="12785"/>
    <cellStyle name="Output 4 3 2 2 4" xfId="12786"/>
    <cellStyle name="Style 23 2 2 2 4" xfId="12787"/>
    <cellStyle name="Note 3 2 2 3 2 4" xfId="12788"/>
    <cellStyle name="Input 2 2 2 2 2 4" xfId="12789"/>
    <cellStyle name="Total 5 3 4 4" xfId="12790"/>
    <cellStyle name="Note 4 5 5 4" xfId="12791"/>
    <cellStyle name="Note 3 2 6 2 7" xfId="12792"/>
    <cellStyle name="Output 4 4 2 7" xfId="12793"/>
    <cellStyle name="Calculation 9 2 7" xfId="12794"/>
    <cellStyle name="Input 5 2 10" xfId="12795"/>
    <cellStyle name="Note 3 2 2 3 7" xfId="12796"/>
    <cellStyle name="Input 18 3 2 2" xfId="12797"/>
    <cellStyle name="Input 20 3 5" xfId="12798"/>
    <cellStyle name="Output 2 4 2 3 5" xfId="12799"/>
    <cellStyle name="Calculation 12 3 2 2" xfId="12800"/>
    <cellStyle name="Input 19 3 2 2" xfId="12801"/>
    <cellStyle name="Note 13 3 2 2" xfId="12802"/>
    <cellStyle name="Output 13 3 2 2" xfId="12803"/>
    <cellStyle name="Total 13 3 2 2" xfId="12804"/>
    <cellStyle name="Note 3 2 4 3 4" xfId="12805"/>
    <cellStyle name="Calculation 2 8 3 2 2" xfId="12806"/>
    <cellStyle name="Calculation 3 4 3 2 2" xfId="12807"/>
    <cellStyle name="Calculation 4 4 3 2 2" xfId="12808"/>
    <cellStyle name="Calculation 5 3 3 2 2" xfId="12809"/>
    <cellStyle name="Input 2 8 3 2 2" xfId="12810"/>
    <cellStyle name="Input 3 4 3 2 2" xfId="12811"/>
    <cellStyle name="Input 4 4 3 2 2" xfId="12812"/>
    <cellStyle name="Input 5 4 3 2 2" xfId="12813"/>
    <cellStyle name="Calculation 2 2 4 2 8" xfId="12814"/>
    <cellStyle name="Note 2 8 3 2 2" xfId="12815"/>
    <cellStyle name="Note 2 2 5 3 2 2" xfId="12816"/>
    <cellStyle name="Note 3 6 3 2 2" xfId="12817"/>
    <cellStyle name="Note 3 2 6 3 2 2" xfId="12818"/>
    <cellStyle name="Note 4 5 3 2 2" xfId="12819"/>
    <cellStyle name="Note 4 2 4 3 2 2" xfId="12820"/>
    <cellStyle name="Note 5 4 3 2 2" xfId="12821"/>
    <cellStyle name="Note 5 2 3 3 2 2" xfId="12822"/>
    <cellStyle name="Note 6 4 3 2 2" xfId="12823"/>
    <cellStyle name="Note 6 2 3 3 2 2" xfId="12824"/>
    <cellStyle name="Note 7 4 3 2 2" xfId="12825"/>
    <cellStyle name="Note 7 2 3 3 2 2" xfId="12826"/>
    <cellStyle name="Note 8 3 3 2 2" xfId="12827"/>
    <cellStyle name="Output 2 9 3 2 2" xfId="12828"/>
    <cellStyle name="Output 3 5 3 2 2" xfId="12829"/>
    <cellStyle name="Output 4 5 3 2 2" xfId="12830"/>
    <cellStyle name="Output 5 4 3 2 2" xfId="12831"/>
    <cellStyle name="Total 2 10 3 2 2" xfId="12832"/>
    <cellStyle name="Total 3 5 3 2 2" xfId="12833"/>
    <cellStyle name="Total 4 5 3 2 2" xfId="12834"/>
    <cellStyle name="Total 5 4 3 2 2" xfId="12835"/>
    <cellStyle name="Input 2 2 4 2 3 5" xfId="12836"/>
    <cellStyle name="Input 20 3 2 2" xfId="12837"/>
    <cellStyle name="Input 5 2 3 4" xfId="12838"/>
    <cellStyle name="Input 2 5 2 8" xfId="12839"/>
    <cellStyle name="Input 4 4 5 2 2" xfId="12840"/>
    <cellStyle name="Calculation 5 3 5 2 2" xfId="12841"/>
    <cellStyle name="Calculation 4 4 5 2 2" xfId="12842"/>
    <cellStyle name="Input 3 4 5 2 2" xfId="12843"/>
    <cellStyle name="Input 4 3 3 5" xfId="12844"/>
    <cellStyle name="Total 3 3 3 5" xfId="12845"/>
    <cellStyle name="Calculation 2 2 4 2 3 4" xfId="12846"/>
    <cellStyle name="Input 21 3 2 2" xfId="12847"/>
    <cellStyle name="Calculation 2 6 3 4" xfId="12848"/>
    <cellStyle name="Total 2 2 3 2 2 5" xfId="12849"/>
    <cellStyle name="Note 2 2 3 4 5" xfId="12850"/>
    <cellStyle name="Input 11 2 8" xfId="12851"/>
    <cellStyle name="Calculation 2 5 3 8" xfId="12852"/>
    <cellStyle name="Note 4 2 6 5 2" xfId="12853"/>
    <cellStyle name="Note 3 3 3 5 2" xfId="12854"/>
    <cellStyle name="Note 2 5 3 5 2" xfId="12855"/>
    <cellStyle name="Note 2 4 2 3 5 2" xfId="12856"/>
    <cellStyle name="Note 2 3 2 3 5 2" xfId="12857"/>
    <cellStyle name="Note 2 2 2 3 5 2" xfId="12858"/>
    <cellStyle name="Calculation 2 9 5 2" xfId="12859"/>
    <cellStyle name="Calculation 2 2 5 5 2" xfId="12860"/>
    <cellStyle name="Calculation 2 2 2 2 5 2" xfId="12861"/>
    <cellStyle name="Calculation 2 2 3 2 5 2" xfId="12862"/>
    <cellStyle name="Calculation 2 2 4 2 5 2" xfId="12863"/>
    <cellStyle name="Calculation 2 3 2 5 2" xfId="12864"/>
    <cellStyle name="Calculation 2 4 2 5 2" xfId="12865"/>
    <cellStyle name="Calculation 2 5 2 5 2" xfId="12866"/>
    <cellStyle name="Calculation 3 5 5 2" xfId="12867"/>
    <cellStyle name="Calculation 3 4 5 4" xfId="12868"/>
    <cellStyle name="Calculation 5 6 4" xfId="12869"/>
    <cellStyle name="Output 3 5 9" xfId="12870"/>
    <cellStyle name="Input 2 10 2 5" xfId="12871"/>
    <cellStyle name="Header2 2 5 2" xfId="12872"/>
    <cellStyle name="Input 2 5 3 5 2" xfId="12873"/>
    <cellStyle name="Input 2 9 5 2" xfId="12874"/>
    <cellStyle name="Input 2 2 5 5 2" xfId="12875"/>
    <cellStyle name="Input 2 2 2 2 5 2" xfId="12876"/>
    <cellStyle name="Input 2 2 3 2 5 2" xfId="12877"/>
    <cellStyle name="Input 2 2 4 2 5 2" xfId="12878"/>
    <cellStyle name="Input 2 3 2 5 2" xfId="12879"/>
    <cellStyle name="Input 2 4 2 5 2" xfId="12880"/>
    <cellStyle name="Input 2 5 2 5 2" xfId="12881"/>
    <cellStyle name="Input 3 5 5 2" xfId="12882"/>
    <cellStyle name="Input 4 5 5 2" xfId="12883"/>
    <cellStyle name="Input 5 5 5 2" xfId="12884"/>
    <cellStyle name="Input 6 3 5 2" xfId="12885"/>
    <cellStyle name="Input 7 2 5 2" xfId="12886"/>
    <cellStyle name="Input 8 2 5 2" xfId="12887"/>
    <cellStyle name="Input 14 3 5" xfId="12888"/>
    <cellStyle name="Calculation 2 8 2 8" xfId="12889"/>
    <cellStyle name="Calculation 2 5 3 5 2" xfId="12890"/>
    <cellStyle name="Input 2 2 4 2 3 4" xfId="12891"/>
    <cellStyle name="Total 2 4 3 5 2" xfId="12892"/>
    <cellStyle name="Total 2 2 4 3 5 2" xfId="12893"/>
    <cellStyle name="Total 2 2 3 3 5 2" xfId="12894"/>
    <cellStyle name="Total 2 12 5 2" xfId="12895"/>
    <cellStyle name="Note 2 9 5 2" xfId="12896"/>
    <cellStyle name="Note 2 2 6 5 2" xfId="12897"/>
    <cellStyle name="Note 2 3 3 5 2" xfId="12898"/>
    <cellStyle name="Note 2 4 3 5 2" xfId="12899"/>
    <cellStyle name="Note 3 7 5 2" xfId="12900"/>
    <cellStyle name="Note 3 2 7 5 2" xfId="12901"/>
    <cellStyle name="Output 2 10 5 2" xfId="12902"/>
    <cellStyle name="Output 2 2 5 5 2" xfId="12903"/>
    <cellStyle name="Output 2 2 2 2 5 2" xfId="12904"/>
    <cellStyle name="Output 2 2 3 2 5 2" xfId="12905"/>
    <cellStyle name="Output 2 2 4 2 5 2" xfId="12906"/>
    <cellStyle name="Output 2 3 2 5 2" xfId="12907"/>
    <cellStyle name="Output 2 4 2 5 2" xfId="12908"/>
    <cellStyle name="Output 2 5 2 5 2" xfId="12909"/>
    <cellStyle name="Output 3 6 5 2" xfId="12910"/>
    <cellStyle name="Input 7 3 5 2" xfId="12911"/>
    <cellStyle name="Input 5 6 5 2" xfId="12912"/>
    <cellStyle name="Input 3 6 5 2" xfId="12913"/>
    <cellStyle name="Input 2 4 3 5 2" xfId="12914"/>
    <cellStyle name="Input 2 2 4 3 5 2" xfId="12915"/>
    <cellStyle name="Input 2 2 2 3 5 2" xfId="12916"/>
    <cellStyle name="Input 2 10 5 2" xfId="12917"/>
    <cellStyle name="Calculation 3 6 5 2" xfId="12918"/>
    <cellStyle name="Calculation 2 4 3 5 2" xfId="12919"/>
    <cellStyle name="Calculation 2 2 4 3 5 2" xfId="12920"/>
    <cellStyle name="Calculation 2 2 2 3 5 2" xfId="12921"/>
    <cellStyle name="Calculation 2 10 5 2" xfId="12922"/>
    <cellStyle name="StmtTtl2 2 5 2" xfId="12923"/>
    <cellStyle name="Total 2 11 5 2" xfId="12924"/>
    <cellStyle name="Total 2 2 5 5 2" xfId="12925"/>
    <cellStyle name="Total 2 2 2 2 5 2" xfId="12926"/>
    <cellStyle name="Total 2 2 3 2 5 2" xfId="12927"/>
    <cellStyle name="Total 2 2 4 2 5 2" xfId="12928"/>
    <cellStyle name="Total 2 3 2 5 2" xfId="12929"/>
    <cellStyle name="Total 2 4 2 5 2" xfId="12930"/>
    <cellStyle name="Total 2 5 2 5 2" xfId="12931"/>
    <cellStyle name="Total 2 6 2 5 2" xfId="12932"/>
    <cellStyle name="Total 3 6 5 2" xfId="12933"/>
    <cellStyle name="Note 3 2 5 2 2 4" xfId="12934"/>
    <cellStyle name="Input 4 2 2 2 4" xfId="12935"/>
    <cellStyle name="Calculation 2 3 3 2 4" xfId="12936"/>
    <cellStyle name="Output 2 2 5 2 4" xfId="12937"/>
    <cellStyle name="Note 4 2 4 4 4" xfId="12938"/>
    <cellStyle name="Input 13 4 4" xfId="12939"/>
    <cellStyle name="Calculation 2 5 2 3 5" xfId="12940"/>
    <cellStyle name="Total 3 5 4 5" xfId="12941"/>
    <cellStyle name="Input 5 3 2 7" xfId="12942"/>
    <cellStyle name="Input 10 2 7" xfId="12943"/>
    <cellStyle name="styleColumnTitles 8" xfId="12944"/>
    <cellStyle name="Total 3 7 7" xfId="12945"/>
    <cellStyle name="Output 2 5 3 5 2" xfId="12946"/>
    <cellStyle name="Output 4 4 4 5" xfId="12947"/>
    <cellStyle name="Output 2 3 3 5 2" xfId="12948"/>
    <cellStyle name="Output 2 2 3 3 5 2" xfId="12949"/>
    <cellStyle name="Output 2 2 6 5 2" xfId="12950"/>
    <cellStyle name="Note 4 7 5 2" xfId="12951"/>
    <cellStyle name="Note 3 2 2 3 5 2" xfId="12952"/>
    <cellStyle name="Note 3 8 5 2" xfId="12953"/>
    <cellStyle name="Note 2 4 4 5 2" xfId="12954"/>
    <cellStyle name="Note 2 2 7 5 2" xfId="12955"/>
    <cellStyle name="Note 3 2 2 2 5 2" xfId="12956"/>
    <cellStyle name="Note 4 6 5 2" xfId="12957"/>
    <cellStyle name="Input 17 5 4" xfId="12958"/>
    <cellStyle name="Total 3 7 5 2" xfId="12959"/>
    <cellStyle name="Total 2 5 3 5 2" xfId="12960"/>
    <cellStyle name="Total 2 3 3 5 2" xfId="12961"/>
    <cellStyle name="Total 2 2 6 5 2" xfId="12962"/>
    <cellStyle name="Total 2 2 2 3 5 2" xfId="12963"/>
    <cellStyle name="StmtTtl2 3 5 2" xfId="12964"/>
    <cellStyle name="Output 3 7 5 2" xfId="12965"/>
    <cellStyle name="Note 2 5 2 5 2" xfId="12966"/>
    <cellStyle name="Note 2 2 2 2 5 2" xfId="12967"/>
    <cellStyle name="Note 2 3 2 2 5 2" xfId="12968"/>
    <cellStyle name="Note 2 4 2 2 5 2" xfId="12969"/>
    <cellStyle name="Note 3 3 2 5 2" xfId="12970"/>
    <cellStyle name="Input 8 3 5 2" xfId="12971"/>
    <cellStyle name="Input 6 4 5 2" xfId="12972"/>
    <cellStyle name="Input 4 6 5 2" xfId="12973"/>
    <cellStyle name="Input 2 3 3 5 2" xfId="12974"/>
    <cellStyle name="Input 2 2 3 3 5 2" xfId="12975"/>
    <cellStyle name="Input 2 2 6 5 2" xfId="12976"/>
    <cellStyle name="Calculation 2 3 3 5 2" xfId="12977"/>
    <cellStyle name="Calculation 2 2 3 3 5 2" xfId="12978"/>
    <cellStyle name="Calculation 2 2 6 5 2" xfId="12979"/>
    <cellStyle name="Output 2 4 3 5 2" xfId="12980"/>
    <cellStyle name="Output 2 2 4 3 5 2" xfId="12981"/>
    <cellStyle name="Output 2 2 2 3 5 2" xfId="12982"/>
    <cellStyle name="Output 2 11 5 2" xfId="12983"/>
    <cellStyle name="Note 3 2 8 5 2" xfId="12984"/>
    <cellStyle name="Note 2 3 4 5 2" xfId="12985"/>
    <cellStyle name="Note 2 10 5 2" xfId="12986"/>
    <cellStyle name="Note 4 2 5 5 2" xfId="12987"/>
    <cellStyle name="Style 21 6 2" xfId="12988"/>
    <cellStyle name="Style 21 2 6 2" xfId="12989"/>
    <cellStyle name="Style 22 6 2" xfId="12990"/>
    <cellStyle name="Style 22 2 6 2" xfId="12991"/>
    <cellStyle name="Style 23 6 2" xfId="12992"/>
    <cellStyle name="Style 23 2 6 2" xfId="12993"/>
    <cellStyle name="Style 24 6 2" xfId="12994"/>
    <cellStyle name="Style 24 2 6 2" xfId="12995"/>
    <cellStyle name="Style 25 6 2" xfId="12996"/>
    <cellStyle name="Style 25 2 6 2" xfId="12997"/>
    <cellStyle name="Style 26 6 2" xfId="12998"/>
    <cellStyle name="Style 26 2 6 2" xfId="12999"/>
    <cellStyle name="styleColumnTitles 6 2" xfId="13000"/>
    <cellStyle name="styleColumnTitles 2 6 2" xfId="13001"/>
    <cellStyle name="styleDateRange 6 2" xfId="13002"/>
    <cellStyle name="styleDateRange 2 6 2" xfId="13003"/>
    <cellStyle name="styleSeriesAttributes 6 2" xfId="13004"/>
    <cellStyle name="styleSeriesAttributes 2 6 2" xfId="13005"/>
    <cellStyle name="styleSeriesData 6 2" xfId="13006"/>
    <cellStyle name="styleSeriesData 2 6 2" xfId="13007"/>
    <cellStyle name="styleSeriesDataForecast 6 2" xfId="13008"/>
    <cellStyle name="styleSeriesDataForecast 2 6 2" xfId="13009"/>
    <cellStyle name="styleSeriesDataForecastNA 6 2" xfId="13010"/>
    <cellStyle name="styleSeriesDataForecastNA 2 6 2" xfId="13011"/>
    <cellStyle name="styleSeriesDataNA 6 2" xfId="13012"/>
    <cellStyle name="styleSeriesDataNA 2 6 2" xfId="13013"/>
    <cellStyle name="Style 21 2 2 5 2" xfId="13014"/>
    <cellStyle name="Style 22 2 2 5 2" xfId="13015"/>
    <cellStyle name="Style 23 2 2 5 2" xfId="13016"/>
    <cellStyle name="Style 24 2 2 5 2" xfId="13017"/>
    <cellStyle name="Style 25 2 2 5 2" xfId="13018"/>
    <cellStyle name="Style 26 2 2 5 2" xfId="13019"/>
    <cellStyle name="styleColumnTitles 2 2 5 2" xfId="13020"/>
    <cellStyle name="styleDateRange 2 2 5 2" xfId="13021"/>
    <cellStyle name="styleSeriesAttributes 2 2 5 2" xfId="13022"/>
    <cellStyle name="styleSeriesData 2 2 5 2" xfId="13023"/>
    <cellStyle name="styleSeriesDataForecast 2 2 5 2" xfId="13024"/>
    <cellStyle name="styleSeriesDataForecastNA 2 2 5 2" xfId="13025"/>
    <cellStyle name="styleSeriesDataNA 2 2 5 2" xfId="13026"/>
    <cellStyle name="Total 2 6 3 5 2" xfId="13027"/>
    <cellStyle name="Calculation 7 5 5" xfId="13028"/>
    <cellStyle name="Total 2 3 4 5" xfId="13029"/>
    <cellStyle name="Total 8 2 2 4" xfId="13030"/>
    <cellStyle name="styleSeriesDataForecast 2 3 4" xfId="13031"/>
    <cellStyle name="Output 3 5 5 4" xfId="13032"/>
    <cellStyle name="Calculation 2 4 2 2 4" xfId="13033"/>
    <cellStyle name="Total 3 3 4 4" xfId="13034"/>
    <cellStyle name="Total 4 2 4 4" xfId="13035"/>
    <cellStyle name="Input 3 4 2 7" xfId="13036"/>
    <cellStyle name="Note 7 3 2 7" xfId="13037"/>
    <cellStyle name="Total 2 7 2 7" xfId="13038"/>
    <cellStyle name="styleSeriesData 2 2 7" xfId="13039"/>
    <cellStyle name="Input 10 10" xfId="13040"/>
    <cellStyle name="Calculation 7 2 5 2" xfId="13041"/>
    <cellStyle name="Calculation 2 6 2 5 2" xfId="13042"/>
    <cellStyle name="Calculation 3 2 2 5 2" xfId="13043"/>
    <cellStyle name="Calculation 4 2 2 5 2" xfId="13044"/>
    <cellStyle name="Calculation 5 4 5 2" xfId="13045"/>
    <cellStyle name="Output 9 2 5 2" xfId="13046"/>
    <cellStyle name="Input 10 2 5 2" xfId="13047"/>
    <cellStyle name="Input 2 6 2 5 2" xfId="13048"/>
    <cellStyle name="Input 3 2 2 5 2" xfId="13049"/>
    <cellStyle name="Input 4 2 2 5 2" xfId="13050"/>
    <cellStyle name="Input 5 2 2 5 2" xfId="13051"/>
    <cellStyle name="Calculation 7 9" xfId="13052"/>
    <cellStyle name="Note 4 7 2 5" xfId="13053"/>
    <cellStyle name="Note 11 2 5 2" xfId="13054"/>
    <cellStyle name="Note 2 6 2 5 2" xfId="13055"/>
    <cellStyle name="Note 2 2 3 2 5 2" xfId="13056"/>
    <cellStyle name="Note 3 4 2 5 2" xfId="13057"/>
    <cellStyle name="Note 3 2 4 2 5 2" xfId="13058"/>
    <cellStyle name="Note 4 3 2 5 2" xfId="13059"/>
    <cellStyle name="Note 4 2 2 2 5 2" xfId="13060"/>
    <cellStyle name="Note 5 5 5 2" xfId="13061"/>
    <cellStyle name="Note 5 2 4 5 2" xfId="13062"/>
    <cellStyle name="Note 6 5 5 2" xfId="13063"/>
    <cellStyle name="Note 6 2 4 5 2" xfId="13064"/>
    <cellStyle name="Note 7 5 5 2" xfId="13065"/>
    <cellStyle name="Note 7 2 4 5 2" xfId="13066"/>
    <cellStyle name="Note 8 4 5 2" xfId="13067"/>
    <cellStyle name="Note 9 3 5 2" xfId="13068"/>
    <cellStyle name="Output 7 2 5 2" xfId="13069"/>
    <cellStyle name="Output 2 6 2 5 2" xfId="13070"/>
    <cellStyle name="Output 3 2 2 5 2" xfId="13071"/>
    <cellStyle name="Output 4 2 2 5 2" xfId="13072"/>
    <cellStyle name="Output 5 5 5 2" xfId="13073"/>
    <cellStyle name="Total 7 2 5 2" xfId="13074"/>
    <cellStyle name="Total 2 7 2 5 2" xfId="13075"/>
    <cellStyle name="Total 3 2 2 5 2" xfId="13076"/>
    <cellStyle name="Total 4 2 2 5 2" xfId="13077"/>
    <cellStyle name="Total 5 5 5 2" xfId="13078"/>
    <cellStyle name="Calculation 8 2 5 2" xfId="13079"/>
    <cellStyle name="Input 12 2 5 2" xfId="13080"/>
    <cellStyle name="Input 11 2 5 2" xfId="13081"/>
    <cellStyle name="Calculation 9 2 5 2" xfId="13082"/>
    <cellStyle name="Output 8 2 5 2" xfId="13083"/>
    <cellStyle name="Total 8 2 5 2" xfId="13084"/>
    <cellStyle name="Total 9 2 5 2" xfId="13085"/>
    <cellStyle name="Input 15 2 2 4" xfId="13086"/>
    <cellStyle name="Note 3 3 3 3 4" xfId="13087"/>
    <cellStyle name="Output 3 7 2 4" xfId="13088"/>
    <cellStyle name="Calculation 2 5 3 2 4" xfId="13089"/>
    <cellStyle name="Calculation 3 4 4 4" xfId="13090"/>
    <cellStyle name="Output 3 3 4 4" xfId="13091"/>
    <cellStyle name="Output 4 5 2 7" xfId="13092"/>
    <cellStyle name="Output 2 8 4 5" xfId="13093"/>
    <cellStyle name="Output 5 2 2 5 2" xfId="13094"/>
    <cellStyle name="Output 4 3 2 5 2" xfId="13095"/>
    <cellStyle name="Output 3 3 2 5 2" xfId="13096"/>
    <cellStyle name="Output 2 7 2 5 2" xfId="13097"/>
    <cellStyle name="Output 11 2 5 2" xfId="13098"/>
    <cellStyle name="Style 21 8" xfId="13099"/>
    <cellStyle name="Input 5 3 2 5 2" xfId="13100"/>
    <cellStyle name="Input 4 3 2 5 2" xfId="13101"/>
    <cellStyle name="Input 3 3 2 5 2" xfId="13102"/>
    <cellStyle name="Input 2 7 2 5 2" xfId="13103"/>
    <cellStyle name="Calculation 10 2 5 2" xfId="13104"/>
    <cellStyle name="Input 14 2 5 2" xfId="13105"/>
    <cellStyle name="Input 16 2 5 2" xfId="13106"/>
    <cellStyle name="Input 17 2 5 2" xfId="13107"/>
    <cellStyle name="Input 15 2 5 2" xfId="13108"/>
    <cellStyle name="Input 13 2 5 2" xfId="13109"/>
    <cellStyle name="Calculation 5 2 2 5 2" xfId="13110"/>
    <cellStyle name="Calculation 4 3 2 5 2" xfId="13111"/>
    <cellStyle name="Calculation 3 3 2 5 2" xfId="13112"/>
    <cellStyle name="Calculation 2 7 2 5 2" xfId="13113"/>
    <cellStyle name="Calculation 11 2 5 2" xfId="13114"/>
    <cellStyle name="Note 3 7 8" xfId="13115"/>
    <cellStyle name="Output 5 2 2 2 5" xfId="13116"/>
    <cellStyle name="Output 10 2 5 2" xfId="13117"/>
    <cellStyle name="Note 12 2 5 2" xfId="13118"/>
    <cellStyle name="Note 2 7 2 5 2" xfId="13119"/>
    <cellStyle name="Note 2 2 4 2 5 2" xfId="13120"/>
    <cellStyle name="Note 3 5 2 5 2" xfId="13121"/>
    <cellStyle name="Note 3 2 5 2 5 2" xfId="13122"/>
    <cellStyle name="Note 4 4 2 5 2" xfId="13123"/>
    <cellStyle name="Note 4 2 3 2 5 2" xfId="13124"/>
    <cellStyle name="Note 5 3 2 5 2" xfId="13125"/>
    <cellStyle name="Note 5 2 2 2 5 2" xfId="13126"/>
    <cellStyle name="Note 6 3 2 5 2" xfId="13127"/>
    <cellStyle name="Note 6 2 2 2 5 2" xfId="13128"/>
    <cellStyle name="Note 7 3 2 5 2" xfId="13129"/>
    <cellStyle name="Note 7 2 2 2 5 2" xfId="13130"/>
    <cellStyle name="Note 8 2 2 5 2" xfId="13131"/>
    <cellStyle name="Note 9 2 2 5 2" xfId="13132"/>
    <cellStyle name="Output 12 2 5 2" xfId="13133"/>
    <cellStyle name="Output 2 8 2 5 2" xfId="13134"/>
    <cellStyle name="Output 3 4 2 5 2" xfId="13135"/>
    <cellStyle name="Output 4 4 2 5 2" xfId="13136"/>
    <cellStyle name="Output 5 3 2 5 2" xfId="13137"/>
    <cellStyle name="Total 10 2 5 2" xfId="13138"/>
    <cellStyle name="Total 11 2 5 2" xfId="13139"/>
    <cellStyle name="Total 2 8 2 5 2" xfId="13140"/>
    <cellStyle name="Total 3 3 2 5 2" xfId="13141"/>
    <cellStyle name="Total 4 3 2 5 2" xfId="13142"/>
    <cellStyle name="Total 5 2 2 5 2" xfId="13143"/>
    <cellStyle name="Total 12 2 5 2" xfId="13144"/>
    <cellStyle name="Total 2 9 2 5 2" xfId="13145"/>
    <cellStyle name="Total 3 4 2 5 2" xfId="13146"/>
    <cellStyle name="Total 4 4 2 5 2" xfId="13147"/>
    <cellStyle name="Total 5 3 2 5 2" xfId="13148"/>
    <cellStyle name="Output 2 7 2 2 4" xfId="13149"/>
    <cellStyle name="Style 25 2 2 2 4" xfId="13150"/>
    <cellStyle name="Note 2 4 4 2 4" xfId="13151"/>
    <cellStyle name="Input 2 2 4 2 2 4" xfId="13152"/>
    <cellStyle name="Note 6 2 3 5 4" xfId="13153"/>
    <cellStyle name="Total 9 4 4" xfId="13154"/>
    <cellStyle name="Note 4 2 4 2 7" xfId="13155"/>
    <cellStyle name="Total 10 2 7" xfId="13156"/>
    <cellStyle name="Note 2 4 4 7" xfId="13157"/>
    <cellStyle name="Input 18 2 5 2" xfId="13158"/>
    <cellStyle name="Note 3 2 7 3 5" xfId="13159"/>
    <cellStyle name="Calculation 12 2 5 2" xfId="13160"/>
    <cellStyle name="Input 19 2 5 2" xfId="13161"/>
    <cellStyle name="Note 13 2 5 2" xfId="13162"/>
    <cellStyle name="Output 13 2 5 2" xfId="13163"/>
    <cellStyle name="Total 13 2 5 2" xfId="13164"/>
    <cellStyle name="Note 4 2 2 3 4" xfId="13165"/>
    <cellStyle name="Calculation 2 8 2 5 2" xfId="13166"/>
    <cellStyle name="Calculation 3 4 2 5 2" xfId="13167"/>
    <cellStyle name="Calculation 4 4 2 5 2" xfId="13168"/>
    <cellStyle name="Calculation 5 3 2 5 2" xfId="13169"/>
    <cellStyle name="Input 2 8 2 5 2" xfId="13170"/>
    <cellStyle name="Input 3 4 2 5 2" xfId="13171"/>
    <cellStyle name="Input 4 4 2 5 2" xfId="13172"/>
    <cellStyle name="Input 5 4 2 5 2" xfId="13173"/>
    <cellStyle name="Calculation 2 5 2 8" xfId="13174"/>
    <cellStyle name="Note 2 8 2 5 2" xfId="13175"/>
    <cellStyle name="Note 2 2 5 2 5 2" xfId="13176"/>
    <cellStyle name="Note 3 6 2 5 2" xfId="13177"/>
    <cellStyle name="Note 3 2 6 2 5 2" xfId="13178"/>
    <cellStyle name="Note 4 5 2 5 2" xfId="13179"/>
    <cellStyle name="Note 4 2 4 2 5 2" xfId="13180"/>
    <cellStyle name="Note 5 4 2 5 2" xfId="13181"/>
    <cellStyle name="Note 5 2 3 2 5 2" xfId="13182"/>
    <cellStyle name="Note 6 4 2 5 2" xfId="13183"/>
    <cellStyle name="Note 6 2 3 2 5 2" xfId="13184"/>
    <cellStyle name="Note 7 4 2 5 2" xfId="13185"/>
    <cellStyle name="Note 7 2 3 2 5 2" xfId="13186"/>
    <cellStyle name="Note 8 3 2 5 2" xfId="13187"/>
    <cellStyle name="Output 2 9 2 5 2" xfId="13188"/>
    <cellStyle name="Output 3 5 2 5 2" xfId="13189"/>
    <cellStyle name="Output 4 5 2 5 2" xfId="13190"/>
    <cellStyle name="Output 5 4 2 5 2" xfId="13191"/>
    <cellStyle name="Total 2 10 2 5 2" xfId="13192"/>
    <cellStyle name="Total 3 5 2 5 2" xfId="13193"/>
    <cellStyle name="Total 4 5 2 5 2" xfId="13194"/>
    <cellStyle name="Total 5 4 2 5 2" xfId="13195"/>
    <cellStyle name="Input 20 2 5 2" xfId="13196"/>
    <cellStyle name="Output 5 2 8" xfId="13197"/>
    <cellStyle name="Calculation 3 3 3 5" xfId="13198"/>
    <cellStyle name="Header2 2 3 4" xfId="13199"/>
    <cellStyle name="Input 21 2 5 2" xfId="13200"/>
    <cellStyle name="Calculation 4 2 3 4" xfId="13201"/>
    <cellStyle name="Output 3 4 4 5" xfId="13202"/>
    <cellStyle name="Output 2 2 3 3 8" xfId="13203"/>
    <cellStyle name="Output 2 6 2 8" xfId="13204"/>
    <cellStyle name="Note 6 2 6 2 2" xfId="13205"/>
    <cellStyle name="Note 7 7 2 2" xfId="13206"/>
    <cellStyle name="Note 7 2 6 2 2" xfId="13207"/>
    <cellStyle name="Note 8 6 2 2" xfId="13208"/>
    <cellStyle name="Note 9 5 2 2" xfId="13209"/>
    <cellStyle name="Output 7 4 2 2" xfId="13210"/>
    <cellStyle name="Output 2 6 4 2 2" xfId="13211"/>
    <cellStyle name="Output 3 2 4 2 2" xfId="13212"/>
    <cellStyle name="Output 4 2 4 2 2" xfId="13213"/>
    <cellStyle name="Output 5 7 2 2" xfId="13214"/>
    <cellStyle name="Note 4 2 4 5 2 2" xfId="13215"/>
    <cellStyle name="Total 7 4 2 2" xfId="13216"/>
    <cellStyle name="Total 2 7 4 2 2" xfId="13217"/>
    <cellStyle name="Total 3 2 4 2 2" xfId="13218"/>
    <cellStyle name="Total 4 2 4 2 2" xfId="13219"/>
    <cellStyle name="Total 5 7 2 2" xfId="13220"/>
    <cellStyle name="Calculation 8 4 2 2" xfId="13221"/>
    <cellStyle name="Input 12 4 2 2" xfId="13222"/>
    <cellStyle name="Input 11 4 2 2" xfId="13223"/>
    <cellStyle name="Calculation 9 4 2 2" xfId="13224"/>
    <cellStyle name="Output 8 4 2 2" xfId="13225"/>
    <cellStyle name="Note 4 5 5 2 2" xfId="13226"/>
    <cellStyle name="Total 8 4 2 2" xfId="13227"/>
    <cellStyle name="Total 9 4 2 2" xfId="13228"/>
    <cellStyle name="Input 2 9 3 2 2" xfId="13229"/>
    <cellStyle name="Note 2 2 2 3 3 2 2" xfId="13230"/>
    <cellStyle name="Note 7 2 3 5 2 2" xfId="13231"/>
    <cellStyle name="Note 3 2 6 5 2 2" xfId="13232"/>
    <cellStyle name="Output 13 5 2 2" xfId="13233"/>
    <cellStyle name="Input 14 5 2 2" xfId="13234"/>
    <cellStyle name="Input 5 3 5 2 2" xfId="13235"/>
    <cellStyle name="Output 5 2 4 2 2" xfId="13236"/>
    <cellStyle name="Output 4 3 4 2 2" xfId="13237"/>
    <cellStyle name="Output 3 3 4 2 2" xfId="13238"/>
    <cellStyle name="Output 2 7 4 2 2" xfId="13239"/>
    <cellStyle name="Output 11 4 2 2" xfId="13240"/>
    <cellStyle name="Input 5 3 4 2 2" xfId="13241"/>
    <cellStyle name="Input 4 3 4 2 2" xfId="13242"/>
    <cellStyle name="Input 3 3 4 2 2" xfId="13243"/>
    <cellStyle name="Input 2 7 4 2 2" xfId="13244"/>
    <cellStyle name="Calculation 10 4 2 2" xfId="13245"/>
    <cellStyle name="Input 14 4 2 2" xfId="13246"/>
    <cellStyle name="Input 16 4 2 2" xfId="13247"/>
    <cellStyle name="Input 17 4 2 2" xfId="13248"/>
    <cellStyle name="Input 15 4 2 2" xfId="13249"/>
    <cellStyle name="Input 13 4 2 2" xfId="13250"/>
    <cellStyle name="Calculation 5 2 4 2 2" xfId="13251"/>
    <cellStyle name="Calculation 4 3 4 2 2" xfId="13252"/>
    <cellStyle name="Calculation 3 3 4 2 2" xfId="13253"/>
    <cellStyle name="Calculation 2 7 4 2 2" xfId="13254"/>
    <cellStyle name="Calculation 11 4 2 2" xfId="13255"/>
    <cellStyle name="Output 10 4 2 2" xfId="13256"/>
    <cellStyle name="Note 12 4 2 2" xfId="13257"/>
    <cellStyle name="Note 2 7 4 2 2" xfId="13258"/>
    <cellStyle name="Note 2 2 4 4 2 2" xfId="13259"/>
    <cellStyle name="Note 3 5 4 2 2" xfId="13260"/>
    <cellStyle name="Note 3 2 5 4 2 2" xfId="13261"/>
    <cellStyle name="Note 4 4 4 2 2" xfId="13262"/>
    <cellStyle name="Note 4 2 3 4 2 2" xfId="13263"/>
    <cellStyle name="Note 5 3 4 2 2" xfId="13264"/>
    <cellStyle name="Note 5 2 2 4 2 2" xfId="13265"/>
    <cellStyle name="Note 6 3 4 2 2" xfId="13266"/>
    <cellStyle name="Note 6 2 2 4 2 2" xfId="13267"/>
    <cellStyle name="Note 7 3 4 2 2" xfId="13268"/>
    <cellStyle name="Note 7 2 2 4 2 2" xfId="13269"/>
    <cellStyle name="Note 8 2 4 2 2" xfId="13270"/>
    <cellStyle name="Note 9 2 4 2 2" xfId="13271"/>
    <cellStyle name="Output 12 4 2 2" xfId="13272"/>
    <cellStyle name="Output 2 8 4 2 2" xfId="13273"/>
    <cellStyle name="Output 3 4 4 2 2" xfId="13274"/>
    <cellStyle name="Output 4 4 4 2 2" xfId="13275"/>
    <cellStyle name="Output 5 3 4 2 2" xfId="13276"/>
    <cellStyle name="Total 10 4 2 2" xfId="13277"/>
    <cellStyle name="Total 11 4 2 2" xfId="13278"/>
    <cellStyle name="Total 2 8 4 2 2" xfId="13279"/>
    <cellStyle name="Total 3 3 4 2 2" xfId="13280"/>
    <cellStyle name="Total 4 3 4 2 2" xfId="13281"/>
    <cellStyle name="Total 5 2 4 2 2" xfId="13282"/>
    <cellStyle name="Total 12 4 2 2" xfId="13283"/>
    <cellStyle name="Total 2 9 4 2 2" xfId="13284"/>
    <cellStyle name="Total 3 4 4 2 2" xfId="13285"/>
    <cellStyle name="Total 4 4 4 2 2" xfId="13286"/>
    <cellStyle name="Total 5 3 4 2 2" xfId="13287"/>
    <cellStyle name="Note 2 4 2 3 3 2 2" xfId="13288"/>
    <cellStyle name="Note 6 2 3 5 2 2" xfId="13289"/>
    <cellStyle name="Input 19 5 2 2" xfId="13290"/>
    <cellStyle name="Input 2 7 5 2 2" xfId="13291"/>
    <cellStyle name="Input 18 4 2 2" xfId="13292"/>
    <cellStyle name="Calculation 12 4 2 2" xfId="13293"/>
    <cellStyle name="Input 19 4 2 2" xfId="13294"/>
    <cellStyle name="Note 13 4 2 2" xfId="13295"/>
    <cellStyle name="Output 13 4 2 2" xfId="13296"/>
    <cellStyle name="Total 13 4 2 2" xfId="13297"/>
    <cellStyle name="Calculation 2 8 4 2 2" xfId="13298"/>
    <cellStyle name="Calculation 3 4 4 2 2" xfId="13299"/>
    <cellStyle name="Calculation 4 4 4 2 2" xfId="13300"/>
    <cellStyle name="Calculation 5 3 4 2 2" xfId="13301"/>
    <cellStyle name="Input 2 8 4 2 2" xfId="13302"/>
    <cellStyle name="Input 3 4 4 2 2" xfId="13303"/>
    <cellStyle name="Input 4 4 4 2 2" xfId="13304"/>
    <cellStyle name="Input 5 4 4 2 2" xfId="13305"/>
    <cellStyle name="Note 2 8 4 2 2" xfId="13306"/>
    <cellStyle name="Note 2 2 5 4 2 2" xfId="13307"/>
    <cellStyle name="Note 3 6 4 2 2" xfId="13308"/>
    <cellStyle name="Note 3 2 6 4 2 2" xfId="13309"/>
    <cellStyle name="Note 4 5 4 2 2" xfId="13310"/>
    <cellStyle name="Note 4 2 4 4 2 2" xfId="13311"/>
    <cellStyle name="Note 5 4 4 2 2" xfId="13312"/>
    <cellStyle name="Note 5 2 3 4 2 2" xfId="13313"/>
    <cellStyle name="Note 6 4 4 2 2" xfId="13314"/>
    <cellStyle name="Note 6 2 3 4 2 2" xfId="13315"/>
    <cellStyle name="Note 7 4 4 2 2" xfId="13316"/>
    <cellStyle name="Note 7 2 3 4 2 2" xfId="13317"/>
    <cellStyle name="Note 8 3 4 2 2" xfId="13318"/>
    <cellStyle name="Output 2 9 4 2 2" xfId="13319"/>
    <cellStyle name="Output 3 5 4 2 2" xfId="13320"/>
    <cellStyle name="Output 4 5 4 2 2" xfId="13321"/>
    <cellStyle name="Output 5 4 4 2 2" xfId="13322"/>
    <cellStyle name="Total 2 10 4 2 2" xfId="13323"/>
    <cellStyle name="Total 3 5 4 2 2" xfId="13324"/>
    <cellStyle name="Total 4 5 4 2 2" xfId="13325"/>
    <cellStyle name="Total 5 4 4 2 2" xfId="13326"/>
    <cellStyle name="Input 20 4 2 2" xfId="13327"/>
    <cellStyle name="Input 21 4 2 2" xfId="13328"/>
    <cellStyle name="Note 4 2 6 2 2 2" xfId="13329"/>
    <cellStyle name="Note 3 3 3 2 2 2" xfId="13330"/>
    <cellStyle name="Note 2 5 3 2 2 2" xfId="13331"/>
    <cellStyle name="Note 2 4 2 3 2 2 2" xfId="13332"/>
    <cellStyle name="Note 2 3 2 3 2 2 2" xfId="13333"/>
    <cellStyle name="Note 2 2 2 3 2 2 2" xfId="13334"/>
    <cellStyle name="Calculation 2 9 2 2 2" xfId="13335"/>
    <cellStyle name="Calculation 2 2 5 2 2 2" xfId="13336"/>
    <cellStyle name="Calculation 2 2 2 2 2 2 2" xfId="13337"/>
    <cellStyle name="Calculation 2 2 3 2 2 2 2" xfId="13338"/>
    <cellStyle name="Calculation 2 2 4 2 2 2 2" xfId="13339"/>
    <cellStyle name="Calculation 2 3 2 2 2 2" xfId="13340"/>
    <cellStyle name="Calculation 2 4 2 2 2 2" xfId="13341"/>
    <cellStyle name="Calculation 2 5 2 2 2 2" xfId="13342"/>
    <cellStyle name="Calculation 3 5 2 2 2" xfId="13343"/>
    <cellStyle name="Header2 2 2 2 2" xfId="13344"/>
    <cellStyle name="Input 2 5 3 2 2 2" xfId="13345"/>
    <cellStyle name="Input 2 9 2 2 2" xfId="13346"/>
    <cellStyle name="Input 2 2 5 2 2 2" xfId="13347"/>
    <cellStyle name="Input 2 2 2 2 2 2 2" xfId="13348"/>
    <cellStyle name="Input 2 2 3 2 2 2 2" xfId="13349"/>
    <cellStyle name="Input 2 2 4 2 2 2 2" xfId="13350"/>
    <cellStyle name="Input 2 3 2 2 2 2" xfId="13351"/>
    <cellStyle name="Input 2 4 2 2 2 2" xfId="13352"/>
    <cellStyle name="Input 2 5 2 2 2 2" xfId="13353"/>
    <cellStyle name="Input 3 5 2 2 2" xfId="13354"/>
    <cellStyle name="Input 4 5 2 2 2" xfId="13355"/>
    <cellStyle name="Input 5 5 2 2 2" xfId="13356"/>
    <cellStyle name="Input 6 3 2 2 2" xfId="13357"/>
    <cellStyle name="Input 7 2 2 2 2" xfId="13358"/>
    <cellStyle name="Input 8 2 2 2 2" xfId="13359"/>
    <cellStyle name="Calculation 2 5 3 2 2 2" xfId="13360"/>
    <cellStyle name="Total 2 4 3 2 2 2" xfId="13361"/>
    <cellStyle name="Total 2 2 4 3 2 2 2" xfId="13362"/>
    <cellStyle name="Total 2 2 3 3 2 2 2" xfId="13363"/>
    <cellStyle name="Total 2 12 2 2 2" xfId="13364"/>
    <cellStyle name="Note 2 9 2 2 2" xfId="13365"/>
    <cellStyle name="Note 2 2 6 2 2 2" xfId="13366"/>
    <cellStyle name="Note 2 3 3 2 2 2" xfId="13367"/>
    <cellStyle name="Note 2 4 3 2 2 2" xfId="13368"/>
    <cellStyle name="Note 3 7 2 2 2" xfId="13369"/>
    <cellStyle name="Note 3 2 7 2 2 2" xfId="13370"/>
    <cellStyle name="Output 2 10 2 2 2" xfId="13371"/>
    <cellStyle name="Output 2 2 5 2 2 2" xfId="13372"/>
    <cellStyle name="Output 2 2 2 2 2 2 2" xfId="13373"/>
    <cellStyle name="Output 2 2 3 2 2 2 2" xfId="13374"/>
    <cellStyle name="Output 2 2 4 2 2 2 2" xfId="13375"/>
    <cellStyle name="Output 2 3 2 2 2 2" xfId="13376"/>
    <cellStyle name="Output 2 4 2 2 2 2" xfId="13377"/>
    <cellStyle name="Output 2 5 2 2 2 2" xfId="13378"/>
    <cellStyle name="Output 3 6 2 2 2" xfId="13379"/>
    <cellStyle name="Input 7 3 2 2 2" xfId="13380"/>
    <cellStyle name="Input 5 6 2 2 2" xfId="13381"/>
    <cellStyle name="Input 3 6 2 2 2" xfId="13382"/>
    <cellStyle name="Input 2 4 3 2 2 2" xfId="13383"/>
    <cellStyle name="Input 2 2 4 3 2 2 2" xfId="13384"/>
    <cellStyle name="Input 2 2 2 3 2 2 2" xfId="13385"/>
    <cellStyle name="Input 2 10 2 2 2" xfId="13386"/>
    <cellStyle name="Calculation 3 6 2 2 2" xfId="13387"/>
    <cellStyle name="Calculation 2 4 3 2 2 2" xfId="13388"/>
    <cellStyle name="Calculation 2 2 4 3 2 2 2" xfId="13389"/>
    <cellStyle name="Calculation 2 2 2 3 2 2 2" xfId="13390"/>
    <cellStyle name="Calculation 2 10 2 2 2" xfId="13391"/>
    <cellStyle name="StmtTtl2 2 2 2 2" xfId="13392"/>
    <cellStyle name="Total 2 11 2 2 2" xfId="13393"/>
    <cellStyle name="Total 2 2 5 2 2 2" xfId="13394"/>
    <cellStyle name="Total 2 2 2 2 2 2 2" xfId="13395"/>
    <cellStyle name="Total 2 2 3 2 2 2 2" xfId="13396"/>
    <cellStyle name="Total 2 2 4 2 2 2 2" xfId="13397"/>
    <cellStyle name="Total 2 3 2 2 2 2" xfId="13398"/>
    <cellStyle name="Total 2 4 2 2 2 2" xfId="13399"/>
    <cellStyle name="Total 2 5 2 2 2 2" xfId="13400"/>
    <cellStyle name="Total 2 6 2 2 2 2" xfId="13401"/>
    <cellStyle name="Total 3 6 2 2 2" xfId="13402"/>
    <cellStyle name="Calculation 2 2 2 2 3 2 2" xfId="13403"/>
    <cellStyle name="Output 3 5 5 2 2" xfId="13404"/>
    <cellStyle name="Input 12 5 2 2" xfId="13405"/>
    <cellStyle name="Output 2 5 3 2 2 2" xfId="13406"/>
    <cellStyle name="Output 2 3 3 2 2 2" xfId="13407"/>
    <cellStyle name="Output 2 2 3 3 2 2 2" xfId="13408"/>
    <cellStyle name="Output 2 2 6 2 2 2" xfId="13409"/>
    <cellStyle name="Note 4 7 2 2 2" xfId="13410"/>
    <cellStyle name="Note 3 2 2 3 2 2 2" xfId="13411"/>
    <cellStyle name="Note 3 8 2 2 2" xfId="13412"/>
    <cellStyle name="Note 2 4 4 2 2 2" xfId="13413"/>
    <cellStyle name="Note 2 2 7 2 2 2" xfId="13414"/>
    <cellStyle name="Note 3 2 2 2 2 2 2" xfId="13415"/>
    <cellStyle name="Note 4 6 2 2 2" xfId="13416"/>
    <cellStyle name="Total 3 7 2 2 2" xfId="13417"/>
    <cellStyle name="Total 2 5 3 2 2 2" xfId="13418"/>
    <cellStyle name="Total 2 3 3 2 2 2" xfId="13419"/>
    <cellStyle name="Total 2 2 6 2 2 2" xfId="13420"/>
    <cellStyle name="Total 2 2 2 3 2 2 2" xfId="13421"/>
    <cellStyle name="StmtTtl2 3 2 2 2" xfId="13422"/>
    <cellStyle name="Output 3 7 2 2 2" xfId="13423"/>
    <cellStyle name="Note 2 5 2 2 2 2" xfId="13424"/>
    <cellStyle name="Note 2 2 2 2 2 2 2" xfId="13425"/>
    <cellStyle name="Note 2 3 2 2 2 2 2" xfId="13426"/>
    <cellStyle name="Note 2 4 2 2 2 2 2" xfId="13427"/>
    <cellStyle name="Note 3 3 2 2 2 2" xfId="13428"/>
    <cellStyle name="Input 8 3 2 2 2" xfId="13429"/>
    <cellStyle name="Input 6 4 2 2 2" xfId="13430"/>
    <cellStyle name="Input 4 6 2 2 2" xfId="13431"/>
    <cellStyle name="Input 2 3 3 2 2 2" xfId="13432"/>
    <cellStyle name="Input 2 2 3 3 2 2 2" xfId="13433"/>
    <cellStyle name="Input 2 2 6 2 2 2" xfId="13434"/>
    <cellStyle name="Calculation 2 3 3 2 2 2" xfId="13435"/>
    <cellStyle name="Calculation 2 2 3 3 2 2 2" xfId="13436"/>
    <cellStyle name="Calculation 2 2 6 2 2 2" xfId="13437"/>
    <cellStyle name="Output 2 4 3 2 2 2" xfId="13438"/>
    <cellStyle name="Output 2 2 4 3 2 2 2" xfId="13439"/>
    <cellStyle name="Output 2 2 2 3 2 2 2" xfId="13440"/>
    <cellStyle name="Output 2 11 2 2 2" xfId="13441"/>
    <cellStyle name="Note 3 2 8 2 2 2" xfId="13442"/>
    <cellStyle name="Note 2 3 4 2 2 2" xfId="13443"/>
    <cellStyle name="Note 2 10 2 2 2" xfId="13444"/>
    <cellStyle name="Note 4 2 5 2 2 2" xfId="13445"/>
    <cellStyle name="Style 21 3 2 2" xfId="13446"/>
    <cellStyle name="Style 21 2 3 2 2" xfId="13447"/>
    <cellStyle name="Style 22 3 2 2" xfId="13448"/>
    <cellStyle name="Style 22 2 3 2 2" xfId="13449"/>
    <cellStyle name="Style 23 3 2 2" xfId="13450"/>
    <cellStyle name="Style 23 2 3 2 2" xfId="13451"/>
    <cellStyle name="Style 24 3 2 2" xfId="13452"/>
    <cellStyle name="Style 24 2 3 2 2" xfId="13453"/>
    <cellStyle name="Style 25 3 2 2" xfId="13454"/>
    <cellStyle name="Style 25 2 3 2 2" xfId="13455"/>
    <cellStyle name="Style 26 3 2 2" xfId="13456"/>
    <cellStyle name="Style 26 2 3 2 2" xfId="13457"/>
    <cellStyle name="styleColumnTitles 3 2 2" xfId="13458"/>
    <cellStyle name="styleColumnTitles 2 3 2 2" xfId="13459"/>
    <cellStyle name="styleDateRange 3 2 2" xfId="13460"/>
    <cellStyle name="styleDateRange 2 3 2 2" xfId="13461"/>
    <cellStyle name="styleSeriesAttributes 3 2 2" xfId="13462"/>
    <cellStyle name="styleSeriesAttributes 2 3 2 2" xfId="13463"/>
    <cellStyle name="styleSeriesData 3 2 2" xfId="13464"/>
    <cellStyle name="styleSeriesData 2 3 2 2" xfId="13465"/>
    <cellStyle name="styleSeriesDataForecast 3 2 2" xfId="13466"/>
    <cellStyle name="styleSeriesDataForecast 2 3 2 2" xfId="13467"/>
    <cellStyle name="styleSeriesDataForecastNA 3 2 2" xfId="13468"/>
    <cellStyle name="styleSeriesDataForecastNA 2 3 2 2" xfId="13469"/>
    <cellStyle name="styleSeriesDataNA 3 2 2" xfId="13470"/>
    <cellStyle name="styleSeriesDataNA 2 3 2 2" xfId="13471"/>
    <cellStyle name="Style 21 2 2 2 2 2" xfId="13472"/>
    <cellStyle name="Style 22 2 2 2 2 2" xfId="13473"/>
    <cellStyle name="Style 23 2 2 2 2 2" xfId="13474"/>
    <cellStyle name="Style 24 2 2 2 2 2" xfId="13475"/>
    <cellStyle name="Style 25 2 2 2 2 2" xfId="13476"/>
    <cellStyle name="Style 26 2 2 2 2 2" xfId="13477"/>
    <cellStyle name="styleColumnTitles 2 2 2 2 2" xfId="13478"/>
    <cellStyle name="styleDateRange 2 2 2 2 2" xfId="13479"/>
    <cellStyle name="styleSeriesAttributes 2 2 2 2 2" xfId="13480"/>
    <cellStyle name="styleSeriesData 2 2 2 2 2" xfId="13481"/>
    <cellStyle name="styleSeriesDataForecast 2 2 2 2 2" xfId="13482"/>
    <cellStyle name="styleSeriesDataForecastNA 2 2 2 2 2" xfId="13483"/>
    <cellStyle name="styleSeriesDataNA 2 2 2 2 2" xfId="13484"/>
    <cellStyle name="Total 2 6 3 2 2 2" xfId="13485"/>
    <cellStyle name="Note 3 3 3 3 2 2" xfId="13486"/>
    <cellStyle name="Note 5 2 3 5 2 2" xfId="13487"/>
    <cellStyle name="Input 4 3 5 2 2" xfId="13488"/>
    <cellStyle name="Calculation 7 2 2 2 2" xfId="13489"/>
    <cellStyle name="Calculation 2 6 2 2 2 2" xfId="13490"/>
    <cellStyle name="Calculation 3 2 2 2 2 2" xfId="13491"/>
    <cellStyle name="Calculation 4 2 2 2 2 2" xfId="13492"/>
    <cellStyle name="Calculation 5 4 2 2 2" xfId="13493"/>
    <cellStyle name="Output 9 2 2 2 2" xfId="13494"/>
    <cellStyle name="Input 10 2 2 2 2" xfId="13495"/>
    <cellStyle name="Input 2 6 2 2 2 2" xfId="13496"/>
    <cellStyle name="Input 3 2 2 2 2 2" xfId="13497"/>
    <cellStyle name="Input 4 2 2 2 2 2" xfId="13498"/>
    <cellStyle name="Input 5 2 2 2 2 2" xfId="13499"/>
    <cellStyle name="Note 11 2 2 2 2" xfId="13500"/>
    <cellStyle name="Note 2 6 2 2 2 2" xfId="13501"/>
    <cellStyle name="Note 2 2 3 2 2 2 2" xfId="13502"/>
    <cellStyle name="Note 3 4 2 2 2 2" xfId="13503"/>
    <cellStyle name="Note 3 2 4 2 2 2 2" xfId="13504"/>
    <cellStyle name="Note 4 3 2 2 2 2" xfId="13505"/>
    <cellStyle name="Note 4 2 2 2 2 2 2" xfId="13506"/>
    <cellStyle name="Note 5 5 2 2 2" xfId="13507"/>
    <cellStyle name="Note 5 2 4 2 2 2" xfId="13508"/>
    <cellStyle name="Note 6 5 2 2 2" xfId="13509"/>
    <cellStyle name="Note 6 2 4 2 2 2" xfId="13510"/>
    <cellStyle name="Note 7 5 2 2 2" xfId="13511"/>
    <cellStyle name="Note 7 2 4 2 2 2" xfId="13512"/>
    <cellStyle name="Note 8 4 2 2 2" xfId="13513"/>
    <cellStyle name="Note 9 3 2 2 2" xfId="13514"/>
    <cellStyle name="Output 7 2 2 2 2" xfId="13515"/>
    <cellStyle name="Output 2 6 2 2 2 2" xfId="13516"/>
    <cellStyle name="Output 3 2 2 2 2 2" xfId="13517"/>
    <cellStyle name="Output 4 2 2 2 2 2" xfId="13518"/>
    <cellStyle name="Output 5 5 2 2 2" xfId="13519"/>
    <cellStyle name="Total 7 2 2 2 2" xfId="13520"/>
    <cellStyle name="Total 2 7 2 2 2 2" xfId="13521"/>
    <cellStyle name="Total 3 2 2 2 2 2" xfId="13522"/>
    <cellStyle name="Total 4 2 2 2 2 2" xfId="13523"/>
    <cellStyle name="Total 5 5 2 2 2" xfId="13524"/>
    <cellStyle name="Calculation 8 2 2 2 2" xfId="13525"/>
    <cellStyle name="Input 12 2 2 2 2" xfId="13526"/>
    <cellStyle name="Input 11 2 2 2 2" xfId="13527"/>
    <cellStyle name="Calculation 9 2 2 2 2" xfId="13528"/>
    <cellStyle name="Output 8 2 2 2 2" xfId="13529"/>
    <cellStyle name="Total 8 2 2 2 2" xfId="13530"/>
    <cellStyle name="Total 9 2 2 2 2" xfId="13531"/>
    <cellStyle name="Note 2 3 2 3 3 2 2" xfId="13532"/>
    <cellStyle name="Note 7 4 5 2 2" xfId="13533"/>
    <cellStyle name="Note 13 5 2 2" xfId="13534"/>
    <cellStyle name="Calculation 10 5 2 2" xfId="13535"/>
    <cellStyle name="Output 5 2 2 2 2 2" xfId="13536"/>
    <cellStyle name="Output 4 3 2 2 2 2" xfId="13537"/>
    <cellStyle name="Output 3 3 2 2 2 2" xfId="13538"/>
    <cellStyle name="Output 2 7 2 2 2 2" xfId="13539"/>
    <cellStyle name="Output 11 2 2 2 2" xfId="13540"/>
    <cellStyle name="Input 5 3 2 2 2 2" xfId="13541"/>
    <cellStyle name="Input 4 3 2 2 2 2" xfId="13542"/>
    <cellStyle name="Input 3 3 2 2 2 2" xfId="13543"/>
    <cellStyle name="Input 2 7 2 2 2 2" xfId="13544"/>
    <cellStyle name="Calculation 10 2 2 2 2" xfId="13545"/>
    <cellStyle name="Input 14 2 2 2 2" xfId="13546"/>
    <cellStyle name="Input 16 2 2 2 2" xfId="13547"/>
    <cellStyle name="Input 17 2 2 2 2" xfId="13548"/>
    <cellStyle name="Input 15 2 2 2 2" xfId="13549"/>
    <cellStyle name="Input 13 2 2 2 2" xfId="13550"/>
    <cellStyle name="Calculation 5 2 2 2 2 2" xfId="13551"/>
    <cellStyle name="Calculation 4 3 2 2 2 2" xfId="13552"/>
    <cellStyle name="Calculation 3 3 2 2 2 2" xfId="13553"/>
    <cellStyle name="Calculation 2 7 2 2 2 2" xfId="13554"/>
    <cellStyle name="Calculation 11 2 2 2 2" xfId="13555"/>
    <cellStyle name="Output 10 2 2 2 2" xfId="13556"/>
    <cellStyle name="Note 12 2 2 2 2" xfId="13557"/>
    <cellStyle name="Note 2 7 2 2 2 2" xfId="13558"/>
    <cellStyle name="Note 2 2 4 2 2 2 2" xfId="13559"/>
    <cellStyle name="Note 3 5 2 2 2 2" xfId="13560"/>
    <cellStyle name="Note 3 2 5 2 2 2 2" xfId="13561"/>
    <cellStyle name="Note 4 4 2 2 2 2" xfId="13562"/>
    <cellStyle name="Note 4 2 3 2 2 2 2" xfId="13563"/>
    <cellStyle name="Note 5 3 2 2 2 2" xfId="13564"/>
    <cellStyle name="Note 5 2 2 2 2 2 2" xfId="13565"/>
    <cellStyle name="Note 6 3 2 2 2 2" xfId="13566"/>
    <cellStyle name="Note 6 2 2 2 2 2 2" xfId="13567"/>
    <cellStyle name="Note 7 3 2 2 2 2" xfId="13568"/>
    <cellStyle name="Note 7 2 2 2 2 2 2" xfId="13569"/>
    <cellStyle name="Note 8 2 2 2 2 2" xfId="13570"/>
    <cellStyle name="Note 9 2 2 2 2 2" xfId="13571"/>
    <cellStyle name="Output 12 2 2 2 2" xfId="13572"/>
    <cellStyle name="Output 2 8 2 2 2 2" xfId="13573"/>
    <cellStyle name="Output 3 4 2 2 2 2" xfId="13574"/>
    <cellStyle name="Output 4 4 2 2 2 2" xfId="13575"/>
    <cellStyle name="Output 5 3 2 2 2 2" xfId="13576"/>
    <cellStyle name="Total 10 2 2 2 2" xfId="13577"/>
    <cellStyle name="Total 11 2 2 2 2" xfId="13578"/>
    <cellStyle name="Total 2 8 2 2 2 2" xfId="13579"/>
    <cellStyle name="Total 3 3 2 2 2 2" xfId="13580"/>
    <cellStyle name="Total 4 3 2 2 2 2" xfId="13581"/>
    <cellStyle name="Total 5 2 2 2 2 2" xfId="13582"/>
    <cellStyle name="Total 12 2 2 2 2" xfId="13583"/>
    <cellStyle name="Total 2 9 2 2 2 2" xfId="13584"/>
    <cellStyle name="Total 3 4 2 2 2 2" xfId="13585"/>
    <cellStyle name="Total 4 4 2 2 2 2" xfId="13586"/>
    <cellStyle name="Total 5 3 2 2 2 2" xfId="13587"/>
    <cellStyle name="Note 2 5 3 3 2 2" xfId="13588"/>
    <cellStyle name="Note 6 4 5 2 2" xfId="13589"/>
    <cellStyle name="Calculation 12 5 2 2" xfId="13590"/>
    <cellStyle name="Input 3 3 5 2 2" xfId="13591"/>
    <cellStyle name="Input 18 2 2 2 2" xfId="13592"/>
    <cellStyle name="Calculation 12 2 2 2 2" xfId="13593"/>
    <cellStyle name="Input 19 2 2 2 2" xfId="13594"/>
    <cellStyle name="Note 13 2 2 2 2" xfId="13595"/>
    <cellStyle name="Output 13 2 2 2 2" xfId="13596"/>
    <cellStyle name="Total 13 2 2 2 2" xfId="13597"/>
    <cellStyle name="Calculation 2 8 2 2 2 2" xfId="13598"/>
    <cellStyle name="Calculation 3 4 2 2 2 2" xfId="13599"/>
    <cellStyle name="Calculation 4 4 2 2 2 2" xfId="13600"/>
    <cellStyle name="Calculation 5 3 2 2 2 2" xfId="13601"/>
    <cellStyle name="Input 2 8 2 2 2 2" xfId="13602"/>
    <cellStyle name="Input 3 4 2 2 2 2" xfId="13603"/>
    <cellStyle name="Input 4 4 2 2 2 2" xfId="13604"/>
    <cellStyle name="Input 5 4 2 2 2 2" xfId="13605"/>
    <cellStyle name="Note 2 8 2 2 2 2" xfId="13606"/>
    <cellStyle name="Note 2 2 5 2 2 2 2" xfId="13607"/>
    <cellStyle name="Note 3 6 2 2 2 2" xfId="13608"/>
    <cellStyle name="Note 3 2 6 2 2 2 2" xfId="13609"/>
    <cellStyle name="Note 4 5 2 2 2 2" xfId="13610"/>
    <cellStyle name="Note 4 2 4 2 2 2 2" xfId="13611"/>
    <cellStyle name="Note 5 4 2 2 2 2" xfId="13612"/>
    <cellStyle name="Note 5 2 3 2 2 2 2" xfId="13613"/>
    <cellStyle name="Note 6 4 2 2 2 2" xfId="13614"/>
    <cellStyle name="Note 6 2 3 2 2 2 2" xfId="13615"/>
    <cellStyle name="Note 7 4 2 2 2 2" xfId="13616"/>
    <cellStyle name="Note 7 2 3 2 2 2 2" xfId="13617"/>
    <cellStyle name="Note 8 3 2 2 2 2" xfId="13618"/>
    <cellStyle name="Output 2 9 2 2 2 2" xfId="13619"/>
    <cellStyle name="Output 3 5 2 2 2 2" xfId="13620"/>
    <cellStyle name="Output 4 5 2 2 2 2" xfId="13621"/>
    <cellStyle name="Output 5 4 2 2 2 2" xfId="13622"/>
    <cellStyle name="Total 2 10 2 2 2 2" xfId="13623"/>
    <cellStyle name="Total 3 5 2 2 2 2" xfId="13624"/>
    <cellStyle name="Total 4 5 2 2 2 2" xfId="13625"/>
    <cellStyle name="Total 5 4 2 2 2 2" xfId="13626"/>
    <cellStyle name="Input 20 2 2 2 2" xfId="13627"/>
    <cellStyle name="Input 21 2 2 2 2" xfId="13628"/>
    <cellStyle name="Note 2 9 3 2 2" xfId="13629"/>
    <cellStyle name="Note 2 2 6 3 2 2" xfId="13630"/>
    <cellStyle name="Note 2 3 3 3 2 2" xfId="13631"/>
    <cellStyle name="Note 2 4 3 3 2 2" xfId="13632"/>
    <cellStyle name="Note 3 7 3 2 2" xfId="13633"/>
    <cellStyle name="Note 3 2 7 3 2 2" xfId="13634"/>
    <cellStyle name="Output 2 10 3 2 2" xfId="13635"/>
    <cellStyle name="Output 2 2 5 3 2 2" xfId="13636"/>
    <cellStyle name="Output 2 2 2 2 3 2 2" xfId="13637"/>
    <cellStyle name="Output 2 2 3 2 3 2 2" xfId="13638"/>
    <cellStyle name="Output 2 2 4 2 3 2 2" xfId="13639"/>
    <cellStyle name="Output 2 3 2 3 2 2" xfId="13640"/>
    <cellStyle name="Output 2 4 2 3 2 2" xfId="13641"/>
    <cellStyle name="Output 2 5 2 3 2 2" xfId="13642"/>
    <cellStyle name="Output 3 6 3 2 2" xfId="13643"/>
    <cellStyle name="Input 7 3 3 2 2" xfId="13644"/>
    <cellStyle name="Input 5 6 3 2 2" xfId="13645"/>
    <cellStyle name="Input 3 6 3 2 2" xfId="13646"/>
    <cellStyle name="Input 2 4 3 3 2 2" xfId="13647"/>
    <cellStyle name="Input 2 2 4 3 3 2 2" xfId="13648"/>
    <cellStyle name="Input 2 2 2 3 3 2 2" xfId="13649"/>
    <cellStyle name="Input 2 10 3 2 2" xfId="13650"/>
    <cellStyle name="Calculation 3 6 3 2 2" xfId="13651"/>
    <cellStyle name="Calculation 2 4 3 3 2 2" xfId="13652"/>
    <cellStyle name="Calculation 2 2 4 3 3 2 2" xfId="13653"/>
    <cellStyle name="Calculation 2 2 2 3 3 2 2" xfId="13654"/>
    <cellStyle name="Calculation 2 10 3 2 2" xfId="13655"/>
    <cellStyle name="StmtTtl2 2 3 2 2" xfId="13656"/>
    <cellStyle name="Total 2 11 3 2 2" xfId="13657"/>
    <cellStyle name="Total 2 2 5 3 2 2" xfId="13658"/>
    <cellStyle name="Total 2 2 2 2 3 2 2" xfId="13659"/>
    <cellStyle name="Total 2 2 3 2 3 2 2" xfId="13660"/>
    <cellStyle name="Total 2 2 4 2 3 2 2" xfId="13661"/>
    <cellStyle name="Total 2 3 2 3 2 2" xfId="13662"/>
    <cellStyle name="Total 2 4 2 3 2 2" xfId="13663"/>
    <cellStyle name="Total 2 5 2 3 2 2" xfId="13664"/>
    <cellStyle name="Total 2 6 2 3 2 2" xfId="13665"/>
    <cellStyle name="Total 3 6 3 2 2" xfId="13666"/>
    <cellStyle name="Output 2 5 3 3 2 2" xfId="13667"/>
    <cellStyle name="Output 2 3 3 3 2 2" xfId="13668"/>
    <cellStyle name="Output 2 2 3 3 3 2 2" xfId="13669"/>
    <cellStyle name="Output 2 2 6 3 2 2" xfId="13670"/>
    <cellStyle name="Note 4 7 3 2 2" xfId="13671"/>
    <cellStyle name="Note 3 2 2 3 3 2 2" xfId="13672"/>
    <cellStyle name="Note 3 8 3 2 2" xfId="13673"/>
    <cellStyle name="Note 2 4 4 3 2 2" xfId="13674"/>
    <cellStyle name="Note 2 2 7 3 2 2" xfId="13675"/>
    <cellStyle name="Note 3 2 2 2 3 2 2" xfId="13676"/>
    <cellStyle name="Note 4 6 3 2 2" xfId="13677"/>
    <cellStyle name="Total 3 7 3 2 2" xfId="13678"/>
    <cellStyle name="Total 2 5 3 3 2 2" xfId="13679"/>
    <cellStyle name="Total 2 3 3 3 2 2" xfId="13680"/>
    <cellStyle name="Total 2 2 6 3 2 2" xfId="13681"/>
    <cellStyle name="Total 2 2 2 3 3 2 2" xfId="13682"/>
    <cellStyle name="StmtTtl2 3 3 2 2" xfId="13683"/>
    <cellStyle name="Output 3 7 3 2 2" xfId="13684"/>
    <cellStyle name="Note 2 5 2 3 2 2" xfId="13685"/>
    <cellStyle name="Note 2 2 2 2 3 2 2" xfId="13686"/>
    <cellStyle name="Note 2 3 2 2 3 2 2" xfId="13687"/>
    <cellStyle name="Note 2 4 2 2 3 2 2" xfId="13688"/>
    <cellStyle name="Note 3 3 2 3 2 2" xfId="13689"/>
    <cellStyle name="Input 8 3 3 2 2" xfId="13690"/>
    <cellStyle name="Input 6 4 3 2 2" xfId="13691"/>
    <cellStyle name="Input 4 6 3 2 2" xfId="13692"/>
    <cellStyle name="Input 2 3 3 3 2 2" xfId="13693"/>
    <cellStyle name="Input 2 2 3 3 3 2 2" xfId="13694"/>
    <cellStyle name="Input 2 2 6 3 2 2" xfId="13695"/>
    <cellStyle name="Calculation 2 3 3 3 2 2" xfId="13696"/>
    <cellStyle name="Calculation 2 2 3 3 3 2 2" xfId="13697"/>
    <cellStyle name="Calculation 2 2 6 3 2 2" xfId="13698"/>
    <cellStyle name="Output 2 4 3 3 2 2" xfId="13699"/>
    <cellStyle name="Output 2 2 4 3 3 2 2" xfId="13700"/>
    <cellStyle name="Output 2 2 2 3 3 2 2" xfId="13701"/>
    <cellStyle name="Output 2 11 3 2 2" xfId="13702"/>
    <cellStyle name="Note 3 2 8 3 2 2" xfId="13703"/>
    <cellStyle name="Note 2 3 4 3 2 2" xfId="13704"/>
    <cellStyle name="Note 2 10 3 2 2" xfId="13705"/>
    <cellStyle name="Note 4 2 5 3 2 2" xfId="13706"/>
    <cellStyle name="Style 21 4 2 2" xfId="13707"/>
    <cellStyle name="Style 21 2 4 2 2" xfId="13708"/>
    <cellStyle name="Style 22 4 2 2" xfId="13709"/>
    <cellStyle name="Style 22 2 4 2 2" xfId="13710"/>
    <cellStyle name="Style 23 4 2 2" xfId="13711"/>
    <cellStyle name="Style 23 2 4 2 2" xfId="13712"/>
    <cellStyle name="Style 24 4 2 2" xfId="13713"/>
    <cellStyle name="Style 24 2 4 2 2" xfId="13714"/>
    <cellStyle name="Style 25 4 2 2" xfId="13715"/>
    <cellStyle name="Style 25 2 4 2 2" xfId="13716"/>
    <cellStyle name="Style 26 4 2 2" xfId="13717"/>
    <cellStyle name="Style 26 2 4 2 2" xfId="13718"/>
    <cellStyle name="styleColumnTitles 4 2 2" xfId="13719"/>
    <cellStyle name="styleColumnTitles 2 4 2 2" xfId="13720"/>
    <cellStyle name="styleDateRange 4 2 2" xfId="13721"/>
    <cellStyle name="styleDateRange 2 4 2 2" xfId="13722"/>
    <cellStyle name="styleSeriesAttributes 4 2 2" xfId="13723"/>
    <cellStyle name="styleSeriesAttributes 2 4 2 2" xfId="13724"/>
    <cellStyle name="styleSeriesData 4 2 2" xfId="13725"/>
    <cellStyle name="styleSeriesData 2 4 2 2" xfId="13726"/>
    <cellStyle name="styleSeriesDataForecast 4 2 2" xfId="13727"/>
    <cellStyle name="styleSeriesDataForecast 2 4 2 2" xfId="13728"/>
    <cellStyle name="styleSeriesDataForecastNA 4 2 2" xfId="13729"/>
    <cellStyle name="styleSeriesDataForecastNA 2 4 2 2" xfId="13730"/>
    <cellStyle name="styleSeriesDataNA 4 2 2" xfId="13731"/>
    <cellStyle name="styleSeriesDataNA 2 4 2 2" xfId="13732"/>
    <cellStyle name="Style 21 2 2 3 2 2" xfId="13733"/>
    <cellStyle name="Style 22 2 2 3 2 2" xfId="13734"/>
    <cellStyle name="Style 23 2 2 3 2 2" xfId="13735"/>
    <cellStyle name="Style 24 2 2 3 2 2" xfId="13736"/>
    <cellStyle name="Style 25 2 2 3 2 2" xfId="13737"/>
    <cellStyle name="Style 26 2 2 3 2 2" xfId="13738"/>
    <cellStyle name="styleColumnTitles 2 2 3 2 2" xfId="13739"/>
    <cellStyle name="styleDateRange 2 2 3 2 2" xfId="13740"/>
    <cellStyle name="styleSeriesAttributes 2 2 3 2 2" xfId="13741"/>
    <cellStyle name="styleSeriesData 2 2 3 2 2" xfId="13742"/>
    <cellStyle name="styleSeriesDataForecast 2 2 3 2 2" xfId="13743"/>
    <cellStyle name="styleSeriesDataForecastNA 2 2 3 2 2" xfId="13744"/>
    <cellStyle name="styleSeriesDataNA 2 2 3 2 2" xfId="13745"/>
    <cellStyle name="Total 2 6 3 3 2 2" xfId="13746"/>
    <cellStyle name="Calculation 7 2 3 2 2" xfId="13747"/>
    <cellStyle name="Calculation 2 6 2 3 2 2" xfId="13748"/>
    <cellStyle name="Calculation 3 2 2 3 2 2" xfId="13749"/>
    <cellStyle name="Calculation 4 2 2 3 2 2" xfId="13750"/>
    <cellStyle name="Calculation 5 4 3 2 2" xfId="13751"/>
    <cellStyle name="Output 9 2 3 2 2" xfId="13752"/>
    <cellStyle name="Input 10 2 3 2 2" xfId="13753"/>
    <cellStyle name="Input 2 6 2 3 2 2" xfId="13754"/>
    <cellStyle name="Input 3 2 2 3 2 2" xfId="13755"/>
    <cellStyle name="Input 4 2 2 3 2 2" xfId="13756"/>
    <cellStyle name="Input 5 2 2 3 2 2" xfId="13757"/>
    <cellStyle name="Note 11 2 3 2 2" xfId="13758"/>
    <cellStyle name="Note 2 6 2 3 2 2" xfId="13759"/>
    <cellStyle name="Note 2 2 3 2 3 2 2" xfId="13760"/>
    <cellStyle name="Note 3 4 2 3 2 2" xfId="13761"/>
    <cellStyle name="Note 3 2 4 2 3 2 2" xfId="13762"/>
    <cellStyle name="Note 4 3 2 3 2 2" xfId="13763"/>
    <cellStyle name="Note 4 2 2 2 3 2 2" xfId="13764"/>
    <cellStyle name="Note 5 5 3 2 2" xfId="13765"/>
    <cellStyle name="Note 5 2 4 3 2 2" xfId="13766"/>
    <cellStyle name="Note 6 5 3 2 2" xfId="13767"/>
    <cellStyle name="Note 6 2 4 3 2 2" xfId="13768"/>
    <cellStyle name="Note 7 5 3 2 2" xfId="13769"/>
    <cellStyle name="Note 7 2 4 3 2 2" xfId="13770"/>
    <cellStyle name="Note 8 4 3 2 2" xfId="13771"/>
    <cellStyle name="Note 9 3 3 2 2" xfId="13772"/>
    <cellStyle name="Output 7 2 3 2 2" xfId="13773"/>
    <cellStyle name="Output 2 6 2 3 2 2" xfId="13774"/>
    <cellStyle name="Output 3 2 2 3 2 2" xfId="13775"/>
    <cellStyle name="Output 4 2 2 3 2 2" xfId="13776"/>
    <cellStyle name="Output 5 5 3 2 2" xfId="13777"/>
    <cellStyle name="Total 7 2 3 2 2" xfId="13778"/>
    <cellStyle name="Total 2 7 2 3 2 2" xfId="13779"/>
    <cellStyle name="Total 3 2 2 3 2 2" xfId="13780"/>
    <cellStyle name="Total 4 2 2 3 2 2" xfId="13781"/>
    <cellStyle name="Total 5 5 3 2 2" xfId="13782"/>
    <cellStyle name="Calculation 8 2 3 2 2" xfId="13783"/>
    <cellStyle name="Input 12 2 3 2 2" xfId="13784"/>
    <cellStyle name="Input 11 2 3 2 2" xfId="13785"/>
    <cellStyle name="Calculation 9 2 3 2 2" xfId="13786"/>
    <cellStyle name="Output 8 2 3 2 2" xfId="13787"/>
    <cellStyle name="Total 8 2 3 2 2" xfId="13788"/>
    <cellStyle name="Total 9 2 3 2 2" xfId="13789"/>
    <cellStyle name="Output 5 2 2 3 2 2" xfId="13790"/>
    <cellStyle name="Output 4 3 2 3 2 2" xfId="13791"/>
    <cellStyle name="Output 3 3 2 3 2 2" xfId="13792"/>
    <cellStyle name="Output 2 7 2 3 2 2" xfId="13793"/>
    <cellStyle name="Output 11 2 3 2 2" xfId="13794"/>
    <cellStyle name="Input 5 3 2 3 2 2" xfId="13795"/>
    <cellStyle name="Input 4 3 2 3 2 2" xfId="13796"/>
    <cellStyle name="Input 3 3 2 3 2 2" xfId="13797"/>
    <cellStyle name="Input 2 7 2 3 2 2" xfId="13798"/>
    <cellStyle name="Calculation 10 2 3 2 2" xfId="13799"/>
    <cellStyle name="Input 14 2 3 2 2" xfId="13800"/>
    <cellStyle name="Input 16 2 3 2 2" xfId="13801"/>
    <cellStyle name="Input 17 2 3 2 2" xfId="13802"/>
    <cellStyle name="Input 15 2 3 2 2" xfId="13803"/>
    <cellStyle name="Input 13 2 3 2 2" xfId="13804"/>
    <cellStyle name="Calculation 5 2 2 3 2 2" xfId="13805"/>
    <cellStyle name="Calculation 4 3 2 3 2 2" xfId="13806"/>
    <cellStyle name="Calculation 3 3 2 3 2 2" xfId="13807"/>
    <cellStyle name="Calculation 2 7 2 3 2 2" xfId="13808"/>
    <cellStyle name="Calculation 11 2 3 2 2" xfId="13809"/>
    <cellStyle name="Output 10 2 3 2 2" xfId="13810"/>
    <cellStyle name="Note 12 2 3 2 2" xfId="13811"/>
    <cellStyle name="Note 2 7 2 3 2 2" xfId="13812"/>
    <cellStyle name="Note 2 2 4 2 3 2 2" xfId="13813"/>
    <cellStyle name="Note 3 5 2 3 2 2" xfId="13814"/>
    <cellStyle name="Note 3 2 5 2 3 2 2" xfId="13815"/>
    <cellStyle name="Note 4 4 2 3 2 2" xfId="13816"/>
    <cellStyle name="Note 4 2 3 2 3 2 2" xfId="13817"/>
    <cellStyle name="Note 5 3 2 3 2 2" xfId="13818"/>
    <cellStyle name="Note 5 2 2 2 3 2 2" xfId="13819"/>
    <cellStyle name="Note 6 3 2 3 2 2" xfId="13820"/>
    <cellStyle name="Note 6 2 2 2 3 2 2" xfId="13821"/>
    <cellStyle name="Note 7 3 2 3 2 2" xfId="13822"/>
    <cellStyle name="Note 7 2 2 2 3 2 2" xfId="13823"/>
    <cellStyle name="Note 8 2 2 3 2 2" xfId="13824"/>
    <cellStyle name="Note 9 2 2 3 2 2" xfId="13825"/>
    <cellStyle name="Output 12 2 3 2 2" xfId="13826"/>
    <cellStyle name="Output 2 8 2 3 2 2" xfId="13827"/>
    <cellStyle name="Output 3 4 2 3 2 2" xfId="13828"/>
    <cellStyle name="Output 4 4 2 3 2 2" xfId="13829"/>
    <cellStyle name="Output 5 3 2 3 2 2" xfId="13830"/>
    <cellStyle name="Total 10 2 3 2 2" xfId="13831"/>
    <cellStyle name="Total 11 2 3 2 2" xfId="13832"/>
    <cellStyle name="Total 2 8 2 3 2 2" xfId="13833"/>
    <cellStyle name="Total 3 3 2 3 2 2" xfId="13834"/>
    <cellStyle name="Total 4 3 2 3 2 2" xfId="13835"/>
    <cellStyle name="Total 5 2 2 3 2 2" xfId="13836"/>
    <cellStyle name="Total 12 2 3 2 2" xfId="13837"/>
    <cellStyle name="Total 2 9 2 3 2 2" xfId="13838"/>
    <cellStyle name="Total 3 4 2 3 2 2" xfId="13839"/>
    <cellStyle name="Total 4 4 2 3 2 2" xfId="13840"/>
    <cellStyle name="Total 5 3 2 3 2 2" xfId="13841"/>
    <cellStyle name="Input 18 2 3 2 2" xfId="13842"/>
    <cellStyle name="Calculation 12 2 3 2 2" xfId="13843"/>
    <cellStyle name="Input 19 2 3 2 2" xfId="13844"/>
    <cellStyle name="Note 13 2 3 2 2" xfId="13845"/>
    <cellStyle name="Output 13 2 3 2 2" xfId="13846"/>
    <cellStyle name="Total 13 2 3 2 2" xfId="13847"/>
    <cellStyle name="Calculation 2 8 2 3 2 2" xfId="13848"/>
    <cellStyle name="Calculation 3 4 2 3 2 2" xfId="13849"/>
    <cellStyle name="Calculation 4 4 2 3 2 2" xfId="13850"/>
    <cellStyle name="Calculation 5 3 2 3 2 2" xfId="13851"/>
    <cellStyle name="Input 2 8 2 3 2 2" xfId="13852"/>
    <cellStyle name="Input 3 4 2 3 2 2" xfId="13853"/>
    <cellStyle name="Input 4 4 2 3 2 2" xfId="13854"/>
    <cellStyle name="Input 5 4 2 3 2 2" xfId="13855"/>
    <cellStyle name="Note 2 8 2 3 2 2" xfId="13856"/>
    <cellStyle name="Note 2 2 5 2 3 2 2" xfId="13857"/>
    <cellStyle name="Note 3 6 2 3 2 2" xfId="13858"/>
    <cellStyle name="Note 3 2 6 2 3 2 2" xfId="13859"/>
    <cellStyle name="Note 4 5 2 3 2 2" xfId="13860"/>
    <cellStyle name="Note 4 2 4 2 3 2 2" xfId="13861"/>
    <cellStyle name="Note 5 4 2 3 2 2" xfId="13862"/>
    <cellStyle name="Note 5 2 3 2 3 2 2" xfId="13863"/>
    <cellStyle name="Note 6 4 2 3 2 2" xfId="13864"/>
    <cellStyle name="Note 6 2 3 2 3 2 2" xfId="13865"/>
    <cellStyle name="Note 7 4 2 3 2 2" xfId="13866"/>
    <cellStyle name="Note 7 2 3 2 3 2 2" xfId="13867"/>
    <cellStyle name="Note 8 3 2 3 2 2" xfId="13868"/>
    <cellStyle name="Output 2 9 2 3 2 2" xfId="13869"/>
    <cellStyle name="Output 3 5 2 3 2 2" xfId="13870"/>
    <cellStyle name="Output 4 5 2 3 2 2" xfId="13871"/>
    <cellStyle name="Output 5 4 2 3 2 2" xfId="13872"/>
    <cellStyle name="Total 2 10 2 3 2 2" xfId="13873"/>
    <cellStyle name="Total 3 5 2 3 2 2" xfId="13874"/>
    <cellStyle name="Total 4 5 2 3 2 2" xfId="13875"/>
    <cellStyle name="Total 5 4 2 3 2 2" xfId="13876"/>
    <cellStyle name="Input 20 2 3 2 2" xfId="13877"/>
    <cellStyle name="Input 21 2 3 2 2" xfId="13878"/>
    <cellStyle name="Note 12 2 2 4" xfId="13879"/>
    <cellStyle name="Output 9 2 2 4" xfId="13880"/>
    <cellStyle name="Input 4 6 2 4" xfId="13881"/>
    <cellStyle name="Note 2 4 3 2 4" xfId="13882"/>
    <cellStyle name="Note 2 2 5 4 4" xfId="13883"/>
    <cellStyle name="Input 14 4 4" xfId="13884"/>
    <cellStyle name="Output 3 4 2 2 5" xfId="13885"/>
    <cellStyle name="Output 2 7 2 7" xfId="13886"/>
    <cellStyle name="Calculation 3 2 2 7" xfId="13887"/>
    <cellStyle name="Style 25 8" xfId="13888"/>
    <cellStyle name="Note 3 2 2 2 7" xfId="13889"/>
    <cellStyle name="Output 9 8" xfId="13890"/>
    <cellStyle name="Calculation 2 2 5 2 5" xfId="13891"/>
    <cellStyle name="Input 4 2 5 4" xfId="13892"/>
    <cellStyle name="Note 7 4 9" xfId="13893"/>
    <cellStyle name="Total 2 2 2 4 6" xfId="13894"/>
    <cellStyle name="Total 2 2 7 5" xfId="13895"/>
    <cellStyle name="Input 12 2 2 4" xfId="13896"/>
    <cellStyle name="styleSeriesAttributes 2 3 4" xfId="13897"/>
    <cellStyle name="Total 2 5 2 2 4" xfId="13898"/>
    <cellStyle name="Calculation 2 2 2 2 2 4" xfId="13899"/>
    <cellStyle name="Output 5 3 4 4" xfId="13900"/>
    <cellStyle name="Note 4 2 4 5 4" xfId="13901"/>
    <cellStyle name="Calculation 3 4 2 7" xfId="13902"/>
    <cellStyle name="Note 5 3 2 7" xfId="13903"/>
    <cellStyle name="Output 4 2 2 7" xfId="13904"/>
    <cellStyle name="styleDateRange 2 2 7" xfId="13905"/>
    <cellStyle name="Note 4 2 5 7" xfId="13906"/>
    <cellStyle name="Calculation 7 6 2 2" xfId="13907"/>
    <cellStyle name="Calculation 2 6 6 2 2" xfId="13908"/>
    <cellStyle name="Calculation 3 2 6 2 2" xfId="13909"/>
    <cellStyle name="Calculation 4 2 6 2 2" xfId="13910"/>
    <cellStyle name="Calculation 5 7 2 2" xfId="13911"/>
    <cellStyle name="Output 9 5 2 2" xfId="13912"/>
    <cellStyle name="Input 10 6 2 2" xfId="13913"/>
    <cellStyle name="Input 2 6 6 2 2" xfId="13914"/>
    <cellStyle name="Input 3 2 6 2 2" xfId="13915"/>
    <cellStyle name="Input 4 2 6 2 2" xfId="13916"/>
    <cellStyle name="Input 5 2 6 2 2" xfId="13917"/>
    <cellStyle name="styleSeriesDataNA 2 3 5" xfId="13918"/>
    <cellStyle name="Note 11 5 2 2" xfId="13919"/>
    <cellStyle name="Note 2 6 5 2 2" xfId="13920"/>
    <cellStyle name="Note 2 2 3 5 2 2" xfId="13921"/>
    <cellStyle name="Note 3 4 5 2 2" xfId="13922"/>
    <cellStyle name="Note 3 2 4 5 2 2" xfId="13923"/>
    <cellStyle name="Note 4 3 5 2 2" xfId="13924"/>
    <cellStyle name="Note 4 2 2 5 2 2" xfId="13925"/>
    <cellStyle name="Note 5 8 2 2" xfId="13926"/>
    <cellStyle name="Note 5 2 7 2 2" xfId="13927"/>
    <cellStyle name="Note 6 8 2 2" xfId="13928"/>
    <cellStyle name="Note 6 2 7 2 2" xfId="13929"/>
    <cellStyle name="Note 7 8 2 2" xfId="13930"/>
    <cellStyle name="Note 7 2 7 2 2" xfId="13931"/>
    <cellStyle name="Note 8 7 2 2" xfId="13932"/>
    <cellStyle name="Note 9 6 2 2" xfId="13933"/>
    <cellStyle name="Output 7 5 2 2" xfId="13934"/>
    <cellStyle name="Output 2 6 5 2 2" xfId="13935"/>
    <cellStyle name="Output 3 2 5 2 2" xfId="13936"/>
    <cellStyle name="Output 4 2 5 2 2" xfId="13937"/>
    <cellStyle name="Output 5 8 2 2" xfId="13938"/>
    <cellStyle name="Total 7 5 2 2" xfId="13939"/>
    <cellStyle name="Total 2 7 5 2 2" xfId="13940"/>
    <cellStyle name="Total 3 2 5 2 2" xfId="13941"/>
    <cellStyle name="Total 4 2 5 2 2" xfId="13942"/>
    <cellStyle name="Total 5 8 2 2" xfId="13943"/>
    <cellStyle name="Calculation 8 6 2 2" xfId="13944"/>
    <cellStyle name="Input 12 6 2 2" xfId="13945"/>
    <cellStyle name="Input 11 6 2 2" xfId="13946"/>
    <cellStyle name="Calculation 9 6 2 2" xfId="13947"/>
    <cellStyle name="Output 8 5 2 2" xfId="13948"/>
    <cellStyle name="Total 8 5 2 2" xfId="13949"/>
    <cellStyle name="Total 9 5 2 2" xfId="13950"/>
    <cellStyle name="Calculation 10 2 2 4" xfId="13951"/>
    <cellStyle name="styleSeriesDataForecast 2 2 2 4" xfId="13952"/>
    <cellStyle name="Total 2 3 3 2 4" xfId="13953"/>
    <cellStyle name="Input 5 5 2 4" xfId="13954"/>
    <cellStyle name="Note 13 4 4" xfId="13955"/>
    <cellStyle name="Input 14 5 4" xfId="13956"/>
    <cellStyle name="Note 7 2 3 2 7" xfId="13957"/>
    <cellStyle name="Total 3 3 2 7" xfId="13958"/>
    <cellStyle name="Total 2 7 2 2 5" xfId="13959"/>
    <cellStyle name="Output 2 2 4 3 2 5" xfId="13960"/>
    <cellStyle name="Output 5 2 5 2 2" xfId="13961"/>
    <cellStyle name="Output 4 3 5 2 2" xfId="13962"/>
    <cellStyle name="Output 3 3 5 2 2" xfId="13963"/>
    <cellStyle name="Output 2 7 5 2 2" xfId="13964"/>
    <cellStyle name="Output 11 5 2 2" xfId="13965"/>
    <cellStyle name="Input 5 3 6 2 2" xfId="13966"/>
    <cellStyle name="Input 4 3 6 2 2" xfId="13967"/>
    <cellStyle name="Input 3 3 6 2 2" xfId="13968"/>
    <cellStyle name="Input 2 7 6 2 2" xfId="13969"/>
    <cellStyle name="Calculation 10 6 2 2" xfId="13970"/>
    <cellStyle name="Input 14 6 2 2" xfId="13971"/>
    <cellStyle name="Input 16 6 2 2" xfId="13972"/>
    <cellStyle name="Input 17 6 2 2" xfId="13973"/>
    <cellStyle name="Input 15 6 2 2" xfId="13974"/>
    <cellStyle name="Input 13 6 2 2" xfId="13975"/>
    <cellStyle name="Calculation 5 2 6 2 2" xfId="13976"/>
    <cellStyle name="Calculation 4 3 6 2 2" xfId="13977"/>
    <cellStyle name="Calculation 3 3 6 2 2" xfId="13978"/>
    <cellStyle name="Calculation 2 7 6 2 2" xfId="13979"/>
    <cellStyle name="Calculation 11 6 2 2" xfId="13980"/>
    <cellStyle name="Total 13 3 5" xfId="13981"/>
    <cellStyle name="Total 13 2 2 5" xfId="13982"/>
    <cellStyle name="Output 10 5 2 2" xfId="13983"/>
    <cellStyle name="Note 12 5 2 2" xfId="13984"/>
    <cellStyle name="Note 2 7 5 2 2" xfId="13985"/>
    <cellStyle name="Note 2 2 4 5 2 2" xfId="13986"/>
    <cellStyle name="Note 3 5 5 2 2" xfId="13987"/>
    <cellStyle name="Note 3 2 5 5 2 2" xfId="13988"/>
    <cellStyle name="Note 4 4 5 2 2" xfId="13989"/>
    <cellStyle name="Note 4 2 3 5 2 2" xfId="13990"/>
    <cellStyle name="Note 5 3 5 2 2" xfId="13991"/>
    <cellStyle name="Note 5 2 2 5 2 2" xfId="13992"/>
    <cellStyle name="Note 6 3 5 2 2" xfId="13993"/>
    <cellStyle name="Note 6 2 2 5 2 2" xfId="13994"/>
    <cellStyle name="Note 7 3 5 2 2" xfId="13995"/>
    <cellStyle name="Note 7 2 2 5 2 2" xfId="13996"/>
    <cellStyle name="Note 8 2 5 2 2" xfId="13997"/>
    <cellStyle name="Note 9 2 5 2 2" xfId="13998"/>
    <cellStyle name="Output 12 5 2 2" xfId="13999"/>
    <cellStyle name="Output 2 8 5 2 2" xfId="14000"/>
    <cellStyle name="Output 3 4 5 2 2" xfId="14001"/>
    <cellStyle name="Output 4 4 5 2 2" xfId="14002"/>
    <cellStyle name="Output 5 3 5 2 2" xfId="14003"/>
    <cellStyle name="Total 10 5 2 2" xfId="14004"/>
    <cellStyle name="Total 11 5 2 2" xfId="14005"/>
    <cellStyle name="Total 2 8 5 2 2" xfId="14006"/>
    <cellStyle name="Total 3 3 5 2 2" xfId="14007"/>
    <cellStyle name="Total 4 3 5 2 2" xfId="14008"/>
    <cellStyle name="Total 5 2 5 2 2" xfId="14009"/>
    <cellStyle name="Total 12 5 2 2" xfId="14010"/>
    <cellStyle name="Total 2 9 5 2 2" xfId="14011"/>
    <cellStyle name="Total 3 4 5 2 2" xfId="14012"/>
    <cellStyle name="Total 4 4 5 2 2" xfId="14013"/>
    <cellStyle name="Total 5 3 5 2 2" xfId="14014"/>
    <cellStyle name="Calculation 10 5 4" xfId="14015"/>
    <cellStyle name="Style 21 2 2 2 4" xfId="14016"/>
    <cellStyle name="Output 2 2 6 2 4" xfId="14017"/>
    <cellStyle name="Input 2 9 2 4" xfId="14018"/>
    <cellStyle name="Total 3 4 4 4" xfId="14019"/>
    <cellStyle name="Calculation 9 4 4" xfId="14020"/>
    <cellStyle name="Note 2 2 5 2 7" xfId="14021"/>
    <cellStyle name="Output 2 8 2 7" xfId="14022"/>
    <cellStyle name="Input 12 2 7" xfId="14023"/>
    <cellStyle name="Output 2 2 6 7" xfId="14024"/>
    <cellStyle name="Input 18 6 2 2" xfId="14025"/>
    <cellStyle name="Input 2 2 2 3 3 5" xfId="14026"/>
    <cellStyle name="Calculation 12 6 2 2" xfId="14027"/>
    <cellStyle name="Input 19 6 2 2" xfId="14028"/>
    <cellStyle name="Note 13 6 2 2" xfId="14029"/>
    <cellStyle name="Output 13 6 2 2" xfId="14030"/>
    <cellStyle name="Total 13 6 2 2" xfId="14031"/>
    <cellStyle name="Note 2 2 3 3 4" xfId="14032"/>
    <cellStyle name="Style 22 2 9" xfId="14033"/>
    <cellStyle name="Calculation 2 8 6 2 2" xfId="14034"/>
    <cellStyle name="Calculation 3 4 6 2 2" xfId="14035"/>
    <cellStyle name="Calculation 4 4 6 2 2" xfId="14036"/>
    <cellStyle name="Calculation 5 3 6 2 2" xfId="14037"/>
    <cellStyle name="Input 2 8 6 2 2" xfId="14038"/>
    <cellStyle name="Input 3 4 6 2 2" xfId="14039"/>
    <cellStyle name="Input 4 4 6 2 2" xfId="14040"/>
    <cellStyle name="Input 5 4 6 2 2" xfId="14041"/>
    <cellStyle name="Input 5 5 8" xfId="14042"/>
    <cellStyle name="Note 2 8 6 2 2" xfId="14043"/>
    <cellStyle name="Note 2 2 5 6 2 2" xfId="14044"/>
    <cellStyle name="Note 3 6 6 2 2" xfId="14045"/>
    <cellStyle name="Note 3 2 6 6 2 2" xfId="14046"/>
    <cellStyle name="Note 4 5 6 2 2" xfId="14047"/>
    <cellStyle name="Note 4 2 4 6 2 2" xfId="14048"/>
    <cellStyle name="Note 5 4 6 2 2" xfId="14049"/>
    <cellStyle name="Note 5 2 3 6 2 2" xfId="14050"/>
    <cellStyle name="Note 6 4 6 2 2" xfId="14051"/>
    <cellStyle name="Note 6 2 3 6 2 2" xfId="14052"/>
    <cellStyle name="Note 7 4 6 2 2" xfId="14053"/>
    <cellStyle name="Note 7 2 3 6 2 2" xfId="14054"/>
    <cellStyle name="Note 8 3 6 2 2" xfId="14055"/>
    <cellStyle name="Output 2 9 6 2 2" xfId="14056"/>
    <cellStyle name="Output 3 5 6 2 2" xfId="14057"/>
    <cellStyle name="Output 4 5 6 2 2" xfId="14058"/>
    <cellStyle name="Output 5 4 6 2 2" xfId="14059"/>
    <cellStyle name="Total 2 10 6 2 2" xfId="14060"/>
    <cellStyle name="Total 3 5 6 2 2" xfId="14061"/>
    <cellStyle name="Total 4 5 6 2 2" xfId="14062"/>
    <cellStyle name="Total 5 4 6 2 2" xfId="14063"/>
    <cellStyle name="Input 20 6 2 2" xfId="14064"/>
    <cellStyle name="Input 3 2 3 4" xfId="14065"/>
    <cellStyle name="Note 3 5 2 8" xfId="14066"/>
    <cellStyle name="Output 2 2 5 8" xfId="14067"/>
    <cellStyle name="StmtTtl2 4 5" xfId="14068"/>
    <cellStyle name="Input 21 6 2 2" xfId="14069"/>
    <cellStyle name="Calculation 2 5 3 3 4" xfId="14070"/>
    <cellStyle name="styleColumnTitles 2 3 5" xfId="14071"/>
    <cellStyle name="Note 3 2 5 2 8" xfId="14072"/>
    <cellStyle name="Input 10 3 2 2 2" xfId="14073"/>
    <cellStyle name="Input 2 4 4 2 2 2" xfId="14074"/>
    <cellStyle name="Input 7 4 2 2 2" xfId="14075"/>
    <cellStyle name="Note 4 2 6 4 2 2" xfId="14076"/>
    <cellStyle name="Note 3 3 3 4 2 2" xfId="14077"/>
    <cellStyle name="Note 2 5 3 4 2 2" xfId="14078"/>
    <cellStyle name="Note 2 4 2 3 4 2 2" xfId="14079"/>
    <cellStyle name="Note 2 3 2 3 4 2 2" xfId="14080"/>
    <cellStyle name="Note 2 2 2 3 4 2 2" xfId="14081"/>
    <cellStyle name="Input 6 6 2 2" xfId="14082"/>
    <cellStyle name="Input 4 7 2 2" xfId="14083"/>
    <cellStyle name="Input 2 4 5 2 2" xfId="14084"/>
    <cellStyle name="Input 2 2 4 5 2 2" xfId="14085"/>
    <cellStyle name="Input 2 2 2 5 2 2" xfId="14086"/>
    <cellStyle name="Input 2 12 2 2" xfId="14087"/>
    <cellStyle name="Input 24 2 2" xfId="14088"/>
    <cellStyle name="Note 14 2 2" xfId="14089"/>
    <cellStyle name="Note 2 11 2 2" xfId="14090"/>
    <cellStyle name="Note 2 2 8 2 2" xfId="14091"/>
    <cellStyle name="Calculation 2 9 4 2 2" xfId="14092"/>
    <cellStyle name="Calculation 2 2 5 4 2 2" xfId="14093"/>
    <cellStyle name="Calculation 2 2 2 2 4 2 2" xfId="14094"/>
    <cellStyle name="Calculation 2 2 3 2 4 2 2" xfId="14095"/>
    <cellStyle name="Calculation 2 2 4 2 4 2 2" xfId="14096"/>
    <cellStyle name="Calculation 2 3 2 4 2 2" xfId="14097"/>
    <cellStyle name="Calculation 2 4 2 4 2 2" xfId="14098"/>
    <cellStyle name="Calculation 2 5 2 4 2 2" xfId="14099"/>
    <cellStyle name="Calculation 3 5 4 2 2" xfId="14100"/>
    <cellStyle name="Note 3 2 10 2 2" xfId="14101"/>
    <cellStyle name="Note 3 2 2 5 2 2" xfId="14102"/>
    <cellStyle name="Note 4 8 2 2" xfId="14103"/>
    <cellStyle name="Output 3 8 2 2 2" xfId="14104"/>
    <cellStyle name="Calculation 2 3 5 2 2" xfId="14105"/>
    <cellStyle name="Calculation 2 2 4 5 2 2" xfId="14106"/>
    <cellStyle name="Calculation 2 2 3 5 2 2" xfId="14107"/>
    <cellStyle name="Calculation 2 2 2 5 2 2" xfId="14108"/>
    <cellStyle name="Calculation 2 2 8 2 2" xfId="14109"/>
    <cellStyle name="Calculation 13 2 2" xfId="14110"/>
    <cellStyle name="Calculation 4 2 4 4" xfId="14111"/>
    <cellStyle name="Output 4 5 9" xfId="14112"/>
    <cellStyle name="Total 4 5 4 5" xfId="14113"/>
    <cellStyle name="Total 2 2 2 4 2 2 2" xfId="14114"/>
    <cellStyle name="Total 2 2 4 4 2 2 2" xfId="14115"/>
    <cellStyle name="Total 14 2 2" xfId="14116"/>
    <cellStyle name="Header2 2 4 2 2" xfId="14117"/>
    <cellStyle name="Input 2 5 3 4 2 2" xfId="14118"/>
    <cellStyle name="Input 2 9 4 2 2" xfId="14119"/>
    <cellStyle name="Input 2 2 5 4 2 2" xfId="14120"/>
    <cellStyle name="Input 2 2 2 2 4 2 2" xfId="14121"/>
    <cellStyle name="Input 2 2 3 2 4 2 2" xfId="14122"/>
    <cellStyle name="Input 2 2 4 2 4 2 2" xfId="14123"/>
    <cellStyle name="Input 2 3 2 4 2 2" xfId="14124"/>
    <cellStyle name="Input 2 4 2 4 2 2" xfId="14125"/>
    <cellStyle name="Input 2 5 2 4 2 2" xfId="14126"/>
    <cellStyle name="Input 3 5 4 2 2" xfId="14127"/>
    <cellStyle name="Input 4 5 4 2 2" xfId="14128"/>
    <cellStyle name="Input 5 5 4 2 2" xfId="14129"/>
    <cellStyle name="Input 6 3 4 2 2" xfId="14130"/>
    <cellStyle name="Input 7 2 4 2 2" xfId="14131"/>
    <cellStyle name="Input 8 2 4 2 2" xfId="14132"/>
    <cellStyle name="Calculation 3 6 8" xfId="14133"/>
    <cellStyle name="Output 3 3 2 8" xfId="14134"/>
    <cellStyle name="Calculation 2 5 3 4 2 2" xfId="14135"/>
    <cellStyle name="Total 2 6 4 5" xfId="14136"/>
    <cellStyle name="Total 2 4 3 4 2 2" xfId="14137"/>
    <cellStyle name="Total 2 2 4 3 4 2 2" xfId="14138"/>
    <cellStyle name="Total 2 2 3 3 4 2 2" xfId="14139"/>
    <cellStyle name="Total 2 12 4 2 2" xfId="14140"/>
    <cellStyle name="Output 14 2 2" xfId="14141"/>
    <cellStyle name="Note 2 4 6 2 2" xfId="14142"/>
    <cellStyle name="Calculation 2 2 7 2 2 2" xfId="14143"/>
    <cellStyle name="Calculation 2 2 4 4 2 2 2" xfId="14144"/>
    <cellStyle name="Header2 3 2 2 2" xfId="14145"/>
    <cellStyle name="Input 2 2 7 2 2 2" xfId="14146"/>
    <cellStyle name="Input 2 3 4 2 2 2" xfId="14147"/>
    <cellStyle name="Input [yellow] 3 2 2" xfId="14148"/>
    <cellStyle name="Total 2 2 7 2 2 2" xfId="14149"/>
    <cellStyle name="Total 2 4 4 2 2 2" xfId="14150"/>
    <cellStyle name="Note 2 9 4 2 2" xfId="14151"/>
    <cellStyle name="Note 2 2 6 4 2 2" xfId="14152"/>
    <cellStyle name="Note 2 3 3 4 2 2" xfId="14153"/>
    <cellStyle name="Note 2 4 3 4 2 2" xfId="14154"/>
    <cellStyle name="Note 3 7 4 2 2" xfId="14155"/>
    <cellStyle name="Note 3 2 7 4 2 2" xfId="14156"/>
    <cellStyle name="Output 2 10 4 2 2" xfId="14157"/>
    <cellStyle name="Output 2 2 5 4 2 2" xfId="14158"/>
    <cellStyle name="Output 2 2 2 2 4 2 2" xfId="14159"/>
    <cellStyle name="Output 2 2 3 2 4 2 2" xfId="14160"/>
    <cellStyle name="Output 2 2 4 2 4 2 2" xfId="14161"/>
    <cellStyle name="Output 2 3 2 4 2 2" xfId="14162"/>
    <cellStyle name="Output 2 4 2 4 2 2" xfId="14163"/>
    <cellStyle name="Output 2 5 2 4 2 2" xfId="14164"/>
    <cellStyle name="Output 3 6 4 2 2" xfId="14165"/>
    <cellStyle name="Input 7 3 4 2 2" xfId="14166"/>
    <cellStyle name="Input 5 6 4 2 2" xfId="14167"/>
    <cellStyle name="Input 3 6 4 2 2" xfId="14168"/>
    <cellStyle name="Input 2 4 3 4 2 2" xfId="14169"/>
    <cellStyle name="Input 2 2 4 3 4 2 2" xfId="14170"/>
    <cellStyle name="Input 2 2 2 3 4 2 2" xfId="14171"/>
    <cellStyle name="Input 2 10 4 2 2" xfId="14172"/>
    <cellStyle name="Calculation 3 6 4 2 2" xfId="14173"/>
    <cellStyle name="Calculation 2 4 3 4 2 2" xfId="14174"/>
    <cellStyle name="Calculation 2 2 4 3 4 2 2" xfId="14175"/>
    <cellStyle name="Calculation 2 2 2 3 4 2 2" xfId="14176"/>
    <cellStyle name="Calculation 2 10 4 2 2" xfId="14177"/>
    <cellStyle name="StmtTtl2 2 4 2 2" xfId="14178"/>
    <cellStyle name="Total 2 11 4 2 2" xfId="14179"/>
    <cellStyle name="Total 2 2 5 4 2 2" xfId="14180"/>
    <cellStyle name="Total 2 2 2 2 4 2 2" xfId="14181"/>
    <cellStyle name="Total 2 2 3 2 4 2 2" xfId="14182"/>
    <cellStyle name="Total 2 2 4 2 4 2 2" xfId="14183"/>
    <cellStyle name="Total 2 3 2 4 2 2" xfId="14184"/>
    <cellStyle name="Total 2 4 2 4 2 2" xfId="14185"/>
    <cellStyle name="Total 2 5 2 4 2 2" xfId="14186"/>
    <cellStyle name="Total 2 6 2 4 2 2" xfId="14187"/>
    <cellStyle name="Total 3 6 4 2 2" xfId="14188"/>
    <cellStyle name="Note 4 4 2 2 4" xfId="14189"/>
    <cellStyle name="Input 5 2 2 2 4" xfId="14190"/>
    <cellStyle name="Calculation 2 2 3 3 2 4" xfId="14191"/>
    <cellStyle name="Output 2 2 2 2 2 4" xfId="14192"/>
    <cellStyle name="Note 5 4 4 4" xfId="14193"/>
    <cellStyle name="Calculation 5 2 4 4" xfId="14194"/>
    <cellStyle name="Note 4 2 3 4 5" xfId="14195"/>
    <cellStyle name="Input 4 3 2 7" xfId="14196"/>
    <cellStyle name="Input 2 6 2 7" xfId="14197"/>
    <cellStyle name="styleColumnTitles 2 8" xfId="14198"/>
    <cellStyle name="Total 2 5 3 7" xfId="14199"/>
    <cellStyle name="Output 2 5 3 4 2 2" xfId="14200"/>
    <cellStyle name="Input 8 5 2 2" xfId="14201"/>
    <cellStyle name="Note 3 9 2 2" xfId="14202"/>
    <cellStyle name="Note 2 3 5 2 2 2" xfId="14203"/>
    <cellStyle name="Note 2 4 5 2 2 2" xfId="14204"/>
    <cellStyle name="Note 3 2 9 2 2 2" xfId="14205"/>
    <cellStyle name="Output 2 12 2 2 2" xfId="14206"/>
    <cellStyle name="Output 2 2 7 2 2 2" xfId="14207"/>
    <cellStyle name="Output 2 2 2 4 2 2 2" xfId="14208"/>
    <cellStyle name="Output 2 3 4 2 2 2" xfId="14209"/>
    <cellStyle name="Output 2 4 4 2 2 2" xfId="14210"/>
    <cellStyle name="Calculation 2 4 4 2 2 2" xfId="14211"/>
    <cellStyle name="Input 2 2 2 4 2 2 2" xfId="14212"/>
    <cellStyle name="Output 2 3 3 4 2 2" xfId="14213"/>
    <cellStyle name="Output 2 2 3 3 4 2 2" xfId="14214"/>
    <cellStyle name="Output 2 2 6 4 2 2" xfId="14215"/>
    <cellStyle name="Note 4 7 4 2 2" xfId="14216"/>
    <cellStyle name="Note 3 2 2 3 4 2 2" xfId="14217"/>
    <cellStyle name="Note 3 8 4 2 2" xfId="14218"/>
    <cellStyle name="Note 2 4 4 4 2 2" xfId="14219"/>
    <cellStyle name="Note 2 2 7 4 2 2" xfId="14220"/>
    <cellStyle name="Input 7 5 2 2" xfId="14221"/>
    <cellStyle name="Input 3 7 2 2" xfId="14222"/>
    <cellStyle name="Input 2 2 3 5 2 2" xfId="14223"/>
    <cellStyle name="Note 3 2 2 2 4 2 2" xfId="14224"/>
    <cellStyle name="Note 4 6 4 2 2" xfId="14225"/>
    <cellStyle name="Calculation 11 5 4" xfId="14226"/>
    <cellStyle name="Calculation 2 12 2 2" xfId="14227"/>
    <cellStyle name="Calculation 2 4 5 2 2" xfId="14228"/>
    <cellStyle name="Total 2 13 2 2 2" xfId="14229"/>
    <cellStyle name="Total 3 8 2 2 2" xfId="14230"/>
    <cellStyle name="Total 2 3 4 2 2 2" xfId="14231"/>
    <cellStyle name="Total 3 7 4 2 2" xfId="14232"/>
    <cellStyle name="Total 2 5 3 4 2 2" xfId="14233"/>
    <cellStyle name="Total 2 3 3 4 2 2" xfId="14234"/>
    <cellStyle name="Total 2 2 6 4 2 2" xfId="14235"/>
    <cellStyle name="Total 2 2 2 3 4 2 2" xfId="14236"/>
    <cellStyle name="StmtTtl2 3 4 2 2" xfId="14237"/>
    <cellStyle name="Calculation 2 11 2 2 2" xfId="14238"/>
    <cellStyle name="Input 23 2 2" xfId="14239"/>
    <cellStyle name="Input 2 11 2 2 2" xfId="14240"/>
    <cellStyle name="Input 2 2 4 4 2 2 2" xfId="14241"/>
    <cellStyle name="Input 8 4 2 2 2" xfId="14242"/>
    <cellStyle name="Output 3 7 4 2 2" xfId="14243"/>
    <cellStyle name="Input 22 2 2" xfId="14244"/>
    <cellStyle name="Header2 4 2 2 2" xfId="14245"/>
    <cellStyle name="StmtTtl2 4 2 2 2" xfId="14246"/>
    <cellStyle name="Total 2 2 3 4 2 2 2" xfId="14247"/>
    <cellStyle name="Total 2 5 4 2 2 2" xfId="14248"/>
    <cellStyle name="Note 2 5 2 4 2 2" xfId="14249"/>
    <cellStyle name="Note 2 2 2 2 4 2 2" xfId="14250"/>
    <cellStyle name="Note 2 3 2 2 4 2 2" xfId="14251"/>
    <cellStyle name="Note 2 4 2 2 4 2 2" xfId="14252"/>
    <cellStyle name="Note 3 3 2 4 2 2" xfId="14253"/>
    <cellStyle name="Input 8 3 4 2 2" xfId="14254"/>
    <cellStyle name="Input 6 4 4 2 2" xfId="14255"/>
    <cellStyle name="Input 4 6 4 2 2" xfId="14256"/>
    <cellStyle name="Input 2 3 3 4 2 2" xfId="14257"/>
    <cellStyle name="Input 2 2 3 3 4 2 2" xfId="14258"/>
    <cellStyle name="Input 2 2 6 4 2 2" xfId="14259"/>
    <cellStyle name="Calculation 2 3 3 4 2 2" xfId="14260"/>
    <cellStyle name="Calculation 2 2 3 3 4 2 2" xfId="14261"/>
    <cellStyle name="Calculation 2 2 6 4 2 2" xfId="14262"/>
    <cellStyle name="Calculation 3 8 2 2" xfId="14263"/>
    <cellStyle name="Note 3 2 2 4 2 2 2" xfId="14264"/>
    <cellStyle name="Output 2 2 4 4 2 2 2" xfId="14265"/>
    <cellStyle name="Output 2 2 3 4 2 2 2" xfId="14266"/>
    <cellStyle name="Input 2 2 3 4 2 2 2" xfId="14267"/>
    <cellStyle name="Output 2 4 3 4 2 2" xfId="14268"/>
    <cellStyle name="Output 2 2 4 3 4 2 2" xfId="14269"/>
    <cellStyle name="Output 2 2 2 3 4 2 2" xfId="14270"/>
    <cellStyle name="Output 2 11 4 2 2" xfId="14271"/>
    <cellStyle name="Note 3 2 8 4 2 2" xfId="14272"/>
    <cellStyle name="Note 2 3 4 4 2 2" xfId="14273"/>
    <cellStyle name="Note 2 10 4 2 2" xfId="14274"/>
    <cellStyle name="Input 5 8 2 2" xfId="14275"/>
    <cellStyle name="Input 2 3 5 2 2" xfId="14276"/>
    <cellStyle name="Input 2 2 8 2 2" xfId="14277"/>
    <cellStyle name="Note 4 2 5 4 2 2" xfId="14278"/>
    <cellStyle name="Style 21 5 2 2" xfId="14279"/>
    <cellStyle name="Style 21 2 5 2 2" xfId="14280"/>
    <cellStyle name="Style 22 5 2 2" xfId="14281"/>
    <cellStyle name="Style 22 2 5 2 2" xfId="14282"/>
    <cellStyle name="Style 23 5 2 2" xfId="14283"/>
    <cellStyle name="Style 23 2 5 2 2" xfId="14284"/>
    <cellStyle name="Style 24 5 2 2" xfId="14285"/>
    <cellStyle name="Style 24 2 5 2 2" xfId="14286"/>
    <cellStyle name="Style 25 5 2 2" xfId="14287"/>
    <cellStyle name="Style 25 2 5 2 2" xfId="14288"/>
    <cellStyle name="Style 26 5 2 2" xfId="14289"/>
    <cellStyle name="Style 26 2 5 2 2" xfId="14290"/>
    <cellStyle name="styleColumnTitles 5 2 2" xfId="14291"/>
    <cellStyle name="styleColumnTitles 2 5 2 2" xfId="14292"/>
    <cellStyle name="styleDateRange 5 2 2" xfId="14293"/>
    <cellStyle name="styleDateRange 2 5 2 2" xfId="14294"/>
    <cellStyle name="styleSeriesAttributes 5 2 2" xfId="14295"/>
    <cellStyle name="styleSeriesAttributes 2 5 2 2" xfId="14296"/>
    <cellStyle name="styleSeriesData 5 2 2" xfId="14297"/>
    <cellStyle name="styleSeriesData 2 5 2 2" xfId="14298"/>
    <cellStyle name="styleSeriesDataForecast 5 2 2" xfId="14299"/>
    <cellStyle name="styleSeriesDataForecast 2 5 2 2" xfId="14300"/>
    <cellStyle name="styleSeriesDataForecastNA 5 2 2" xfId="14301"/>
    <cellStyle name="styleSeriesDataForecastNA 2 5 2 2" xfId="14302"/>
    <cellStyle name="styleSeriesDataNA 5 2 2" xfId="14303"/>
    <cellStyle name="styleSeriesDataNA 2 5 2 2" xfId="14304"/>
    <cellStyle name="Style 21 2 2 4 2 2" xfId="14305"/>
    <cellStyle name="Style 22 2 2 4 2 2" xfId="14306"/>
    <cellStyle name="Style 23 2 2 4 2 2" xfId="14307"/>
    <cellStyle name="Style 24 2 2 4 2 2" xfId="14308"/>
    <cellStyle name="Style 25 2 2 4 2 2" xfId="14309"/>
    <cellStyle name="Style 26 2 2 4 2 2" xfId="14310"/>
    <cellStyle name="styleColumnTitles 2 2 4 2 2" xfId="14311"/>
    <cellStyle name="styleDateRange 2 2 4 2 2" xfId="14312"/>
    <cellStyle name="styleSeriesAttributes 2 2 4 2 2" xfId="14313"/>
    <cellStyle name="styleSeriesData 2 2 4 2 2" xfId="14314"/>
    <cellStyle name="styleSeriesDataForecast 2 2 4 2 2" xfId="14315"/>
    <cellStyle name="styleSeriesDataForecastNA 2 2 4 2 2" xfId="14316"/>
    <cellStyle name="styleSeriesDataNA 2 2 4 2 2" xfId="14317"/>
    <cellStyle name="Calculation 3 7 2 2 2" xfId="14318"/>
    <cellStyle name="Calculation 2 3 4 2 2 2" xfId="14319"/>
    <cellStyle name="Calculation 2 2 3 4 2 2 2" xfId="14320"/>
    <cellStyle name="Calculation 2 2 2 4 2 2 2" xfId="14321"/>
    <cellStyle name="Note 2 3 6 2 2" xfId="14322"/>
    <cellStyle name="Total 2 6 3 4 2 2" xfId="14323"/>
    <cellStyle name="Output 2 5 2 8" xfId="14324"/>
    <cellStyle name="Output 3 8 6" xfId="14325"/>
    <cellStyle name="Total 2 4 4 5" xfId="14326"/>
    <cellStyle name="Total 9 2 2 4" xfId="14327"/>
    <cellStyle name="styleSeriesDataForecastNA 3 4" xfId="14328"/>
    <cellStyle name="Input 12 5 4" xfId="14329"/>
    <cellStyle name="Calculation 2 5 2 2 4" xfId="14330"/>
    <cellStyle name="Total 4 3 4 4" xfId="14331"/>
    <cellStyle name="Total 5 7 4" xfId="14332"/>
    <cellStyle name="Input 4 4 2 7" xfId="14333"/>
    <cellStyle name="Note 7 2 2 2 7" xfId="14334"/>
    <cellStyle name="Total 3 2 2 7" xfId="14335"/>
    <cellStyle name="styleSeriesDataForecast 2 2 7" xfId="14336"/>
    <cellStyle name="Calculation 7 2 4 2 2" xfId="14337"/>
    <cellStyle name="Calculation 2 6 2 4 2 2" xfId="14338"/>
    <cellStyle name="Calculation 3 2 2 4 2 2" xfId="14339"/>
    <cellStyle name="Calculation 4 2 2 4 2 2" xfId="14340"/>
    <cellStyle name="Calculation 5 4 4 2 2" xfId="14341"/>
    <cellStyle name="Output 9 2 4 2 2" xfId="14342"/>
    <cellStyle name="Input 10 2 4 2 2" xfId="14343"/>
    <cellStyle name="Input 2 6 2 4 2 2" xfId="14344"/>
    <cellStyle name="Input 3 2 2 4 2 2" xfId="14345"/>
    <cellStyle name="Input 4 2 2 4 2 2" xfId="14346"/>
    <cellStyle name="Input 5 2 2 4 2 2" xfId="14347"/>
    <cellStyle name="Calculation 2 6 9" xfId="14348"/>
    <cellStyle name="Output 2 2 3 3 2 5" xfId="14349"/>
    <cellStyle name="Note 11 2 4 2 2" xfId="14350"/>
    <cellStyle name="Note 2 6 2 4 2 2" xfId="14351"/>
    <cellStyle name="Note 2 2 3 2 4 2 2" xfId="14352"/>
    <cellStyle name="Note 3 4 2 4 2 2" xfId="14353"/>
    <cellStyle name="Note 3 2 4 2 4 2 2" xfId="14354"/>
    <cellStyle name="Note 4 3 2 4 2 2" xfId="14355"/>
    <cellStyle name="Note 4 2 2 2 4 2 2" xfId="14356"/>
    <cellStyle name="Note 5 5 4 2 2" xfId="14357"/>
    <cellStyle name="Note 5 2 4 4 2 2" xfId="14358"/>
    <cellStyle name="Note 6 5 4 2 2" xfId="14359"/>
    <cellStyle name="Note 6 2 4 4 2 2" xfId="14360"/>
    <cellStyle name="Note 7 5 4 2 2" xfId="14361"/>
    <cellStyle name="Note 7 2 4 4 2 2" xfId="14362"/>
    <cellStyle name="Note 8 4 4 2 2" xfId="14363"/>
    <cellStyle name="Note 9 3 4 2 2" xfId="14364"/>
    <cellStyle name="Output 7 2 4 2 2" xfId="14365"/>
    <cellStyle name="Output 2 6 2 4 2 2" xfId="14366"/>
    <cellStyle name="Output 3 2 2 4 2 2" xfId="14367"/>
    <cellStyle name="Output 4 2 2 4 2 2" xfId="14368"/>
    <cellStyle name="Output 5 5 4 2 2" xfId="14369"/>
    <cellStyle name="Input 5 7 2 2 2" xfId="14370"/>
    <cellStyle name="Input 6 5 2 2 2" xfId="14371"/>
    <cellStyle name="Total 7 2 4 2 2" xfId="14372"/>
    <cellStyle name="Total 2 7 2 4 2 2" xfId="14373"/>
    <cellStyle name="Total 3 2 2 4 2 2" xfId="14374"/>
    <cellStyle name="Total 4 2 2 4 2 2" xfId="14375"/>
    <cellStyle name="Total 5 5 4 2 2" xfId="14376"/>
    <cellStyle name="Calculation 8 2 4 2 2" xfId="14377"/>
    <cellStyle name="Input 12 2 4 2 2" xfId="14378"/>
    <cellStyle name="Input 11 2 4 2 2" xfId="14379"/>
    <cellStyle name="Calculation 9 2 4 2 2" xfId="14380"/>
    <cellStyle name="Output 8 2 4 2 2" xfId="14381"/>
    <cellStyle name="Total 8 2 4 2 2" xfId="14382"/>
    <cellStyle name="Total 9 2 4 2 2" xfId="14383"/>
    <cellStyle name="Input 13 2 2 4" xfId="14384"/>
    <cellStyle name="Note 5 2 3 5 4" xfId="14385"/>
    <cellStyle name="Note 2 5 2 2 4" xfId="14386"/>
    <cellStyle name="Total 2 4 3 2 4" xfId="14387"/>
    <cellStyle name="Calculation 4 4 4 4" xfId="14388"/>
    <cellStyle name="Output 2 7 4 4" xfId="14389"/>
    <cellStyle name="Output 5 4 2 7" xfId="14390"/>
    <cellStyle name="Output 7 4 5" xfId="14391"/>
    <cellStyle name="Output 5 2 2 4 2 2" xfId="14392"/>
    <cellStyle name="Output 4 3 2 4 2 2" xfId="14393"/>
    <cellStyle name="Output 3 3 2 4 2 2" xfId="14394"/>
    <cellStyle name="Output 2 7 2 4 2 2" xfId="14395"/>
    <cellStyle name="Output 11 2 4 2 2" xfId="14396"/>
    <cellStyle name="Style 21 2 8" xfId="14397"/>
    <cellStyle name="Input 5 3 2 4 2 2" xfId="14398"/>
    <cellStyle name="Input 4 3 2 4 2 2" xfId="14399"/>
    <cellStyle name="Input 3 3 2 4 2 2" xfId="14400"/>
    <cellStyle name="Input 2 7 2 4 2 2" xfId="14401"/>
    <cellStyle name="Calculation 10 2 4 2 2" xfId="14402"/>
    <cellStyle name="Input 14 2 4 2 2" xfId="14403"/>
    <cellStyle name="Input 16 2 4 2 2" xfId="14404"/>
    <cellStyle name="Input 17 2 4 2 2" xfId="14405"/>
    <cellStyle name="Input 15 2 4 2 2" xfId="14406"/>
    <cellStyle name="Input 13 2 4 2 2" xfId="14407"/>
    <cellStyle name="Calculation 5 2 2 4 2 2" xfId="14408"/>
    <cellStyle name="Calculation 4 3 2 4 2 2" xfId="14409"/>
    <cellStyle name="Calculation 3 3 2 4 2 2" xfId="14410"/>
    <cellStyle name="Calculation 2 7 2 4 2 2" xfId="14411"/>
    <cellStyle name="Calculation 11 2 4 2 2" xfId="14412"/>
    <cellStyle name="Note 13 5 5" xfId="14413"/>
    <cellStyle name="Output 10 2 4 2 2" xfId="14414"/>
    <cellStyle name="Note 12 2 4 2 2" xfId="14415"/>
    <cellStyle name="Note 2 7 2 4 2 2" xfId="14416"/>
    <cellStyle name="Note 2 2 4 2 4 2 2" xfId="14417"/>
    <cellStyle name="Note 3 5 2 4 2 2" xfId="14418"/>
    <cellStyle name="Note 3 2 5 2 4 2 2" xfId="14419"/>
    <cellStyle name="Note 4 4 2 4 2 2" xfId="14420"/>
    <cellStyle name="Note 4 2 3 2 4 2 2" xfId="14421"/>
    <cellStyle name="Note 5 3 2 4 2 2" xfId="14422"/>
    <cellStyle name="Note 5 2 2 2 4 2 2" xfId="14423"/>
    <cellStyle name="Note 6 3 2 4 2 2" xfId="14424"/>
    <cellStyle name="Note 6 2 2 2 4 2 2" xfId="14425"/>
    <cellStyle name="Note 7 3 2 4 2 2" xfId="14426"/>
    <cellStyle name="Note 7 2 2 2 4 2 2" xfId="14427"/>
    <cellStyle name="Note 8 2 2 4 2 2" xfId="14428"/>
    <cellStyle name="Note 9 2 2 4 2 2" xfId="14429"/>
    <cellStyle name="Output 12 2 4 2 2" xfId="14430"/>
    <cellStyle name="Output 2 8 2 4 2 2" xfId="14431"/>
    <cellStyle name="Output 3 4 2 4 2 2" xfId="14432"/>
    <cellStyle name="Output 4 4 2 4 2 2" xfId="14433"/>
    <cellStyle name="Output 5 3 2 4 2 2" xfId="14434"/>
    <cellStyle name="Total 10 2 4 2 2" xfId="14435"/>
    <cellStyle name="Total 11 2 4 2 2" xfId="14436"/>
    <cellStyle name="Total 2 8 2 4 2 2" xfId="14437"/>
    <cellStyle name="Total 3 3 2 4 2 2" xfId="14438"/>
    <cellStyle name="Total 4 3 2 4 2 2" xfId="14439"/>
    <cellStyle name="Total 5 2 2 4 2 2" xfId="14440"/>
    <cellStyle name="Total 12 2 4 2 2" xfId="14441"/>
    <cellStyle name="Total 2 9 2 4 2 2" xfId="14442"/>
    <cellStyle name="Total 3 4 2 4 2 2" xfId="14443"/>
    <cellStyle name="Total 4 4 2 4 2 2" xfId="14444"/>
    <cellStyle name="Total 5 3 2 4 2 2" xfId="14445"/>
    <cellStyle name="Output 11 2 2 4" xfId="14446"/>
    <cellStyle name="Style 26 2 2 2 4" xfId="14447"/>
    <cellStyle name="Note 2 2 7 2 4" xfId="14448"/>
    <cellStyle name="Input 2 3 2 2 4" xfId="14449"/>
    <cellStyle name="Input 19 5 4" xfId="14450"/>
    <cellStyle name="Input 2 9 3 4" xfId="14451"/>
    <cellStyle name="Note 5 4 2 7" xfId="14452"/>
    <cellStyle name="Total 2 6 3 7" xfId="14453"/>
    <cellStyle name="Note 2 2 7 7" xfId="14454"/>
    <cellStyle name="Input 18 2 4 2 2" xfId="14455"/>
    <cellStyle name="Note 2 2 5 3 5" xfId="14456"/>
    <cellStyle name="Note 2 4 3 3 5" xfId="14457"/>
    <cellStyle name="Calculation 12 2 4 2 2" xfId="14458"/>
    <cellStyle name="Input 19 2 4 2 2" xfId="14459"/>
    <cellStyle name="Note 13 2 4 2 2" xfId="14460"/>
    <cellStyle name="Output 13 2 4 2 2" xfId="14461"/>
    <cellStyle name="Total 13 2 4 2 2" xfId="14462"/>
    <cellStyle name="Note 5 6 4" xfId="14463"/>
    <cellStyle name="Calculation 2 8 2 4 2 2" xfId="14464"/>
    <cellStyle name="Calculation 3 4 2 4 2 2" xfId="14465"/>
    <cellStyle name="Calculation 4 4 2 4 2 2" xfId="14466"/>
    <cellStyle name="Calculation 5 3 2 4 2 2" xfId="14467"/>
    <cellStyle name="Input 2 8 2 4 2 2" xfId="14468"/>
    <cellStyle name="Input 3 4 2 4 2 2" xfId="14469"/>
    <cellStyle name="Input 4 4 2 4 2 2" xfId="14470"/>
    <cellStyle name="Input 5 4 2 4 2 2" xfId="14471"/>
    <cellStyle name="Calculation 2 4 2 8" xfId="14472"/>
    <cellStyle name="Note 2 8 2 4 2 2" xfId="14473"/>
    <cellStyle name="Note 2 2 5 2 4 2 2" xfId="14474"/>
    <cellStyle name="Note 3 6 2 4 2 2" xfId="14475"/>
    <cellStyle name="Note 3 2 6 2 4 2 2" xfId="14476"/>
    <cellStyle name="Note 4 5 2 4 2 2" xfId="14477"/>
    <cellStyle name="Note 4 2 4 2 4 2 2" xfId="14478"/>
    <cellStyle name="Note 5 4 2 4 2 2" xfId="14479"/>
    <cellStyle name="Note 5 2 3 2 4 2 2" xfId="14480"/>
    <cellStyle name="Note 6 4 2 4 2 2" xfId="14481"/>
    <cellStyle name="Note 6 2 3 2 4 2 2" xfId="14482"/>
    <cellStyle name="Note 7 4 2 4 2 2" xfId="14483"/>
    <cellStyle name="Note 7 2 3 2 4 2 2" xfId="14484"/>
    <cellStyle name="Note 8 3 2 4 2 2" xfId="14485"/>
    <cellStyle name="Output 2 9 2 4 2 2" xfId="14486"/>
    <cellStyle name="Output 3 5 2 4 2 2" xfId="14487"/>
    <cellStyle name="Output 4 5 2 4 2 2" xfId="14488"/>
    <cellStyle name="Output 5 4 2 4 2 2" xfId="14489"/>
    <cellStyle name="Total 2 10 2 4 2 2" xfId="14490"/>
    <cellStyle name="Total 3 5 2 4 2 2" xfId="14491"/>
    <cellStyle name="Total 4 5 2 4 2 2" xfId="14492"/>
    <cellStyle name="Total 5 4 2 4 2 2" xfId="14493"/>
    <cellStyle name="Input 3 5 3 5" xfId="14494"/>
    <cellStyle name="Input 20 2 4 2 2" xfId="14495"/>
    <cellStyle name="Output 4 3 8" xfId="14496"/>
    <cellStyle name="Output 2 7 3 5" xfId="14497"/>
    <cellStyle name="Input 2 5 3 3 4" xfId="14498"/>
    <cellStyle name="Input 21 2 4 2 2" xfId="14499"/>
    <cellStyle name="Calculation 5 5 4" xfId="14500"/>
    <cellStyle name="Input 5 3 4 5" xfId="14501"/>
    <cellStyle name="Output 7 2 8" xfId="14502"/>
    <cellStyle name="Calculation 2 5 4 3 2" xfId="14503"/>
    <cellStyle name="Input 2 5 4 3 2" xfId="14504"/>
    <cellStyle name="Note 2 2 2 4 3 2" xfId="14505"/>
    <cellStyle name="Note 2 3 2 4 3 2" xfId="14506"/>
    <cellStyle name="Note 2 4 2 4 3 2" xfId="14507"/>
    <cellStyle name="Note 2 5 4 3 2" xfId="14508"/>
    <cellStyle name="Note 3 3 4 3 2" xfId="14509"/>
    <cellStyle name="Output 2 5 4 3 2" xfId="14510"/>
    <cellStyle name="Total 2 6 4 3 2" xfId="14511"/>
    <cellStyle name="Calculation 4 4 2 2 5" xfId="14512"/>
    <cellStyle name="Note 8 10" xfId="14513"/>
    <cellStyle name="Note 2 2 4 3 4" xfId="14514"/>
    <cellStyle name="Input 2 7 3 4" xfId="14515"/>
    <cellStyle name="Note 13 2 8" xfId="14516"/>
    <cellStyle name="Note 3 7 3 5" xfId="14517"/>
    <cellStyle name="Total 5 4 2 8" xfId="14518"/>
    <cellStyle name="Total 2 10 2 2 5" xfId="14519"/>
    <cellStyle name="Total 2 9 2 2 4" xfId="14520"/>
    <cellStyle name="Output 7 4 4" xfId="14521"/>
    <cellStyle name="Input 20 3 4" xfId="14522"/>
    <cellStyle name="Total 2 7 2 2 4" xfId="14523"/>
    <cellStyle name="Total 13 2 7" xfId="14524"/>
    <cellStyle name="Total 2 11 7" xfId="14525"/>
    <cellStyle name="Note 5 4 3 4" xfId="14526"/>
    <cellStyle name="styleColumnTitles 3 4" xfId="14527"/>
    <cellStyle name="Note 2 2 4 2 7" xfId="14528"/>
    <cellStyle name="Output 2 4 2 7" xfId="14529"/>
    <cellStyle name="Total 13 3 4" xfId="14530"/>
    <cellStyle name="Total 2 2 2 2 2 4" xfId="14531"/>
    <cellStyle name="Note 8 4 7" xfId="14532"/>
    <cellStyle name="Output 3 5 4 5" xfId="14533"/>
    <cellStyle name="Note 2 4 2 3 2 4" xfId="14534"/>
    <cellStyle name="Style 23 2 2 7" xfId="14535"/>
    <cellStyle name="Input 8 2 7" xfId="14536"/>
    <cellStyle name="Note 9 2 4 4" xfId="14537"/>
    <cellStyle name="Output 2 2 2 3 7" xfId="14538"/>
    <cellStyle name="Input 2 2 2 4 6" xfId="14539"/>
    <cellStyle name="Total 10 2 8" xfId="14540"/>
    <cellStyle name="Input 11 5 4" xfId="14541"/>
    <cellStyle name="Calculation 7 5 4" xfId="14542"/>
    <cellStyle name="Note 5 2 3 2 8" xfId="14543"/>
    <cellStyle name="Input 2 6 5 4" xfId="14544"/>
    <cellStyle name="Total 3 5 9" xfId="14545"/>
    <cellStyle name="Note 6 2 5 5" xfId="14546"/>
    <cellStyle name="Note 5 3 8" xfId="14547"/>
    <cellStyle name="Total 9 4 5" xfId="14548"/>
    <cellStyle name="Calculation 3 4 2 8" xfId="14549"/>
    <cellStyle name="Total 4 3 2 2 4" xfId="14550"/>
    <cellStyle name="Note 7 2 6 4" xfId="14551"/>
    <cellStyle name="Output 4 2 2 2 4" xfId="14552"/>
    <cellStyle name="Output 13 2 7" xfId="14553"/>
    <cellStyle name="Style 25 2 3 4" xfId="14554"/>
    <cellStyle name="Output 10 2 7" xfId="14555"/>
    <cellStyle name="StmtTtl2 2 2 4" xfId="14556"/>
    <cellStyle name="Note 6 2 4 7" xfId="14557"/>
    <cellStyle name="Note 2 5 3 2 4" xfId="14558"/>
    <cellStyle name="Style 22 2 2 7" xfId="14559"/>
    <cellStyle name="Note 8 2 4 4" xfId="14560"/>
    <cellStyle name="Calculation 2 2 6 7" xfId="14561"/>
    <cellStyle name="Note 5 2 3 9" xfId="14562"/>
    <cellStyle name="Input 2 7 5 5" xfId="14563"/>
    <cellStyle name="Header2 4 5" xfId="14564"/>
    <cellStyle name="Input 2 4 2 2 5" xfId="14565"/>
    <cellStyle name="Output 3 8 5" xfId="14566"/>
    <cellStyle name="Total 3 3 2 2 4" xfId="14567"/>
    <cellStyle name="Note 7 7 4" xfId="14568"/>
    <cellStyle name="Output 3 2 2 2 4" xfId="14569"/>
    <cellStyle name="Note 13 2 7" xfId="14570"/>
    <cellStyle name="Style 25 3 4" xfId="14571"/>
    <cellStyle name="Calculation 2 10 2 4" xfId="14572"/>
    <cellStyle name="Note 6 5 7" xfId="14573"/>
    <cellStyle name="Note 3 3 3 2 4" xfId="14574"/>
    <cellStyle name="Style 21 2 2 7" xfId="14575"/>
    <cellStyle name="Note 7 2 2 4 4" xfId="14576"/>
    <cellStyle name="Calculation 2 2 3 3 7" xfId="14577"/>
    <cellStyle name="Note 2 4 4 2 5" xfId="14578"/>
    <cellStyle name="Output 2 4 4 5" xfId="14579"/>
    <cellStyle name="Total 2 8 2 2 4" xfId="14580"/>
    <cellStyle name="Note 6 2 6 4" xfId="14581"/>
    <cellStyle name="Output 2 6 2 2 4" xfId="14582"/>
    <cellStyle name="Input 19 2 7" xfId="14583"/>
    <cellStyle name="Style 24 2 3 4" xfId="14584"/>
    <cellStyle name="Calculation 2 2 2 3 2 4" xfId="14585"/>
    <cellStyle name="Note 5 2 4 7" xfId="14586"/>
    <cellStyle name="Note 4 2 6 2 4" xfId="14587"/>
    <cellStyle name="Note 8 3 5 5" xfId="14588"/>
    <cellStyle name="Note 7 3 4 4" xfId="14589"/>
    <cellStyle name="Calculation 2 3 3 7" xfId="14590"/>
    <cellStyle name="Note 5 4 9" xfId="14591"/>
    <cellStyle name="Note 12 8" xfId="14592"/>
    <cellStyle name="Input 13 9" xfId="14593"/>
    <cellStyle name="Input 17 9" xfId="14594"/>
    <cellStyle name="Input 18 5 5" xfId="14595"/>
    <cellStyle name="Input 2 3 2 3 5" xfId="14596"/>
    <cellStyle name="Total 4 5 2 2 4" xfId="14597"/>
    <cellStyle name="Total 5 4 2 2 4" xfId="14598"/>
    <cellStyle name="Input 20 2 2 4" xfId="14599"/>
    <cellStyle name="Input 21 2 2 4" xfId="14600"/>
    <cellStyle name="Note 2 9 3 4" xfId="14601"/>
    <cellStyle name="Note 2 2 6 3 4" xfId="14602"/>
    <cellStyle name="Note 2 3 3 3 4" xfId="14603"/>
    <cellStyle name="Note 2 4 3 3 4" xfId="14604"/>
    <cellStyle name="Note 3 7 3 4" xfId="14605"/>
    <cellStyle name="Note 3 2 7 3 4" xfId="14606"/>
    <cellStyle name="Output 2 10 3 4" xfId="14607"/>
    <cellStyle name="Output 2 2 5 3 4" xfId="14608"/>
    <cellStyle name="Output 2 2 2 2 3 4" xfId="14609"/>
    <cellStyle name="Output 2 2 3 2 3 4" xfId="14610"/>
    <cellStyle name="Output 2 2 4 2 3 4" xfId="14611"/>
    <cellStyle name="Output 2 3 2 3 4" xfId="14612"/>
    <cellStyle name="Output 2 4 2 3 4" xfId="14613"/>
    <cellStyle name="Output 2 5 2 3 4" xfId="14614"/>
    <cellStyle name="Output 3 6 3 4" xfId="14615"/>
    <cellStyle name="Input 7 3 3 4" xfId="14616"/>
    <cellStyle name="Input 5 6 3 4" xfId="14617"/>
    <cellStyle name="Input 3 6 3 4" xfId="14618"/>
    <cellStyle name="Input 2 4 3 3 4" xfId="14619"/>
    <cellStyle name="Input 2 2 4 3 3 4" xfId="14620"/>
    <cellStyle name="Input 2 2 2 3 3 4" xfId="14621"/>
    <cellStyle name="Input 2 10 3 4" xfId="14622"/>
    <cellStyle name="Calculation 3 6 3 4" xfId="14623"/>
    <cellStyle name="Calculation 2 4 3 3 4" xfId="14624"/>
    <cellStyle name="Calculation 2 2 4 3 3 4" xfId="14625"/>
    <cellStyle name="Calculation 2 2 2 3 3 4" xfId="14626"/>
    <cellStyle name="Calculation 2 10 3 4" xfId="14627"/>
    <cellStyle name="StmtTtl2 2 3 4" xfId="14628"/>
    <cellStyle name="Total 2 11 3 4" xfId="14629"/>
    <cellStyle name="Total 2 2 5 3 4" xfId="14630"/>
    <cellStyle name="Total 2 2 2 2 3 4" xfId="14631"/>
    <cellStyle name="Total 2 2 3 2 3 4" xfId="14632"/>
    <cellStyle name="Total 2 2 4 2 3 4" xfId="14633"/>
    <cellStyle name="Total 2 3 2 3 4" xfId="14634"/>
    <cellStyle name="Total 2 4 2 3 4" xfId="14635"/>
    <cellStyle name="Total 2 5 2 3 4" xfId="14636"/>
    <cellStyle name="Total 2 6 2 3 4" xfId="14637"/>
    <cellStyle name="Total 3 6 3 4" xfId="14638"/>
    <cellStyle name="Output 2 5 3 3 4" xfId="14639"/>
    <cellStyle name="Output 2 3 3 3 4" xfId="14640"/>
    <cellStyle name="Output 2 2 3 3 3 4" xfId="14641"/>
    <cellStyle name="Output 2 2 6 3 4" xfId="14642"/>
    <cellStyle name="Note 4 7 3 4" xfId="14643"/>
    <cellStyle name="Note 3 2 2 3 3 4" xfId="14644"/>
    <cellStyle name="Note 3 8 3 4" xfId="14645"/>
    <cellStyle name="Note 2 4 4 3 4" xfId="14646"/>
    <cellStyle name="Note 2 2 7 3 4" xfId="14647"/>
    <cellStyle name="Note 3 2 2 2 3 4" xfId="14648"/>
    <cellStyle name="Note 4 6 3 4" xfId="14649"/>
    <cellStyle name="Total 3 7 3 4" xfId="14650"/>
    <cellStyle name="Total 2 5 3 3 4" xfId="14651"/>
    <cellStyle name="Total 2 3 3 3 4" xfId="14652"/>
    <cellStyle name="Total 2 2 6 3 4" xfId="14653"/>
    <cellStyle name="Total 2 2 2 3 3 4" xfId="14654"/>
    <cellStyle name="StmtTtl2 3 3 4" xfId="14655"/>
    <cellStyle name="Output 3 7 3 4" xfId="14656"/>
    <cellStyle name="Note 2 5 2 3 4" xfId="14657"/>
    <cellStyle name="Note 2 2 2 2 3 4" xfId="14658"/>
    <cellStyle name="Note 2 3 2 2 3 4" xfId="14659"/>
    <cellStyle name="Note 2 4 2 2 3 4" xfId="14660"/>
    <cellStyle name="Note 3 3 2 3 4" xfId="14661"/>
    <cellStyle name="Input 8 3 3 4" xfId="14662"/>
    <cellStyle name="Input 6 4 3 4" xfId="14663"/>
    <cellStyle name="Input 4 6 3 4" xfId="14664"/>
    <cellStyle name="Input 2 3 3 3 4" xfId="14665"/>
    <cellStyle name="Input 2 2 3 3 3 4" xfId="14666"/>
    <cellStyle name="Input 2 2 6 3 4" xfId="14667"/>
    <cellStyle name="Calculation 2 3 3 3 4" xfId="14668"/>
    <cellStyle name="Calculation 2 2 3 3 3 4" xfId="14669"/>
    <cellStyle name="Calculation 2 2 6 3 4" xfId="14670"/>
    <cellStyle name="Output 2 4 3 3 4" xfId="14671"/>
    <cellStyle name="Output 2 2 4 3 3 4" xfId="14672"/>
    <cellStyle name="Output 2 2 2 3 3 4" xfId="14673"/>
    <cellStyle name="Output 2 11 3 4" xfId="14674"/>
    <cellStyle name="Note 3 2 8 3 4" xfId="14675"/>
    <cellStyle name="Note 2 3 4 3 4" xfId="14676"/>
    <cellStyle name="Note 2 10 3 4" xfId="14677"/>
    <cellStyle name="Note 4 2 5 3 4" xfId="14678"/>
    <cellStyle name="Style 21 4 4" xfId="14679"/>
    <cellStyle name="Style 21 2 4 4" xfId="14680"/>
    <cellStyle name="Style 22 4 4" xfId="14681"/>
    <cellStyle name="Style 22 2 4 4" xfId="14682"/>
    <cellStyle name="Style 23 4 4" xfId="14683"/>
    <cellStyle name="Style 23 2 4 4" xfId="14684"/>
    <cellStyle name="Style 24 4 4" xfId="14685"/>
    <cellStyle name="Style 24 2 4 4" xfId="14686"/>
    <cellStyle name="Style 25 4 4" xfId="14687"/>
    <cellStyle name="Style 25 2 4 4" xfId="14688"/>
    <cellStyle name="Style 26 4 4" xfId="14689"/>
    <cellStyle name="Style 26 2 4 4" xfId="14690"/>
    <cellStyle name="styleColumnTitles 4 4" xfId="14691"/>
    <cellStyle name="styleColumnTitles 2 4 4" xfId="14692"/>
    <cellStyle name="styleDateRange 4 4" xfId="14693"/>
    <cellStyle name="styleDateRange 2 4 4" xfId="14694"/>
    <cellStyle name="styleSeriesAttributes 4 4" xfId="14695"/>
    <cellStyle name="styleSeriesAttributes 2 4 4" xfId="14696"/>
    <cellStyle name="styleSeriesData 4 4" xfId="14697"/>
    <cellStyle name="styleSeriesData 2 4 4" xfId="14698"/>
    <cellStyle name="styleSeriesDataForecast 4 4" xfId="14699"/>
    <cellStyle name="styleSeriesDataForecast 2 4 4" xfId="14700"/>
    <cellStyle name="styleSeriesDataForecastNA 4 4" xfId="14701"/>
    <cellStyle name="styleSeriesDataForecastNA 2 4 4" xfId="14702"/>
    <cellStyle name="styleSeriesDataNA 4 4" xfId="14703"/>
    <cellStyle name="styleSeriesDataNA 2 4 4" xfId="14704"/>
    <cellStyle name="Style 21 2 2 3 4" xfId="14705"/>
    <cellStyle name="Style 22 2 2 3 4" xfId="14706"/>
    <cellStyle name="Style 23 2 2 3 4" xfId="14707"/>
    <cellStyle name="Style 24 2 2 3 4" xfId="14708"/>
    <cellStyle name="Style 25 2 2 3 4" xfId="14709"/>
    <cellStyle name="Style 26 2 2 3 4" xfId="14710"/>
    <cellStyle name="styleColumnTitles 2 2 3 4" xfId="14711"/>
    <cellStyle name="styleDateRange 2 2 3 4" xfId="14712"/>
    <cellStyle name="styleSeriesAttributes 2 2 3 4" xfId="14713"/>
    <cellStyle name="styleSeriesData 2 2 3 4" xfId="14714"/>
    <cellStyle name="styleSeriesDataForecast 2 2 3 4" xfId="14715"/>
    <cellStyle name="styleSeriesDataForecastNA 2 2 3 4" xfId="14716"/>
    <cellStyle name="styleSeriesDataNA 2 2 3 4" xfId="14717"/>
    <cellStyle name="Total 2 6 3 3 4" xfId="14718"/>
    <cellStyle name="Calculation 7 2 3 4" xfId="14719"/>
    <cellStyle name="Calculation 2 6 2 3 4" xfId="14720"/>
    <cellStyle name="Calculation 3 2 2 3 4" xfId="14721"/>
    <cellStyle name="Calculation 4 2 2 3 4" xfId="14722"/>
    <cellStyle name="Calculation 5 4 3 4" xfId="14723"/>
    <cellStyle name="Output 9 2 3 4" xfId="14724"/>
    <cellStyle name="Input 10 2 3 4" xfId="14725"/>
    <cellStyle name="Input 2 6 2 3 4" xfId="14726"/>
    <cellStyle name="Input 3 2 2 3 4" xfId="14727"/>
    <cellStyle name="Input 4 2 2 3 4" xfId="14728"/>
    <cellStyle name="Input 5 2 2 3 4" xfId="14729"/>
    <cellStyle name="Note 11 2 3 4" xfId="14730"/>
    <cellStyle name="Note 2 6 2 3 4" xfId="14731"/>
    <cellStyle name="Note 2 2 3 2 3 4" xfId="14732"/>
    <cellStyle name="Note 3 4 2 3 4" xfId="14733"/>
    <cellStyle name="Note 3 2 4 2 3 4" xfId="14734"/>
    <cellStyle name="Note 4 3 2 3 4" xfId="14735"/>
    <cellStyle name="Note 4 2 2 2 3 4" xfId="14736"/>
    <cellStyle name="Note 5 5 3 4" xfId="14737"/>
    <cellStyle name="Note 5 2 4 3 4" xfId="14738"/>
    <cellStyle name="Note 6 5 3 4" xfId="14739"/>
    <cellStyle name="Note 6 2 4 3 4" xfId="14740"/>
    <cellStyle name="Note 7 5 3 4" xfId="14741"/>
    <cellStyle name="Note 7 2 4 3 4" xfId="14742"/>
    <cellStyle name="Note 8 4 3 4" xfId="14743"/>
    <cellStyle name="Note 9 3 3 4" xfId="14744"/>
    <cellStyle name="Output 7 2 3 4" xfId="14745"/>
    <cellStyle name="Output 2 6 2 3 4" xfId="14746"/>
    <cellStyle name="Output 3 2 2 3 4" xfId="14747"/>
    <cellStyle name="Output 4 2 2 3 4" xfId="14748"/>
    <cellStyle name="Output 5 5 3 4" xfId="14749"/>
    <cellStyle name="Total 7 2 3 4" xfId="14750"/>
    <cellStyle name="Total 2 7 2 3 4" xfId="14751"/>
    <cellStyle name="Total 3 2 2 3 4" xfId="14752"/>
    <cellStyle name="Total 4 2 2 3 4" xfId="14753"/>
    <cellStyle name="Total 5 5 3 4" xfId="14754"/>
    <cellStyle name="Calculation 8 2 3 4" xfId="14755"/>
    <cellStyle name="Input 12 2 3 4" xfId="14756"/>
    <cellStyle name="Input 11 2 3 4" xfId="14757"/>
    <cellStyle name="Calculation 9 2 3 4" xfId="14758"/>
    <cellStyle name="Output 8 2 3 4" xfId="14759"/>
    <cellStyle name="Total 8 2 3 4" xfId="14760"/>
    <cellStyle name="Total 9 2 3 4" xfId="14761"/>
    <cellStyle name="Output 5 2 2 3 4" xfId="14762"/>
    <cellStyle name="Output 4 3 2 3 4" xfId="14763"/>
    <cellStyle name="Output 3 3 2 3 4" xfId="14764"/>
    <cellStyle name="Output 2 7 2 3 4" xfId="14765"/>
    <cellStyle name="Output 11 2 3 4" xfId="14766"/>
    <cellStyle name="Input 5 3 2 3 4" xfId="14767"/>
    <cellStyle name="Input 4 3 2 3 4" xfId="14768"/>
    <cellStyle name="Input 3 3 2 3 4" xfId="14769"/>
    <cellStyle name="Input 2 7 2 3 4" xfId="14770"/>
    <cellStyle name="Calculation 10 2 3 4" xfId="14771"/>
    <cellStyle name="Input 14 2 3 4" xfId="14772"/>
    <cellStyle name="Input 16 2 3 4" xfId="14773"/>
    <cellStyle name="Input 17 2 3 4" xfId="14774"/>
    <cellStyle name="Input 15 2 3 4" xfId="14775"/>
    <cellStyle name="Input 13 2 3 4" xfId="14776"/>
    <cellStyle name="Calculation 5 2 2 3 4" xfId="14777"/>
    <cellStyle name="Calculation 4 3 2 3 4" xfId="14778"/>
    <cellStyle name="Calculation 3 3 2 3 4" xfId="14779"/>
    <cellStyle name="Calculation 2 7 2 3 4" xfId="14780"/>
    <cellStyle name="Calculation 11 2 3 4" xfId="14781"/>
    <cellStyle name="Output 10 2 3 4" xfId="14782"/>
    <cellStyle name="Note 12 2 3 4" xfId="14783"/>
    <cellStyle name="Note 2 7 2 3 4" xfId="14784"/>
    <cellStyle name="Note 2 2 4 2 3 4" xfId="14785"/>
    <cellStyle name="Note 3 5 2 3 4" xfId="14786"/>
    <cellStyle name="Note 3 2 5 2 3 4" xfId="14787"/>
    <cellStyle name="Note 4 4 2 3 4" xfId="14788"/>
    <cellStyle name="Note 4 2 3 2 3 4" xfId="14789"/>
    <cellStyle name="Note 5 3 2 3 4" xfId="14790"/>
    <cellStyle name="Note 5 2 2 2 3 4" xfId="14791"/>
    <cellStyle name="Note 6 3 2 3 4" xfId="14792"/>
    <cellStyle name="Note 6 2 2 2 3 4" xfId="14793"/>
    <cellStyle name="Note 7 3 2 3 4" xfId="14794"/>
    <cellStyle name="Note 7 2 2 2 3 4" xfId="14795"/>
    <cellStyle name="Note 8 2 2 3 4" xfId="14796"/>
    <cellStyle name="Note 9 2 2 3 4" xfId="14797"/>
    <cellStyle name="Output 12 2 3 4" xfId="14798"/>
    <cellStyle name="Output 2 8 2 3 4" xfId="14799"/>
    <cellStyle name="Output 3 4 2 3 4" xfId="14800"/>
    <cellStyle name="Output 4 4 2 3 4" xfId="14801"/>
    <cellStyle name="Output 5 3 2 3 4" xfId="14802"/>
    <cellStyle name="Total 10 2 3 4" xfId="14803"/>
    <cellStyle name="Total 11 2 3 4" xfId="14804"/>
    <cellStyle name="Total 2 8 2 3 4" xfId="14805"/>
    <cellStyle name="Total 3 3 2 3 4" xfId="14806"/>
    <cellStyle name="Total 4 3 2 3 4" xfId="14807"/>
    <cellStyle name="Total 5 2 2 3 4" xfId="14808"/>
    <cellStyle name="Total 12 2 3 4" xfId="14809"/>
    <cellStyle name="Total 2 9 2 3 4" xfId="14810"/>
    <cellStyle name="Total 3 4 2 3 4" xfId="14811"/>
    <cellStyle name="Total 4 4 2 3 4" xfId="14812"/>
    <cellStyle name="Total 5 3 2 3 4" xfId="14813"/>
    <cellStyle name="Input 18 2 3 4" xfId="14814"/>
    <cellStyle name="Calculation 12 2 3 4" xfId="14815"/>
    <cellStyle name="Input 19 2 3 4" xfId="14816"/>
    <cellStyle name="Note 13 2 3 4" xfId="14817"/>
    <cellStyle name="Output 13 2 3 4" xfId="14818"/>
    <cellStyle name="Total 13 2 3 4" xfId="14819"/>
    <cellStyle name="Calculation 2 8 2 3 4" xfId="14820"/>
    <cellStyle name="Calculation 3 4 2 3 4" xfId="14821"/>
    <cellStyle name="Calculation 4 4 2 3 4" xfId="14822"/>
    <cellStyle name="Calculation 5 3 2 3 4" xfId="14823"/>
    <cellStyle name="Input 2 8 2 3 4" xfId="14824"/>
    <cellStyle name="Input 3 4 2 3 4" xfId="14825"/>
    <cellStyle name="Input 4 4 2 3 4" xfId="14826"/>
    <cellStyle name="Input 5 4 2 3 4" xfId="14827"/>
    <cellStyle name="Note 2 8 2 3 4" xfId="14828"/>
    <cellStyle name="Note 2 2 5 2 3 4" xfId="14829"/>
    <cellStyle name="Note 3 6 2 3 4" xfId="14830"/>
    <cellStyle name="Note 3 2 6 2 3 4" xfId="14831"/>
    <cellStyle name="Note 4 5 2 3 4" xfId="14832"/>
    <cellStyle name="Note 4 2 4 2 3 4" xfId="14833"/>
    <cellStyle name="Note 5 4 2 3 4" xfId="14834"/>
    <cellStyle name="Note 5 2 3 2 3 4" xfId="14835"/>
    <cellStyle name="Note 6 4 2 3 4" xfId="14836"/>
    <cellStyle name="Note 6 2 3 2 3 4" xfId="14837"/>
    <cellStyle name="Note 7 4 2 3 4" xfId="14838"/>
    <cellStyle name="Note 7 2 3 2 3 4" xfId="14839"/>
    <cellStyle name="Note 8 3 2 3 4" xfId="14840"/>
    <cellStyle name="Output 2 9 2 3 4" xfId="14841"/>
    <cellStyle name="Output 3 5 2 3 4" xfId="14842"/>
    <cellStyle name="Output 4 5 2 3 4" xfId="14843"/>
    <cellStyle name="Output 5 4 2 3 4" xfId="14844"/>
    <cellStyle name="Total 2 10 2 3 4" xfId="14845"/>
    <cellStyle name="Total 3 5 2 3 4" xfId="14846"/>
    <cellStyle name="Total 4 5 2 3 4" xfId="14847"/>
    <cellStyle name="Total 5 4 2 3 4" xfId="14848"/>
    <cellStyle name="Input 20 2 3 4" xfId="14849"/>
    <cellStyle name="Input 21 2 3 4" xfId="14850"/>
    <cellStyle name="Calculation 12 5 5" xfId="14851"/>
    <cellStyle name="Input 11 2 2 5" xfId="14852"/>
    <cellStyle name="styleSeriesData 3 5" xfId="14853"/>
    <cellStyle name="Total 2 6 2 2 5" xfId="14854"/>
    <cellStyle name="Calculation 2 3 2 2 5" xfId="14855"/>
    <cellStyle name="Total 2 8 4 5" xfId="14856"/>
    <cellStyle name="Total 7 4 5" xfId="14857"/>
    <cellStyle name="Input 2 8 2 8" xfId="14858"/>
    <cellStyle name="Note 5 2 2 2 8" xfId="14859"/>
    <cellStyle name="Output 5 5 8" xfId="14860"/>
    <cellStyle name="styleSeriesAttributes 2 2 8" xfId="14861"/>
    <cellStyle name="Calculation 5 5 5" xfId="14862"/>
    <cellStyle name="Output 2 5 4 6" xfId="14863"/>
    <cellStyle name="Note 2 2 4 2 2 5" xfId="14864"/>
    <cellStyle name="Input 2 6 2 2 5" xfId="14865"/>
    <cellStyle name="Input 2 2 3 3 2 5" xfId="14866"/>
    <cellStyle name="Note 3 2 7 2 5" xfId="14867"/>
    <cellStyle name="Note 3 2 6 4 5" xfId="14868"/>
    <cellStyle name="Input 17 4 5" xfId="14869"/>
    <cellStyle name="Input 20 2 8" xfId="14870"/>
    <cellStyle name="Calculation 5 4 8" xfId="14871"/>
    <cellStyle name="Style 26 9" xfId="14872"/>
    <cellStyle name="Calculation 7 6 4" xfId="14873"/>
    <cellStyle name="Calculation 2 6 6 4" xfId="14874"/>
    <cellStyle name="Calculation 3 2 6 4" xfId="14875"/>
    <cellStyle name="Calculation 4 2 6 4" xfId="14876"/>
    <cellStyle name="Calculation 5 7 4" xfId="14877"/>
    <cellStyle name="Output 9 5 4" xfId="14878"/>
    <cellStyle name="Input 10 6 4" xfId="14879"/>
    <cellStyle name="Input 2 6 6 4" xfId="14880"/>
    <cellStyle name="Input 3 2 6 4" xfId="14881"/>
    <cellStyle name="Input 4 2 6 4" xfId="14882"/>
    <cellStyle name="Input 5 2 6 4" xfId="14883"/>
    <cellStyle name="Note 11 5 4" xfId="14884"/>
    <cellStyle name="Note 2 6 5 4" xfId="14885"/>
    <cellStyle name="Note 2 2 3 5 4" xfId="14886"/>
    <cellStyle name="Note 3 4 5 4" xfId="14887"/>
    <cellStyle name="Note 3 2 4 5 4" xfId="14888"/>
    <cellStyle name="Note 4 3 5 4" xfId="14889"/>
    <cellStyle name="Note 4 2 2 5 4" xfId="14890"/>
    <cellStyle name="Note 5 8 4" xfId="14891"/>
    <cellStyle name="Note 5 2 7 4" xfId="14892"/>
    <cellStyle name="Note 6 8 4" xfId="14893"/>
    <cellStyle name="Note 6 2 7 4" xfId="14894"/>
    <cellStyle name="Note 7 8 4" xfId="14895"/>
    <cellStyle name="Note 7 2 7 4" xfId="14896"/>
    <cellStyle name="Note 8 7 4" xfId="14897"/>
    <cellStyle name="Note 9 6 4" xfId="14898"/>
    <cellStyle name="Output 7 5 4" xfId="14899"/>
    <cellStyle name="Output 2 6 5 4" xfId="14900"/>
    <cellStyle name="Output 3 2 5 4" xfId="14901"/>
    <cellStyle name="Output 4 2 5 4" xfId="14902"/>
    <cellStyle name="Output 5 8 4" xfId="14903"/>
    <cellStyle name="Total 7 5 4" xfId="14904"/>
    <cellStyle name="Total 2 7 5 4" xfId="14905"/>
    <cellStyle name="Total 3 2 5 4" xfId="14906"/>
    <cellStyle name="Total 4 2 5 4" xfId="14907"/>
    <cellStyle name="Total 5 8 4" xfId="14908"/>
    <cellStyle name="Calculation 8 6 4" xfId="14909"/>
    <cellStyle name="Input 12 6 4" xfId="14910"/>
    <cellStyle name="Input 11 6 4" xfId="14911"/>
    <cellStyle name="Calculation 9 6 4" xfId="14912"/>
    <cellStyle name="Output 8 5 4" xfId="14913"/>
    <cellStyle name="Total 8 5 4" xfId="14914"/>
    <cellStyle name="Total 9 5 4" xfId="14915"/>
    <cellStyle name="Total 11 2 2 5" xfId="14916"/>
    <cellStyle name="Output 7 2 2 5" xfId="14917"/>
    <cellStyle name="Style 24 3 5" xfId="14918"/>
    <cellStyle name="Calculation 2 2 4 3 2 5" xfId="14919"/>
    <cellStyle name="Input 21 4 5" xfId="14920"/>
    <cellStyle name="Note 6 2 2 4 5" xfId="14921"/>
    <cellStyle name="Calculation 12 2 8" xfId="14922"/>
    <cellStyle name="Note 5 5 8" xfId="14923"/>
    <cellStyle name="Output 5 2 5 4" xfId="14924"/>
    <cellStyle name="Output 4 3 5 4" xfId="14925"/>
    <cellStyle name="Output 3 3 5 4" xfId="14926"/>
    <cellStyle name="Output 2 7 5 4" xfId="14927"/>
    <cellStyle name="Output 11 5 4" xfId="14928"/>
    <cellStyle name="styleSeriesDataNA 2 9" xfId="14929"/>
    <cellStyle name="Input 2 2 6 8" xfId="14930"/>
    <cellStyle name="Input 5 3 6 4" xfId="14931"/>
    <cellStyle name="Input 4 3 6 4" xfId="14932"/>
    <cellStyle name="Input 3 3 6 4" xfId="14933"/>
    <cellStyle name="Input 2 7 6 4" xfId="14934"/>
    <cellStyle name="Calculation 10 6 4" xfId="14935"/>
    <cellStyle name="Input 14 6 4" xfId="14936"/>
    <cellStyle name="Input 16 6 4" xfId="14937"/>
    <cellStyle name="Input 17 6 4" xfId="14938"/>
    <cellStyle name="Input 15 6 4" xfId="14939"/>
    <cellStyle name="Input 13 6 4" xfId="14940"/>
    <cellStyle name="Calculation 5 2 6 4" xfId="14941"/>
    <cellStyle name="Calculation 4 3 6 4" xfId="14942"/>
    <cellStyle name="Calculation 3 3 6 4" xfId="14943"/>
    <cellStyle name="Calculation 2 7 6 4" xfId="14944"/>
    <cellStyle name="Calculation 11 6 4" xfId="14945"/>
    <cellStyle name="Output 10 5 4" xfId="14946"/>
    <cellStyle name="Note 12 5 4" xfId="14947"/>
    <cellStyle name="Note 2 7 5 4" xfId="14948"/>
    <cellStyle name="Note 2 2 4 5 4" xfId="14949"/>
    <cellStyle name="Note 3 5 5 4" xfId="14950"/>
    <cellStyle name="Note 3 2 5 5 4" xfId="14951"/>
    <cellStyle name="Note 4 4 5 4" xfId="14952"/>
    <cellStyle name="Note 4 2 3 5 4" xfId="14953"/>
    <cellStyle name="Note 5 3 5 4" xfId="14954"/>
    <cellStyle name="Note 5 2 2 5 4" xfId="14955"/>
    <cellStyle name="Note 6 3 5 4" xfId="14956"/>
    <cellStyle name="Note 6 2 2 5 4" xfId="14957"/>
    <cellStyle name="Note 7 3 5 4" xfId="14958"/>
    <cellStyle name="Note 7 2 2 5 4" xfId="14959"/>
    <cellStyle name="Note 8 2 5 4" xfId="14960"/>
    <cellStyle name="Note 9 2 5 4" xfId="14961"/>
    <cellStyle name="Output 12 5 4" xfId="14962"/>
    <cellStyle name="Output 2 8 5 4" xfId="14963"/>
    <cellStyle name="Output 3 4 5 4" xfId="14964"/>
    <cellStyle name="Output 4 4 5 4" xfId="14965"/>
    <cellStyle name="Output 5 3 5 4" xfId="14966"/>
    <cellStyle name="Total 10 5 4" xfId="14967"/>
    <cellStyle name="Total 11 5 4" xfId="14968"/>
    <cellStyle name="Total 2 8 5 4" xfId="14969"/>
    <cellStyle name="Total 3 3 5 4" xfId="14970"/>
    <cellStyle name="Total 4 3 5 4" xfId="14971"/>
    <cellStyle name="Total 5 2 5 4" xfId="14972"/>
    <cellStyle name="Total 12 5 4" xfId="14973"/>
    <cellStyle name="Total 2 9 5 4" xfId="14974"/>
    <cellStyle name="Total 3 4 5 4" xfId="14975"/>
    <cellStyle name="Total 4 4 5 4" xfId="14976"/>
    <cellStyle name="Total 5 3 5 4" xfId="14977"/>
    <cellStyle name="Note 7 3 2 2 5" xfId="14978"/>
    <cellStyle name="Note 4 3 2 2 5" xfId="14979"/>
    <cellStyle name="Note 3 2 8 2 5" xfId="14980"/>
    <cellStyle name="Output 3 6 2 5" xfId="14981"/>
    <cellStyle name="Note 8 3 4 5" xfId="14982"/>
    <cellStyle name="Note 12 4 5" xfId="14983"/>
    <cellStyle name="Input 17 2 8" xfId="14984"/>
    <cellStyle name="Note 2 5 2 8" xfId="14985"/>
    <cellStyle name="Input 18 6 4" xfId="14986"/>
    <cellStyle name="Output 9 9" xfId="14987"/>
    <cellStyle name="Calculation 12 6 4" xfId="14988"/>
    <cellStyle name="Input 19 6 4" xfId="14989"/>
    <cellStyle name="Note 13 6 4" xfId="14990"/>
    <cellStyle name="Output 13 6 4" xfId="14991"/>
    <cellStyle name="Total 13 6 4" xfId="14992"/>
    <cellStyle name="Total 3 2 3 5" xfId="14993"/>
    <cellStyle name="Note 12 9" xfId="14994"/>
    <cellStyle name="Calculation 2 8 6 4" xfId="14995"/>
    <cellStyle name="Calculation 3 4 6 4" xfId="14996"/>
    <cellStyle name="Calculation 4 4 6 4" xfId="14997"/>
    <cellStyle name="Calculation 5 3 6 4" xfId="14998"/>
    <cellStyle name="Input 2 8 6 4" xfId="14999"/>
    <cellStyle name="Input 3 4 6 4" xfId="15000"/>
    <cellStyle name="Input 4 4 6 4" xfId="15001"/>
    <cellStyle name="Input 5 4 6 4" xfId="15002"/>
    <cellStyle name="Note 2 8 6 4" xfId="15003"/>
    <cellStyle name="Note 2 2 5 6 4" xfId="15004"/>
    <cellStyle name="Note 3 6 6 4" xfId="15005"/>
    <cellStyle name="Note 3 2 6 6 4" xfId="15006"/>
    <cellStyle name="Note 4 5 6 4" xfId="15007"/>
    <cellStyle name="Note 4 2 4 6 4" xfId="15008"/>
    <cellStyle name="Note 5 4 6 4" xfId="15009"/>
    <cellStyle name="Note 5 2 3 6 4" xfId="15010"/>
    <cellStyle name="Note 6 4 6 4" xfId="15011"/>
    <cellStyle name="Note 6 2 3 6 4" xfId="15012"/>
    <cellStyle name="Note 7 4 6 4" xfId="15013"/>
    <cellStyle name="Note 7 2 3 6 4" xfId="15014"/>
    <cellStyle name="Note 8 3 6 4" xfId="15015"/>
    <cellStyle name="Output 2 9 6 4" xfId="15016"/>
    <cellStyle name="Output 3 5 6 4" xfId="15017"/>
    <cellStyle name="Output 4 5 6 4" xfId="15018"/>
    <cellStyle name="Output 5 4 6 4" xfId="15019"/>
    <cellStyle name="Total 2 10 6 4" xfId="15020"/>
    <cellStyle name="Total 3 5 6 4" xfId="15021"/>
    <cellStyle name="Total 4 5 6 4" xfId="15022"/>
    <cellStyle name="Total 5 4 6 4" xfId="15023"/>
    <cellStyle name="Input 20 6 4" xfId="15024"/>
    <cellStyle name="Calculation 2 8 5 5" xfId="15025"/>
    <cellStyle name="Calculation 4 3 10" xfId="15026"/>
    <cellStyle name="Input 21 6 4" xfId="15027"/>
    <cellStyle name="Output 7 3 5" xfId="15028"/>
    <cellStyle name="Input 14 10" xfId="15029"/>
    <cellStyle name="Input 11 10" xfId="15030"/>
    <cellStyle name="Input 10 3 2 4" xfId="15031"/>
    <cellStyle name="Input 2 4 4 2 4" xfId="15032"/>
    <cellStyle name="Input 7 4 2 4" xfId="15033"/>
    <cellStyle name="Note 4 2 6 4 4" xfId="15034"/>
    <cellStyle name="Note 3 3 3 4 4" xfId="15035"/>
    <cellStyle name="Note 2 5 3 4 4" xfId="15036"/>
    <cellStyle name="Note 2 4 2 3 4 4" xfId="15037"/>
    <cellStyle name="Note 2 3 2 3 4 4" xfId="15038"/>
    <cellStyle name="Note 2 2 2 3 4 4" xfId="15039"/>
    <cellStyle name="Input 6 6 4" xfId="15040"/>
    <cellStyle name="Input 4 7 4" xfId="15041"/>
    <cellStyle name="Input 2 4 5 4" xfId="15042"/>
    <cellStyle name="Input 2 2 4 5 4" xfId="15043"/>
    <cellStyle name="Input 2 2 2 5 4" xfId="15044"/>
    <cellStyle name="Input 2 12 4" xfId="15045"/>
    <cellStyle name="Input 24 4" xfId="15046"/>
    <cellStyle name="Note 14 4" xfId="15047"/>
    <cellStyle name="Note 2 11 4" xfId="15048"/>
    <cellStyle name="Note 2 2 8 4" xfId="15049"/>
    <cellStyle name="Calculation 2 9 4 4" xfId="15050"/>
    <cellStyle name="Calculation 2 2 5 4 4" xfId="15051"/>
    <cellStyle name="Calculation 2 2 2 2 4 4" xfId="15052"/>
    <cellStyle name="Calculation 2 2 3 2 4 4" xfId="15053"/>
    <cellStyle name="Calculation 2 2 4 2 4 4" xfId="15054"/>
    <cellStyle name="Calculation 2 3 2 4 4" xfId="15055"/>
    <cellStyle name="Calculation 2 4 2 4 4" xfId="15056"/>
    <cellStyle name="Calculation 2 5 2 4 4" xfId="15057"/>
    <cellStyle name="Calculation 3 5 4 4" xfId="15058"/>
    <cellStyle name="Note 3 2 10 4" xfId="15059"/>
    <cellStyle name="Note 3 2 2 5 4" xfId="15060"/>
    <cellStyle name="Note 4 8 4" xfId="15061"/>
    <cellStyle name="Output 3 8 2 4" xfId="15062"/>
    <cellStyle name="Calculation 2 3 5 4" xfId="15063"/>
    <cellStyle name="Calculation 2 2 4 5 4" xfId="15064"/>
    <cellStyle name="Calculation 2 2 3 5 4" xfId="15065"/>
    <cellStyle name="Calculation 2 2 2 5 4" xfId="15066"/>
    <cellStyle name="Calculation 2 2 8 4" xfId="15067"/>
    <cellStyle name="Calculation 13 4" xfId="15068"/>
    <cellStyle name="Output 4 4 3 5" xfId="15069"/>
    <cellStyle name="Output 2 3 4 6" xfId="15070"/>
    <cellStyle name="Input 2 10 8" xfId="15071"/>
    <cellStyle name="Input 2 2 7 6" xfId="15072"/>
    <cellStyle name="Style 22 9" xfId="15073"/>
    <cellStyle name="Style 24 2 9" xfId="15074"/>
    <cellStyle name="Calculation 10 4 5" xfId="15075"/>
    <cellStyle name="Input 21 10" xfId="15076"/>
    <cellStyle name="Note 2 8 4 5" xfId="15077"/>
    <cellStyle name="Note 2 2 2 2 2 5" xfId="15078"/>
    <cellStyle name="Input 4 3 5 5" xfId="15079"/>
    <cellStyle name="Total 4 4 2 8" xfId="15080"/>
    <cellStyle name="Input 3 3 4 5" xfId="15081"/>
    <cellStyle name="Calculation 4 4 10" xfId="15082"/>
    <cellStyle name="Total 2 2 2 4 2 4" xfId="15083"/>
    <cellStyle name="Total 2 2 4 4 2 4" xfId="15084"/>
    <cellStyle name="Input 5 4 4 5" xfId="15085"/>
    <cellStyle name="Total 14 4" xfId="15086"/>
    <cellStyle name="Header2 2 4 4" xfId="15087"/>
    <cellStyle name="Input 2 5 3 4 4" xfId="15088"/>
    <cellStyle name="Input 2 9 4 4" xfId="15089"/>
    <cellStyle name="Input 2 2 5 4 4" xfId="15090"/>
    <cellStyle name="Input 2 2 2 2 4 4" xfId="15091"/>
    <cellStyle name="Input 2 2 3 2 4 4" xfId="15092"/>
    <cellStyle name="Input 2 2 4 2 4 4" xfId="15093"/>
    <cellStyle name="Input 2 3 2 4 4" xfId="15094"/>
    <cellStyle name="Input 2 4 2 4 4" xfId="15095"/>
    <cellStyle name="Input 2 5 2 4 4" xfId="15096"/>
    <cellStyle name="Input 3 5 4 4" xfId="15097"/>
    <cellStyle name="Input 4 5 4 4" xfId="15098"/>
    <cellStyle name="Input 5 5 4 4" xfId="15099"/>
    <cellStyle name="Input 6 3 4 4" xfId="15100"/>
    <cellStyle name="Input 7 2 4 4" xfId="15101"/>
    <cellStyle name="Input 8 2 4 4" xfId="15102"/>
    <cellStyle name="Calculation 2 5 3 4 4" xfId="15103"/>
    <cellStyle name="Input 4 2 3 5" xfId="15104"/>
    <cellStyle name="Total 2 4 3 4 4" xfId="15105"/>
    <cellStyle name="Total 2 2 4 3 4 4" xfId="15106"/>
    <cellStyle name="Total 2 2 3 3 4 4" xfId="15107"/>
    <cellStyle name="Total 2 12 4 4" xfId="15108"/>
    <cellStyle name="Output 3 4 3 5" xfId="15109"/>
    <cellStyle name="Output 14 4" xfId="15110"/>
    <cellStyle name="Note 2 4 6 4" xfId="15111"/>
    <cellStyle name="Calculation 2 2 7 2 4" xfId="15112"/>
    <cellStyle name="Calculation 2 2 4 4 2 4" xfId="15113"/>
    <cellStyle name="Header2 3 2 4" xfId="15114"/>
    <cellStyle name="Input 2 2 7 2 4" xfId="15115"/>
    <cellStyle name="Input 2 3 4 2 4" xfId="15116"/>
    <cellStyle name="Input [yellow] 3 4" xfId="15117"/>
    <cellStyle name="Total 2 10 3 5" xfId="15118"/>
    <cellStyle name="Total 12 2 8" xfId="15119"/>
    <cellStyle name="Total 2 2 7 2 4" xfId="15120"/>
    <cellStyle name="Total 2 4 4 2 4" xfId="15121"/>
    <cellStyle name="Note 2 9 4 4" xfId="15122"/>
    <cellStyle name="Note 2 2 6 4 4" xfId="15123"/>
    <cellStyle name="Note 2 3 3 4 4" xfId="15124"/>
    <cellStyle name="Note 2 4 3 4 4" xfId="15125"/>
    <cellStyle name="Note 3 7 4 4" xfId="15126"/>
    <cellStyle name="Note 3 2 7 4 4" xfId="15127"/>
    <cellStyle name="Output 2 10 4 4" xfId="15128"/>
    <cellStyle name="Output 2 2 5 4 4" xfId="15129"/>
    <cellStyle name="Output 2 2 2 2 4 4" xfId="15130"/>
    <cellStyle name="Output 2 2 3 2 4 4" xfId="15131"/>
    <cellStyle name="Output 2 2 4 2 4 4" xfId="15132"/>
    <cellStyle name="Output 2 3 2 4 4" xfId="15133"/>
    <cellStyle name="Output 2 4 2 4 4" xfId="15134"/>
    <cellStyle name="Output 2 5 2 4 4" xfId="15135"/>
    <cellStyle name="Output 3 6 4 4" xfId="15136"/>
    <cellStyle name="Input 7 3 4 4" xfId="15137"/>
    <cellStyle name="Input 5 6 4 4" xfId="15138"/>
    <cellStyle name="Input 3 6 4 4" xfId="15139"/>
    <cellStyle name="Input 2 4 3 4 4" xfId="15140"/>
    <cellStyle name="Input 2 2 4 3 4 4" xfId="15141"/>
    <cellStyle name="Input 2 2 2 3 4 4" xfId="15142"/>
    <cellStyle name="Input 2 10 4 4" xfId="15143"/>
    <cellStyle name="Calculation 3 6 4 4" xfId="15144"/>
    <cellStyle name="Calculation 2 4 3 4 4" xfId="15145"/>
    <cellStyle name="Calculation 2 2 4 3 4 4" xfId="15146"/>
    <cellStyle name="Calculation 2 2 2 3 4 4" xfId="15147"/>
    <cellStyle name="Calculation 2 10 4 4" xfId="15148"/>
    <cellStyle name="StmtTtl2 2 4 4" xfId="15149"/>
    <cellStyle name="Total 2 11 4 4" xfId="15150"/>
    <cellStyle name="Total 2 2 5 4 4" xfId="15151"/>
    <cellStyle name="Total 2 2 2 2 4 4" xfId="15152"/>
    <cellStyle name="Total 2 2 3 2 4 4" xfId="15153"/>
    <cellStyle name="Total 2 2 4 2 4 4" xfId="15154"/>
    <cellStyle name="Total 2 3 2 4 4" xfId="15155"/>
    <cellStyle name="Total 2 4 2 4 4" xfId="15156"/>
    <cellStyle name="Total 2 5 2 4 4" xfId="15157"/>
    <cellStyle name="Total 2 6 2 4 4" xfId="15158"/>
    <cellStyle name="Total 3 6 4 4" xfId="15159"/>
    <cellStyle name="Note 13 2 2 5" xfId="15160"/>
    <cellStyle name="Note 2 3 2 3 3 5" xfId="15161"/>
    <cellStyle name="styleSeriesDataForecastNA 2 3 5" xfId="15162"/>
    <cellStyle name="Output 2 5 3 2 5" xfId="15163"/>
    <cellStyle name="Input 2 5 3 2 5" xfId="15164"/>
    <cellStyle name="Total 2 9 4 5" xfId="15165"/>
    <cellStyle name="Calculation 8 4 5" xfId="15166"/>
    <cellStyle name="Note 2 8 2 8" xfId="15167"/>
    <cellStyle name="Note 8 2 2 8" xfId="15168"/>
    <cellStyle name="Total 4 2 2 8" xfId="15169"/>
    <cellStyle name="Output 2 5 3 4 4" xfId="15170"/>
    <cellStyle name="Input 8 5 4" xfId="15171"/>
    <cellStyle name="Note 3 9 4" xfId="15172"/>
    <cellStyle name="Output 10 3 5" xfId="15173"/>
    <cellStyle name="Note 2 3 5 2 4" xfId="15174"/>
    <cellStyle name="Note 2 4 5 2 4" xfId="15175"/>
    <cellStyle name="Note 3 2 9 2 4" xfId="15176"/>
    <cellStyle name="Output 2 12 2 4" xfId="15177"/>
    <cellStyle name="Output 2 2 7 2 4" xfId="15178"/>
    <cellStyle name="Output 2 2 2 4 2 4" xfId="15179"/>
    <cellStyle name="Output 2 3 4 2 4" xfId="15180"/>
    <cellStyle name="Output 2 4 4 2 4" xfId="15181"/>
    <cellStyle name="Output 2 8 3 5" xfId="15182"/>
    <cellStyle name="Calculation 2 4 4 2 4" xfId="15183"/>
    <cellStyle name="Input 2 2 2 4 2 4" xfId="15184"/>
    <cellStyle name="Output 2 3 3 4 4" xfId="15185"/>
    <cellStyle name="Output 2 2 3 3 4 4" xfId="15186"/>
    <cellStyle name="Output 2 2 6 4 4" xfId="15187"/>
    <cellStyle name="Note 4 7 4 4" xfId="15188"/>
    <cellStyle name="Note 3 2 2 3 4 4" xfId="15189"/>
    <cellStyle name="Note 3 8 4 4" xfId="15190"/>
    <cellStyle name="Note 2 4 4 4 4" xfId="15191"/>
    <cellStyle name="Note 2 2 7 4 4" xfId="15192"/>
    <cellStyle name="Input 7 5 4" xfId="15193"/>
    <cellStyle name="Input 3 7 4" xfId="15194"/>
    <cellStyle name="Input 2 2 3 5 4" xfId="15195"/>
    <cellStyle name="Input 2 2 3 2 8" xfId="15196"/>
    <cellStyle name="Total 5 4 3 5" xfId="15197"/>
    <cellStyle name="Note 3 2 2 2 4 4" xfId="15198"/>
    <cellStyle name="Note 4 6 4 4" xfId="15199"/>
    <cellStyle name="Input 3 2 5 5" xfId="15200"/>
    <cellStyle name="Calculation 2 12 4" xfId="15201"/>
    <cellStyle name="Calculation 2 4 5 4" xfId="15202"/>
    <cellStyle name="Output 11 4 5" xfId="15203"/>
    <cellStyle name="Style 23 2 9" xfId="15204"/>
    <cellStyle name="Total 2 13 2 4" xfId="15205"/>
    <cellStyle name="Total 3 8 2 4" xfId="15206"/>
    <cellStyle name="Total 2 3 4 2 4" xfId="15207"/>
    <cellStyle name="Total 3 7 4 4" xfId="15208"/>
    <cellStyle name="Total 2 5 3 4 4" xfId="15209"/>
    <cellStyle name="Total 2 3 3 4 4" xfId="15210"/>
    <cellStyle name="Total 2 2 6 4 4" xfId="15211"/>
    <cellStyle name="Total 2 2 2 3 4 4" xfId="15212"/>
    <cellStyle name="StmtTtl2 3 4 4" xfId="15213"/>
    <cellStyle name="Calculation 2 11 2 4" xfId="15214"/>
    <cellStyle name="Input 23 4" xfId="15215"/>
    <cellStyle name="Input 2 11 2 4" xfId="15216"/>
    <cellStyle name="Input 2 2 4 4 2 4" xfId="15217"/>
    <cellStyle name="Input 8 4 2 4" xfId="15218"/>
    <cellStyle name="Output 3 7 4 4" xfId="15219"/>
    <cellStyle name="Input 22 4" xfId="15220"/>
    <cellStyle name="Header2 4 2 4" xfId="15221"/>
    <cellStyle name="Calculation 5 2 2 2 5" xfId="15222"/>
    <cellStyle name="Note 6 4 2 2 5" xfId="15223"/>
    <cellStyle name="Input 4 4 4 5" xfId="15224"/>
    <cellStyle name="StmtTtl2 4 2 4" xfId="15225"/>
    <cellStyle name="Total 2 2 3 4 2 4" xfId="15226"/>
    <cellStyle name="Total 2 5 4 2 4" xfId="15227"/>
    <cellStyle name="Note 2 5 2 4 4" xfId="15228"/>
    <cellStyle name="Note 2 2 2 2 4 4" xfId="15229"/>
    <cellStyle name="Note 2 3 2 2 4 4" xfId="15230"/>
    <cellStyle name="Note 2 4 2 2 4 4" xfId="15231"/>
    <cellStyle name="Note 3 3 2 4 4" xfId="15232"/>
    <cellStyle name="Input 8 3 4 4" xfId="15233"/>
    <cellStyle name="Input 6 4 4 4" xfId="15234"/>
    <cellStyle name="Input 4 6 4 4" xfId="15235"/>
    <cellStyle name="Input 2 3 3 4 4" xfId="15236"/>
    <cellStyle name="Input 2 2 3 3 4 4" xfId="15237"/>
    <cellStyle name="Input 2 2 6 4 4" xfId="15238"/>
    <cellStyle name="Calculation 2 3 3 4 4" xfId="15239"/>
    <cellStyle name="Calculation 2 2 3 3 4 4" xfId="15240"/>
    <cellStyle name="Calculation 2 2 6 4 4" xfId="15241"/>
    <cellStyle name="Calculation 3 8 4" xfId="15242"/>
    <cellStyle name="Note 3 2 2 4 2 4" xfId="15243"/>
    <cellStyle name="Output 2 2 4 4 2 4" xfId="15244"/>
    <cellStyle name="Output 2 2 3 4 2 4" xfId="15245"/>
    <cellStyle name="Input 2 2 3 4 2 4" xfId="15246"/>
    <cellStyle name="Output 2 4 3 4 4" xfId="15247"/>
    <cellStyle name="Output 2 2 4 3 4 4" xfId="15248"/>
    <cellStyle name="Output 2 2 2 3 4 4" xfId="15249"/>
    <cellStyle name="Output 2 11 4 4" xfId="15250"/>
    <cellStyle name="Note 3 2 8 4 4" xfId="15251"/>
    <cellStyle name="Note 2 3 4 4 4" xfId="15252"/>
    <cellStyle name="Note 2 10 4 4" xfId="15253"/>
    <cellStyle name="Input 5 8 4" xfId="15254"/>
    <cellStyle name="Input 2 3 5 4" xfId="15255"/>
    <cellStyle name="Input 2 2 8 4" xfId="15256"/>
    <cellStyle name="Note 4 2 5 4 4" xfId="15257"/>
    <cellStyle name="Style 21 5 4" xfId="15258"/>
    <cellStyle name="Style 21 2 5 4" xfId="15259"/>
    <cellStyle name="Style 22 5 4" xfId="15260"/>
    <cellStyle name="Style 22 2 5 4" xfId="15261"/>
    <cellStyle name="Style 23 5 4" xfId="15262"/>
    <cellStyle name="Style 23 2 5 4" xfId="15263"/>
    <cellStyle name="Style 24 5 4" xfId="15264"/>
    <cellStyle name="Style 24 2 5 4" xfId="15265"/>
    <cellStyle name="Style 25 5 4" xfId="15266"/>
    <cellStyle name="Style 25 2 5 4" xfId="15267"/>
    <cellStyle name="Style 26 5 4" xfId="15268"/>
    <cellStyle name="Style 26 2 5 4" xfId="15269"/>
    <cellStyle name="styleColumnTitles 5 4" xfId="15270"/>
    <cellStyle name="styleColumnTitles 2 5 4" xfId="15271"/>
    <cellStyle name="styleDateRange 5 4" xfId="15272"/>
    <cellStyle name="styleDateRange 2 5 4" xfId="15273"/>
    <cellStyle name="styleSeriesAttributes 5 4" xfId="15274"/>
    <cellStyle name="styleSeriesAttributes 2 5 4" xfId="15275"/>
    <cellStyle name="styleSeriesData 5 4" xfId="15276"/>
    <cellStyle name="styleSeriesData 2 5 4" xfId="15277"/>
    <cellStyle name="styleSeriesDataForecast 5 4" xfId="15278"/>
    <cellStyle name="styleSeriesDataForecast 2 5 4" xfId="15279"/>
    <cellStyle name="styleSeriesDataForecastNA 5 4" xfId="15280"/>
    <cellStyle name="styleSeriesDataForecastNA 2 5 4" xfId="15281"/>
    <cellStyle name="styleSeriesDataNA 5 4" xfId="15282"/>
    <cellStyle name="styleSeriesDataNA 2 5 4" xfId="15283"/>
    <cellStyle name="Style 21 2 2 4 4" xfId="15284"/>
    <cellStyle name="Style 22 2 2 4 4" xfId="15285"/>
    <cellStyle name="Style 23 2 2 4 4" xfId="15286"/>
    <cellStyle name="Style 24 2 2 4 4" xfId="15287"/>
    <cellStyle name="Style 25 2 2 4 4" xfId="15288"/>
    <cellStyle name="Style 26 2 2 4 4" xfId="15289"/>
    <cellStyle name="styleColumnTitles 2 2 4 4" xfId="15290"/>
    <cellStyle name="styleDateRange 2 2 4 4" xfId="15291"/>
    <cellStyle name="styleSeriesAttributes 2 2 4 4" xfId="15292"/>
    <cellStyle name="styleSeriesData 2 2 4 4" xfId="15293"/>
    <cellStyle name="styleSeriesDataForecast 2 2 4 4" xfId="15294"/>
    <cellStyle name="styleSeriesDataForecastNA 2 2 4 4" xfId="15295"/>
    <cellStyle name="styleSeriesDataNA 2 2 4 4" xfId="15296"/>
    <cellStyle name="Note 5 4 5 5" xfId="15297"/>
    <cellStyle name="Calculation 3 7 2 4" xfId="15298"/>
    <cellStyle name="Calculation 2 3 4 2 4" xfId="15299"/>
    <cellStyle name="Calculation 2 2 3 4 2 4" xfId="15300"/>
    <cellStyle name="Calculation 2 2 2 4 2 4" xfId="15301"/>
    <cellStyle name="Note 2 3 6 4" xfId="15302"/>
    <cellStyle name="Input 21 3 5" xfId="15303"/>
    <cellStyle name="Total 2 6 3 4 4" xfId="15304"/>
    <cellStyle name="Note 2 2 5 5 5" xfId="15305"/>
    <cellStyle name="Note 5 3 2 2 5" xfId="15306"/>
    <cellStyle name="Note 2 6 2 2 5" xfId="15307"/>
    <cellStyle name="Output 2 4 3 2 5" xfId="15308"/>
    <cellStyle name="Output 2 2 4 2 2 5" xfId="15309"/>
    <cellStyle name="Note 6 4 4 5" xfId="15310"/>
    <cellStyle name="Calculation 3 3 4 5" xfId="15311"/>
    <cellStyle name="Input 2 7 2 8" xfId="15312"/>
    <cellStyle name="Input 4 2 2 8" xfId="15313"/>
    <cellStyle name="styleDateRange 2 9" xfId="15314"/>
    <cellStyle name="Total 2 2 6 8" xfId="15315"/>
    <cellStyle name="Calculation 7 2 4 4" xfId="15316"/>
    <cellStyle name="Calculation 2 6 2 4 4" xfId="15317"/>
    <cellStyle name="Calculation 3 2 2 4 4" xfId="15318"/>
    <cellStyle name="Calculation 4 2 2 4 4" xfId="15319"/>
    <cellStyle name="Calculation 5 4 4 4" xfId="15320"/>
    <cellStyle name="Output 9 2 4 4" xfId="15321"/>
    <cellStyle name="Input 10 2 4 4" xfId="15322"/>
    <cellStyle name="Input 2 6 2 4 4" xfId="15323"/>
    <cellStyle name="Input 3 2 2 4 4" xfId="15324"/>
    <cellStyle name="Input 4 2 2 4 4" xfId="15325"/>
    <cellStyle name="Input 5 2 2 4 4" xfId="15326"/>
    <cellStyle name="Note 11 2 4 4" xfId="15327"/>
    <cellStyle name="Note 2 6 2 4 4" xfId="15328"/>
    <cellStyle name="Note 2 2 3 2 4 4" xfId="15329"/>
    <cellStyle name="Note 3 4 2 4 4" xfId="15330"/>
    <cellStyle name="Note 3 2 4 2 4 4" xfId="15331"/>
    <cellStyle name="Note 4 3 2 4 4" xfId="15332"/>
    <cellStyle name="Note 4 2 2 2 4 4" xfId="15333"/>
    <cellStyle name="Note 5 5 4 4" xfId="15334"/>
    <cellStyle name="Note 5 2 4 4 4" xfId="15335"/>
    <cellStyle name="Note 6 5 4 4" xfId="15336"/>
    <cellStyle name="Note 6 2 4 4 4" xfId="15337"/>
    <cellStyle name="Note 7 5 4 4" xfId="15338"/>
    <cellStyle name="Note 7 2 4 4 4" xfId="15339"/>
    <cellStyle name="Note 8 4 4 4" xfId="15340"/>
    <cellStyle name="Note 9 3 4 4" xfId="15341"/>
    <cellStyle name="Output 7 2 4 4" xfId="15342"/>
    <cellStyle name="Output 2 6 2 4 4" xfId="15343"/>
    <cellStyle name="Output 3 2 2 4 4" xfId="15344"/>
    <cellStyle name="Output 4 2 2 4 4" xfId="15345"/>
    <cellStyle name="Output 5 5 4 4" xfId="15346"/>
    <cellStyle name="Input 5 7 2 4" xfId="15347"/>
    <cellStyle name="Input 6 5 2 4" xfId="15348"/>
    <cellStyle name="Style 24 9" xfId="15349"/>
    <cellStyle name="Total 7 2 4 4" xfId="15350"/>
    <cellStyle name="Total 2 7 2 4 4" xfId="15351"/>
    <cellStyle name="Total 3 2 2 4 4" xfId="15352"/>
    <cellStyle name="Total 4 2 2 4 4" xfId="15353"/>
    <cellStyle name="Total 5 5 4 4" xfId="15354"/>
    <cellStyle name="Input 2 7 4 5" xfId="15355"/>
    <cellStyle name="Calculation 8 2 4 4" xfId="15356"/>
    <cellStyle name="Input 12 2 4 4" xfId="15357"/>
    <cellStyle name="Input 11 2 4 4" xfId="15358"/>
    <cellStyle name="Calculation 9 2 4 4" xfId="15359"/>
    <cellStyle name="Output 8 2 4 4" xfId="15360"/>
    <cellStyle name="Total 8 2 4 4" xfId="15361"/>
    <cellStyle name="Total 9 2 4 4" xfId="15362"/>
    <cellStyle name="Total 12 2 2 5" xfId="15363"/>
    <cellStyle name="Total 7 2 2 5" xfId="15364"/>
    <cellStyle name="Style 26 2 3 5" xfId="15365"/>
    <cellStyle name="Total 2 2 5 2 5" xfId="15366"/>
    <cellStyle name="Note 2 3 2 3 2 5" xfId="15367"/>
    <cellStyle name="Output 12 4 5" xfId="15368"/>
    <cellStyle name="Note 9 5 5" xfId="15369"/>
    <cellStyle name="Note 2 7 2 8" xfId="15370"/>
    <cellStyle name="Note 7 2 4 8" xfId="15371"/>
    <cellStyle name="Output 5 2 2 4 4" xfId="15372"/>
    <cellStyle name="Output 4 3 2 4 4" xfId="15373"/>
    <cellStyle name="Output 3 3 2 4 4" xfId="15374"/>
    <cellStyle name="Output 2 7 2 4 4" xfId="15375"/>
    <cellStyle name="Output 11 2 4 4" xfId="15376"/>
    <cellStyle name="Style 24 2 2 8" xfId="15377"/>
    <cellStyle name="Output 2 2 4 3 8" xfId="15378"/>
    <cellStyle name="Input 5 3 2 4 4" xfId="15379"/>
    <cellStyle name="Input 4 3 2 4 4" xfId="15380"/>
    <cellStyle name="Input 3 3 2 4 4" xfId="15381"/>
    <cellStyle name="Input 2 7 2 4 4" xfId="15382"/>
    <cellStyle name="Calculation 10 2 4 4" xfId="15383"/>
    <cellStyle name="Input 14 2 4 4" xfId="15384"/>
    <cellStyle name="Input 16 2 4 4" xfId="15385"/>
    <cellStyle name="Input 17 2 4 4" xfId="15386"/>
    <cellStyle name="Input 15 2 4 4" xfId="15387"/>
    <cellStyle name="Input 13 2 4 4" xfId="15388"/>
    <cellStyle name="Calculation 5 2 2 4 4" xfId="15389"/>
    <cellStyle name="Calculation 4 3 2 4 4" xfId="15390"/>
    <cellStyle name="Calculation 3 3 2 4 4" xfId="15391"/>
    <cellStyle name="Calculation 2 7 2 4 4" xfId="15392"/>
    <cellStyle name="Calculation 11 2 4 4" xfId="15393"/>
    <cellStyle name="Output 10 2 4 4" xfId="15394"/>
    <cellStyle name="Note 12 2 4 4" xfId="15395"/>
    <cellStyle name="Note 2 7 2 4 4" xfId="15396"/>
    <cellStyle name="Note 2 2 4 2 4 4" xfId="15397"/>
    <cellStyle name="Note 3 5 2 4 4" xfId="15398"/>
    <cellStyle name="Note 3 2 5 2 4 4" xfId="15399"/>
    <cellStyle name="Note 4 4 2 4 4" xfId="15400"/>
    <cellStyle name="Note 4 2 3 2 4 4" xfId="15401"/>
    <cellStyle name="Note 5 3 2 4 4" xfId="15402"/>
    <cellStyle name="Note 5 2 2 2 4 4" xfId="15403"/>
    <cellStyle name="Note 6 3 2 4 4" xfId="15404"/>
    <cellStyle name="Note 6 2 2 2 4 4" xfId="15405"/>
    <cellStyle name="Note 7 3 2 4 4" xfId="15406"/>
    <cellStyle name="Note 7 2 2 2 4 4" xfId="15407"/>
    <cellStyle name="Note 8 2 2 4 4" xfId="15408"/>
    <cellStyle name="Note 9 2 2 4 4" xfId="15409"/>
    <cellStyle name="Output 12 2 4 4" xfId="15410"/>
    <cellStyle name="Output 2 8 2 4 4" xfId="15411"/>
    <cellStyle name="Output 3 4 2 4 4" xfId="15412"/>
    <cellStyle name="Output 4 4 2 4 4" xfId="15413"/>
    <cellStyle name="Output 5 3 2 4 4" xfId="15414"/>
    <cellStyle name="Total 10 2 4 4" xfId="15415"/>
    <cellStyle name="Total 11 2 4 4" xfId="15416"/>
    <cellStyle name="Total 2 8 2 4 4" xfId="15417"/>
    <cellStyle name="Total 3 3 2 4 4" xfId="15418"/>
    <cellStyle name="Total 4 3 2 4 4" xfId="15419"/>
    <cellStyle name="Total 5 2 2 4 4" xfId="15420"/>
    <cellStyle name="Total 12 2 4 4" xfId="15421"/>
    <cellStyle name="Total 2 9 2 4 4" xfId="15422"/>
    <cellStyle name="Total 3 4 2 4 4" xfId="15423"/>
    <cellStyle name="Total 4 4 2 4 4" xfId="15424"/>
    <cellStyle name="Total 5 3 2 4 4" xfId="15425"/>
    <cellStyle name="Output 2 8 2 2 5" xfId="15426"/>
    <cellStyle name="Note 6 2 4 2 5" xfId="15427"/>
    <cellStyle name="Style 21 2 3 5" xfId="15428"/>
    <cellStyle name="Input 2 2 4 3 2 5" xfId="15429"/>
    <cellStyle name="Total 2 10 4 5" xfId="15430"/>
    <cellStyle name="Note 4 4 4 5" xfId="15431"/>
    <cellStyle name="Calculation 3 3 2 8" xfId="15432"/>
    <cellStyle name="Note 2 2 3 2 8" xfId="15433"/>
    <cellStyle name="styleSeriesDataForecast 9" xfId="15434"/>
    <cellStyle name="Input 8 3 8" xfId="15435"/>
    <cellStyle name="Input 18 2 4 4" xfId="15436"/>
    <cellStyle name="Calculation 12 2 4 4" xfId="15437"/>
    <cellStyle name="Input 19 2 4 4" xfId="15438"/>
    <cellStyle name="Note 13 2 4 4" xfId="15439"/>
    <cellStyle name="Output 13 2 4 4" xfId="15440"/>
    <cellStyle name="Total 13 2 4 4" xfId="15441"/>
    <cellStyle name="Input 12 3 5" xfId="15442"/>
    <cellStyle name="Note 3 2 5 9" xfId="15443"/>
    <cellStyle name="Calculation 2 8 2 4 4" xfId="15444"/>
    <cellStyle name="Calculation 3 4 2 4 4" xfId="15445"/>
    <cellStyle name="Calculation 4 4 2 4 4" xfId="15446"/>
    <cellStyle name="Calculation 5 3 2 4 4" xfId="15447"/>
    <cellStyle name="Input 2 8 2 4 4" xfId="15448"/>
    <cellStyle name="Input 3 4 2 4 4" xfId="15449"/>
    <cellStyle name="Input 4 4 2 4 4" xfId="15450"/>
    <cellStyle name="Input 5 4 2 4 4" xfId="15451"/>
    <cellStyle name="Calculation 3 2 10" xfId="15452"/>
    <cellStyle name="Note 2 8 2 4 4" xfId="15453"/>
    <cellStyle name="Note 2 2 5 2 4 4" xfId="15454"/>
    <cellStyle name="Note 3 6 2 4 4" xfId="15455"/>
    <cellStyle name="Note 3 2 6 2 4 4" xfId="15456"/>
    <cellStyle name="Note 4 5 2 4 4" xfId="15457"/>
    <cellStyle name="Note 4 2 4 2 4 4" xfId="15458"/>
    <cellStyle name="Note 5 4 2 4 4" xfId="15459"/>
    <cellStyle name="Note 5 2 3 2 4 4" xfId="15460"/>
    <cellStyle name="Note 6 4 2 4 4" xfId="15461"/>
    <cellStyle name="Note 6 2 3 2 4 4" xfId="15462"/>
    <cellStyle name="Note 7 4 2 4 4" xfId="15463"/>
    <cellStyle name="Note 7 2 3 2 4 4" xfId="15464"/>
    <cellStyle name="Note 8 3 2 4 4" xfId="15465"/>
    <cellStyle name="Output 2 9 2 4 4" xfId="15466"/>
    <cellStyle name="Output 3 5 2 4 4" xfId="15467"/>
    <cellStyle name="Output 4 5 2 4 4" xfId="15468"/>
    <cellStyle name="Output 5 4 2 4 4" xfId="15469"/>
    <cellStyle name="Total 5 3 2 8" xfId="15470"/>
    <cellStyle name="Total 2 10 2 4 4" xfId="15471"/>
    <cellStyle name="Total 3 5 2 4 4" xfId="15472"/>
    <cellStyle name="Total 4 5 2 4 4" xfId="15473"/>
    <cellStyle name="Total 5 4 2 4 4" xfId="15474"/>
    <cellStyle name="Input 20 2 4 4" xfId="15475"/>
    <cellStyle name="Total 5 4 5 5" xfId="15476"/>
    <cellStyle name="Total 2 12 3 5" xfId="15477"/>
    <cellStyle name="Input 21 2 4 4" xfId="15478"/>
    <cellStyle name="Input 15 5 5" xfId="15479"/>
    <cellStyle name="Input 17 10" xfId="15480"/>
    <cellStyle name="Note 2 5 3 3 5" xfId="15481"/>
    <cellStyle name="Calculation 8 2 2 5" xfId="15482"/>
    <cellStyle name="styleSeriesAttributes 3 5" xfId="15483"/>
    <cellStyle name="Total 2 4 2 2 5" xfId="15484"/>
    <cellStyle name="Calculation 2 2 3 2 2 5" xfId="15485"/>
    <cellStyle name="Total 10 4 5" xfId="15486"/>
    <cellStyle name="Output 5 7 5" xfId="15487"/>
    <cellStyle name="Calculation 4 4 2 8" xfId="15488"/>
    <cellStyle name="Note 4 2 3 2 8" xfId="15489"/>
    <cellStyle name="Output 3 2 2 8" xfId="15490"/>
    <cellStyle name="Note 2 10 8" xfId="15491"/>
    <cellStyle name="Calculation 2 13 3" xfId="15492"/>
    <cellStyle name="Calculation 2 2 9 3" xfId="15493"/>
    <cellStyle name="Calculation 2 2 2 6 3" xfId="15494"/>
    <cellStyle name="Calculation 2 2 3 6 3" xfId="15495"/>
    <cellStyle name="Calculation 2 2 4 6 3" xfId="15496"/>
    <cellStyle name="Calculation 2 3 6 3" xfId="15497"/>
    <cellStyle name="Calculation 2 4 6 3" xfId="15498"/>
    <cellStyle name="Calculation 3 9 3" xfId="15499"/>
    <cellStyle name="Input 2 13 3" xfId="15500"/>
    <cellStyle name="Input 2 2 9 3" xfId="15501"/>
    <cellStyle name="Input 2 2 2 6 3" xfId="15502"/>
    <cellStyle name="Input 2 2 3 6 3" xfId="15503"/>
    <cellStyle name="Input 2 2 4 6 3" xfId="15504"/>
    <cellStyle name="Input 2 3 6 3" xfId="15505"/>
    <cellStyle name="Input 2 4 6 3" xfId="15506"/>
    <cellStyle name="Input 3 8 3" xfId="15507"/>
    <cellStyle name="Input 4 8 3" xfId="15508"/>
    <cellStyle name="Input 5 9 3" xfId="15509"/>
    <cellStyle name="Input 6 7 3" xfId="15510"/>
    <cellStyle name="Input 7 6 3" xfId="15511"/>
    <cellStyle name="Input 8 6 3" xfId="15512"/>
    <cellStyle name="Note 2 12 3" xfId="15513"/>
    <cellStyle name="Note 2 2 9 3" xfId="15514"/>
    <cellStyle name="Note 2 3 7 3" xfId="15515"/>
    <cellStyle name="Note 2 4 7 3" xfId="15516"/>
    <cellStyle name="Note 3 10 3" xfId="15517"/>
    <cellStyle name="Note 3 2 11 3" xfId="15518"/>
    <cellStyle name="Note 3 2 2 6 3" xfId="15519"/>
    <cellStyle name="Note 4 9 3" xfId="15520"/>
    <cellStyle name="Output 2 13 3" xfId="15521"/>
    <cellStyle name="Output 2 2 8 3" xfId="15522"/>
    <cellStyle name="Output 2 2 2 5 3" xfId="15523"/>
    <cellStyle name="Output 2 2 3 5 3" xfId="15524"/>
    <cellStyle name="Output 2 2 4 5 3" xfId="15525"/>
    <cellStyle name="Output 2 3 5 3" xfId="15526"/>
    <cellStyle name="Output 2 4 5 3" xfId="15527"/>
    <cellStyle name="Output 3 9 3" xfId="15528"/>
    <cellStyle name="StmtTtl2 5 3" xfId="15529"/>
    <cellStyle name="Total 2 14 3" xfId="15530"/>
    <cellStyle name="Total 2 2 8 3" xfId="15531"/>
    <cellStyle name="Total 2 2 2 5 3" xfId="15532"/>
    <cellStyle name="Total 2 2 3 5 3" xfId="15533"/>
    <cellStyle name="Total 2 2 4 5 3" xfId="15534"/>
    <cellStyle name="Total 2 3 5 3" xfId="15535"/>
    <cellStyle name="Total 2 4 5 3" xfId="15536"/>
    <cellStyle name="Total 2 5 5 3" xfId="15537"/>
    <cellStyle name="Total 3 9 3" xfId="15538"/>
    <cellStyle name="Calculation 3 2 3 5" xfId="15539"/>
    <cellStyle name="Calculation 2 5 5 3" xfId="15540"/>
    <cellStyle name="Output 13 10" xfId="15541"/>
    <cellStyle name="Input 2 5 5 3" xfId="15542"/>
    <cellStyle name="Input [yellow] 2 2 3" xfId="15543"/>
    <cellStyle name="Note 2 2 2 5 3" xfId="15544"/>
    <cellStyle name="Note 2 3 2 5 3" xfId="15545"/>
    <cellStyle name="Note 2 4 2 5 3" xfId="15546"/>
    <cellStyle name="Note 2 5 5 3" xfId="15547"/>
    <cellStyle name="Note 3 3 5 3" xfId="15548"/>
    <cellStyle name="Note 4 2 7 3" xfId="15549"/>
    <cellStyle name="Output 2 5 5 3" xfId="15550"/>
    <cellStyle name="Total 2 6 5 3" xfId="15551"/>
    <cellStyle name="Note 2 5 4 6" xfId="15552"/>
    <cellStyle name="Note 12 2 2 5" xfId="15553"/>
    <cellStyle name="Output 9 2 2 5" xfId="15554"/>
    <cellStyle name="Input 4 6 2 5" xfId="15555"/>
    <cellStyle name="Note 2 4 3 2 5" xfId="15556"/>
    <cellStyle name="Note 2 2 5 4 5" xfId="15557"/>
    <cellStyle name="Input 14 4 5" xfId="15558"/>
    <cellStyle name="Output 2 7 2 8" xfId="15559"/>
    <cellStyle name="Calculation 3 2 2 8" xfId="15560"/>
    <cellStyle name="Style 25 9" xfId="15561"/>
    <cellStyle name="Note 3 2 2 2 8" xfId="15562"/>
    <cellStyle name="Calculation 7 7 3" xfId="15563"/>
    <cellStyle name="Calculation 2 6 7 3" xfId="15564"/>
    <cellStyle name="Calculation 3 2 7 3" xfId="15565"/>
    <cellStyle name="Calculation 4 2 7 3" xfId="15566"/>
    <cellStyle name="Calculation 5 8 3" xfId="15567"/>
    <cellStyle name="Output 9 6 3" xfId="15568"/>
    <cellStyle name="Input 10 7 3" xfId="15569"/>
    <cellStyle name="Input 2 6 7 3" xfId="15570"/>
    <cellStyle name="Input 3 2 7 3" xfId="15571"/>
    <cellStyle name="Input 4 2 7 3" xfId="15572"/>
    <cellStyle name="Input 5 2 7 3" xfId="15573"/>
    <cellStyle name="Note 11 6 3" xfId="15574"/>
    <cellStyle name="Note 2 6 6 3" xfId="15575"/>
    <cellStyle name="Note 2 2 3 6 3" xfId="15576"/>
    <cellStyle name="Note 3 4 6 3" xfId="15577"/>
    <cellStyle name="Note 3 2 4 6 3" xfId="15578"/>
    <cellStyle name="Note 4 3 6 3" xfId="15579"/>
    <cellStyle name="Note 4 2 2 6 3" xfId="15580"/>
    <cellStyle name="Note 5 9 3" xfId="15581"/>
    <cellStyle name="Note 5 2 8 3" xfId="15582"/>
    <cellStyle name="Note 6 9 3" xfId="15583"/>
    <cellStyle name="Note 6 2 8 3" xfId="15584"/>
    <cellStyle name="Note 7 9 3" xfId="15585"/>
    <cellStyle name="Note 7 2 8 3" xfId="15586"/>
    <cellStyle name="Note 8 8 3" xfId="15587"/>
    <cellStyle name="Note 9 7 3" xfId="15588"/>
    <cellStyle name="Output 7 6 3" xfId="15589"/>
    <cellStyle name="Output 2 6 6 3" xfId="15590"/>
    <cellStyle name="Output 3 2 6 3" xfId="15591"/>
    <cellStyle name="Output 4 2 6 3" xfId="15592"/>
    <cellStyle name="Output 5 9 3" xfId="15593"/>
    <cellStyle name="Total 7 6 3" xfId="15594"/>
    <cellStyle name="Total 2 7 6 3" xfId="15595"/>
    <cellStyle name="Total 3 2 6 3" xfId="15596"/>
    <cellStyle name="Total 4 2 6 3" xfId="15597"/>
    <cellStyle name="Total 5 9 3" xfId="15598"/>
    <cellStyle name="Calculation 8 7 3" xfId="15599"/>
    <cellStyle name="Input 12 7 3" xfId="15600"/>
    <cellStyle name="Input 11 7 3" xfId="15601"/>
    <cellStyle name="Calculation 9 7 3" xfId="15602"/>
    <cellStyle name="Output 8 6 3" xfId="15603"/>
    <cellStyle name="Total 8 6 3" xfId="15604"/>
    <cellStyle name="Total 9 6 3" xfId="15605"/>
    <cellStyle name="Output 5 3 2 2 5" xfId="15606"/>
    <cellStyle name="Note 8 4 2 5" xfId="15607"/>
    <cellStyle name="Style 23 3 5" xfId="15608"/>
    <cellStyle name="Calculation 3 6 2 5" xfId="15609"/>
    <cellStyle name="Total 5 4 4 5" xfId="15610"/>
    <cellStyle name="Note 5 2 2 4 5" xfId="15611"/>
    <cellStyle name="Note 4 3 2 8" xfId="15612"/>
    <cellStyle name="Output 5 2 6 3" xfId="15613"/>
    <cellStyle name="Output 4 3 6 3" xfId="15614"/>
    <cellStyle name="Output 3 3 6 3" xfId="15615"/>
    <cellStyle name="Output 2 7 6 3" xfId="15616"/>
    <cellStyle name="Output 11 6 3" xfId="15617"/>
    <cellStyle name="styleSeriesDataForecastNA 2 9" xfId="15618"/>
    <cellStyle name="Input 2 3 3 8" xfId="15619"/>
    <cellStyle name="Input 5 3 7 3" xfId="15620"/>
    <cellStyle name="Input 4 3 7 3" xfId="15621"/>
    <cellStyle name="Input 3 3 7 3" xfId="15622"/>
    <cellStyle name="Input 2 7 7 3" xfId="15623"/>
    <cellStyle name="Calculation 10 7 3" xfId="15624"/>
    <cellStyle name="Input 14 7 3" xfId="15625"/>
    <cellStyle name="Input 16 7 3" xfId="15626"/>
    <cellStyle name="Input 17 7 3" xfId="15627"/>
    <cellStyle name="Input 15 7 3" xfId="15628"/>
    <cellStyle name="Input 13 7 3" xfId="15629"/>
    <cellStyle name="Calculation 5 2 7 3" xfId="15630"/>
    <cellStyle name="Calculation 4 3 7 3" xfId="15631"/>
    <cellStyle name="Calculation 3 3 7 3" xfId="15632"/>
    <cellStyle name="Calculation 2 7 7 3" xfId="15633"/>
    <cellStyle name="Calculation 11 7 3" xfId="15634"/>
    <cellStyle name="Output 10 6 3" xfId="15635"/>
    <cellStyle name="Note 12 6 3" xfId="15636"/>
    <cellStyle name="Note 2 7 6 3" xfId="15637"/>
    <cellStyle name="Note 2 2 4 6 3" xfId="15638"/>
    <cellStyle name="Note 3 5 6 3" xfId="15639"/>
    <cellStyle name="Note 3 2 5 6 3" xfId="15640"/>
    <cellStyle name="Note 4 4 6 3" xfId="15641"/>
    <cellStyle name="Note 4 2 3 6 3" xfId="15642"/>
    <cellStyle name="Note 5 3 6 3" xfId="15643"/>
    <cellStyle name="Note 5 2 2 6 3" xfId="15644"/>
    <cellStyle name="Note 6 3 6 3" xfId="15645"/>
    <cellStyle name="Note 6 2 2 6 3" xfId="15646"/>
    <cellStyle name="Note 7 3 6 3" xfId="15647"/>
    <cellStyle name="Note 7 2 2 6 3" xfId="15648"/>
    <cellStyle name="Note 8 2 6 3" xfId="15649"/>
    <cellStyle name="Note 9 2 6 3" xfId="15650"/>
    <cellStyle name="Output 12 6 3" xfId="15651"/>
    <cellStyle name="Output 2 8 6 3" xfId="15652"/>
    <cellStyle name="Output 3 4 6 3" xfId="15653"/>
    <cellStyle name="Output 4 4 6 3" xfId="15654"/>
    <cellStyle name="Output 5 3 6 3" xfId="15655"/>
    <cellStyle name="Total 10 6 3" xfId="15656"/>
    <cellStyle name="Total 11 6 3" xfId="15657"/>
    <cellStyle name="Total 2 8 6 3" xfId="15658"/>
    <cellStyle name="Total 3 3 6 3" xfId="15659"/>
    <cellStyle name="Total 4 3 6 3" xfId="15660"/>
    <cellStyle name="Total 5 2 6 3" xfId="15661"/>
    <cellStyle name="Total 12 6 3" xfId="15662"/>
    <cellStyle name="Total 2 9 6 3" xfId="15663"/>
    <cellStyle name="Total 3 4 6 3" xfId="15664"/>
    <cellStyle name="Total 4 4 6 3" xfId="15665"/>
    <cellStyle name="Total 5 3 6 3" xfId="15666"/>
    <cellStyle name="Note 6 3 2 2 5" xfId="15667"/>
    <cellStyle name="Note 3 4 2 2 5" xfId="15668"/>
    <cellStyle name="Output 2 2 2 3 2 5" xfId="15669"/>
    <cellStyle name="Output 2 4 2 2 5" xfId="15670"/>
    <cellStyle name="Note 7 4 4 5" xfId="15671"/>
    <cellStyle name="Calculation 11 4 5" xfId="15672"/>
    <cellStyle name="Input 14 2 8" xfId="15673"/>
    <cellStyle name="StmtTtl2 3 8" xfId="15674"/>
    <cellStyle name="Input 18 7 3" xfId="15675"/>
    <cellStyle name="Calculation 12 7 3" xfId="15676"/>
    <cellStyle name="Input 19 7 3" xfId="15677"/>
    <cellStyle name="Note 13 7 3" xfId="15678"/>
    <cellStyle name="Output 13 7 3" xfId="15679"/>
    <cellStyle name="Total 13 7 3" xfId="15680"/>
    <cellStyle name="Total 7 3 5" xfId="15681"/>
    <cellStyle name="Calculation 2 8 7 3" xfId="15682"/>
    <cellStyle name="Calculation 3 4 7 3" xfId="15683"/>
    <cellStyle name="Calculation 4 4 7 3" xfId="15684"/>
    <cellStyle name="Calculation 5 3 7 3" xfId="15685"/>
    <cellStyle name="Input 2 8 7 3" xfId="15686"/>
    <cellStyle name="Input 3 4 7 3" xfId="15687"/>
    <cellStyle name="Input 4 4 7 3" xfId="15688"/>
    <cellStyle name="Input 5 4 7 3" xfId="15689"/>
    <cellStyle name="Note 2 8 7 3" xfId="15690"/>
    <cellStyle name="Note 2 2 5 7 3" xfId="15691"/>
    <cellStyle name="Note 3 6 7 3" xfId="15692"/>
    <cellStyle name="Note 3 2 6 7 3" xfId="15693"/>
    <cellStyle name="Note 4 5 7 3" xfId="15694"/>
    <cellStyle name="Note 4 2 4 7 3" xfId="15695"/>
    <cellStyle name="Note 5 4 7 3" xfId="15696"/>
    <cellStyle name="Note 5 2 3 7 3" xfId="15697"/>
    <cellStyle name="Note 6 4 7 3" xfId="15698"/>
    <cellStyle name="Note 6 2 3 7 3" xfId="15699"/>
    <cellStyle name="Note 7 4 7 3" xfId="15700"/>
    <cellStyle name="Note 7 2 3 7 3" xfId="15701"/>
    <cellStyle name="Note 8 3 7 3" xfId="15702"/>
    <cellStyle name="Output 2 9 7 3" xfId="15703"/>
    <cellStyle name="Output 3 5 7 3" xfId="15704"/>
    <cellStyle name="Output 4 5 7 3" xfId="15705"/>
    <cellStyle name="Output 5 4 7 3" xfId="15706"/>
    <cellStyle name="Total 2 10 7 3" xfId="15707"/>
    <cellStyle name="Total 3 5 7 3" xfId="15708"/>
    <cellStyle name="Total 4 5 7 3" xfId="15709"/>
    <cellStyle name="Total 5 4 7 3" xfId="15710"/>
    <cellStyle name="Input 20 7 3" xfId="15711"/>
    <cellStyle name="Calculation 3 3 5 5" xfId="15712"/>
    <cellStyle name="Input 13 10" xfId="15713"/>
    <cellStyle name="Calculation 2 5 4 6" xfId="15714"/>
    <cellStyle name="Input 21 7 3" xfId="15715"/>
    <cellStyle name="Note 8 5 5" xfId="15716"/>
    <cellStyle name="Input 2 7 10" xfId="15717"/>
    <cellStyle name="Note 6 7 2 3" xfId="15718"/>
    <cellStyle name="Note 5 7 2 3" xfId="15719"/>
    <cellStyle name="Note 4 3 4 2 3" xfId="15720"/>
    <cellStyle name="Note 3 4 4 2 3" xfId="15721"/>
    <cellStyle name="Note 2 6 4 2 3" xfId="15722"/>
    <cellStyle name="Input 5 2 4 2 3" xfId="15723"/>
    <cellStyle name="Input 4 2 4 2 3" xfId="15724"/>
    <cellStyle name="Input 3 2 4 2 3" xfId="15725"/>
    <cellStyle name="Input 3 3 5 5" xfId="15726"/>
    <cellStyle name="Calculation 9 2 2 5" xfId="15727"/>
    <cellStyle name="styleSeriesData 2 3 5" xfId="15728"/>
    <cellStyle name="Total 3 6 2 5" xfId="15729"/>
    <cellStyle name="Calculation 2 4 2 2 5" xfId="15730"/>
    <cellStyle name="Calculation 5 6 2 3" xfId="15731"/>
    <cellStyle name="Calculation 4 2 4 2 3" xfId="15732"/>
    <cellStyle name="Calculation 3 2 4 2 3" xfId="15733"/>
    <cellStyle name="Calculation 2 6 4 2 3" xfId="15734"/>
    <cellStyle name="Calculation 7 4 2 3" xfId="15735"/>
    <cellStyle name="Total 3 3 4 5" xfId="15736"/>
    <cellStyle name="Calculation 3 2 5 2 3" xfId="15737"/>
    <cellStyle name="Calculation 4 2 5 2 3" xfId="15738"/>
    <cellStyle name="Total 2 7 4 5" xfId="15739"/>
    <cellStyle name="Input 10 5 2 3" xfId="15740"/>
    <cellStyle name="Input 3 4 2 8" xfId="15741"/>
    <cellStyle name="Note 6 3 2 8" xfId="15742"/>
    <cellStyle name="Calculation 8 5 2 3" xfId="15743"/>
    <cellStyle name="Input 16 5 2 3" xfId="15744"/>
    <cellStyle name="styleSeriesData 2 2 8" xfId="15745"/>
    <cellStyle name="Total 13 5 2 3" xfId="15746"/>
    <cellStyle name="Calculation 3 4 5 2 3" xfId="15747"/>
    <cellStyle name="Calculation 2 9 3 2 3" xfId="15748"/>
    <cellStyle name="Calculation 2 2 5 3 2 3" xfId="15749"/>
    <cellStyle name="Calculation 2 2 3 2 3 2 3" xfId="15750"/>
    <cellStyle name="Calculation 2 3 2 3 2 3" xfId="15751"/>
    <cellStyle name="Total 2 4 3 3 2 3" xfId="15752"/>
    <cellStyle name="Calculation 2 11 3 3" xfId="15753"/>
    <cellStyle name="Calculation 2 2 7 3 3" xfId="15754"/>
    <cellStyle name="Calculation 2 2 2 4 3 3" xfId="15755"/>
    <cellStyle name="Calculation 2 2 3 4 3 3" xfId="15756"/>
    <cellStyle name="Calculation 2 2 4 4 3 3" xfId="15757"/>
    <cellStyle name="Calculation 2 3 4 3 3" xfId="15758"/>
    <cellStyle name="Calculation 2 4 4 3 3" xfId="15759"/>
    <cellStyle name="Calculation 3 7 3 3" xfId="15760"/>
    <cellStyle name="Header2 3 3 3" xfId="15761"/>
    <cellStyle name="Input 2 11 3 3" xfId="15762"/>
    <cellStyle name="Input 2 2 7 3 3" xfId="15763"/>
    <cellStyle name="Input 2 2 2 4 3 3" xfId="15764"/>
    <cellStyle name="Input 2 2 3 4 3 3" xfId="15765"/>
    <cellStyle name="Input 2 2 4 4 3 3" xfId="15766"/>
    <cellStyle name="Input 2 3 4 3 3" xfId="15767"/>
    <cellStyle name="Input 2 4 4 3 3" xfId="15768"/>
    <cellStyle name="Input 5 7 3 3" xfId="15769"/>
    <cellStyle name="Input 6 5 3 3" xfId="15770"/>
    <cellStyle name="Input 7 4 3 3" xfId="15771"/>
    <cellStyle name="Input 8 4 3 3" xfId="15772"/>
    <cellStyle name="Calculation 5 2 5 2 3" xfId="15773"/>
    <cellStyle name="Input 18 5 2 3" xfId="15774"/>
    <cellStyle name="Calculation 3 5 3 2 3" xfId="15775"/>
    <cellStyle name="Input 7 2 3 2 3" xfId="15776"/>
    <cellStyle name="Note 2 3 5 3 3" xfId="15777"/>
    <cellStyle name="Note 2 4 5 3 3" xfId="15778"/>
    <cellStyle name="Note 3 2 9 3 3" xfId="15779"/>
    <cellStyle name="Note 3 2 2 4 3 3" xfId="15780"/>
    <cellStyle name="Output 2 12 3 3" xfId="15781"/>
    <cellStyle name="Output 2 2 7 3 3" xfId="15782"/>
    <cellStyle name="Output 2 2 2 4 3 3" xfId="15783"/>
    <cellStyle name="Output 2 2 3 4 3 3" xfId="15784"/>
    <cellStyle name="Output 2 2 4 4 3 3" xfId="15785"/>
    <cellStyle name="Output 2 3 4 3 3" xfId="15786"/>
    <cellStyle name="Output 2 4 4 3 3" xfId="15787"/>
    <cellStyle name="Output 3 8 3 3" xfId="15788"/>
    <cellStyle name="Header2 4 3 3" xfId="15789"/>
    <cellStyle name="Calculation 7 5 2 3" xfId="15790"/>
    <cellStyle name="Input 2 6 5 2 3" xfId="15791"/>
    <cellStyle name="Input 11 5 2 3" xfId="15792"/>
    <cellStyle name="Input 17 5 2 3" xfId="15793"/>
    <cellStyle name="Calculation 11 5 2 3" xfId="15794"/>
    <cellStyle name="Input 5 4 5 2 3" xfId="15795"/>
    <cellStyle name="Note 2 8 5 2 3" xfId="15796"/>
    <cellStyle name="Note 3 6 5 2 3" xfId="15797"/>
    <cellStyle name="StmtTtl2 4 3 3" xfId="15798"/>
    <cellStyle name="Input 21 5 2 3" xfId="15799"/>
    <cellStyle name="Calculation 2 2 4 2 3 2 3" xfId="15800"/>
    <cellStyle name="Calculation 2 4 2 3 2 3" xfId="15801"/>
    <cellStyle name="Header2 2 3 2 3" xfId="15802"/>
    <cellStyle name="Input 2 5 3 3 2 3" xfId="15803"/>
    <cellStyle name="Input 2 2 2 2 3 2 3" xfId="15804"/>
    <cellStyle name="Input 2 2 3 2 3 2 3" xfId="15805"/>
    <cellStyle name="Input 2 3 2 3 2 3" xfId="15806"/>
    <cellStyle name="Input 2 4 2 3 2 3" xfId="15807"/>
    <cellStyle name="Input 2 5 2 3 2 3" xfId="15808"/>
    <cellStyle name="Input 3 5 3 2 3" xfId="15809"/>
    <cellStyle name="Total 2 13 3 3" xfId="15810"/>
    <cellStyle name="Total 2 2 7 3 3" xfId="15811"/>
    <cellStyle name="Total 2 2 2 4 3 3" xfId="15812"/>
    <cellStyle name="Total 2 2 3 4 3 3" xfId="15813"/>
    <cellStyle name="Total 2 2 4 4 3 3" xfId="15814"/>
    <cellStyle name="Total 2 3 4 3 3" xfId="15815"/>
    <cellStyle name="Total 2 4 4 3 3" xfId="15816"/>
    <cellStyle name="Total 2 5 4 3 3" xfId="15817"/>
    <cellStyle name="Total 3 8 3 3" xfId="15818"/>
    <cellStyle name="Input 4 5 3 2 3" xfId="15819"/>
    <cellStyle name="Input 8 2 3 2 3" xfId="15820"/>
    <cellStyle name="Total 2 2 4 3 3 2 3" xfId="15821"/>
    <cellStyle name="Total 2 2 3 3 3 2 3" xfId="15822"/>
    <cellStyle name="Output 9 3 5" xfId="15823"/>
    <cellStyle name="Note 3 2 4 4 2 3" xfId="15824"/>
    <cellStyle name="Note 11 4 2 3" xfId="15825"/>
    <cellStyle name="Input 2 6 4 2 3" xfId="15826"/>
    <cellStyle name="Input 3 2 5 2 3" xfId="15827"/>
    <cellStyle name="Note 4 2 6 3 2 3" xfId="15828"/>
    <cellStyle name="Calculation 2 5 4 2 3" xfId="15829"/>
    <cellStyle name="Input 2 5 4 2 3" xfId="15830"/>
    <cellStyle name="Total 3 5 5 2 3" xfId="15831"/>
    <cellStyle name="Input 2 2 5 3 2 3" xfId="15832"/>
    <cellStyle name="Input 5 5 3 2 3" xfId="15833"/>
    <cellStyle name="Total 2 12 3 2 3" xfId="15834"/>
    <cellStyle name="Note 2 2 2 4 2 3" xfId="15835"/>
    <cellStyle name="Note 2 3 2 4 2 3" xfId="15836"/>
    <cellStyle name="Note 2 4 2 4 2 3" xfId="15837"/>
    <cellStyle name="Note 2 5 4 2 3" xfId="15838"/>
    <cellStyle name="Note 3 3 4 2 3" xfId="15839"/>
    <cellStyle name="Output 2 5 4 2 3" xfId="15840"/>
    <cellStyle name="Calculation 2 6 5 2 3" xfId="15841"/>
    <cellStyle name="Input 4 2 5 2 3" xfId="15842"/>
    <cellStyle name="Input 5 2 5 2 3" xfId="15843"/>
    <cellStyle name="Calculation 9 5 2 3" xfId="15844"/>
    <cellStyle name="Note 2 2 5 5 2 3" xfId="15845"/>
    <cellStyle name="Input 20 5 2 3" xfId="15846"/>
    <cellStyle name="Input 2 2 4 2 3 2 3" xfId="15847"/>
    <cellStyle name="Total 2 6 4 2 3" xfId="15848"/>
    <cellStyle name="Calculation 2 6 5 5" xfId="15849"/>
    <cellStyle name="Note 5 2 6 2 3" xfId="15850"/>
    <cellStyle name="Note 4 2 2 4 2 3" xfId="15851"/>
    <cellStyle name="Note 2 2 3 4 2 3" xfId="15852"/>
    <cellStyle name="Note 3 5 2 2 5" xfId="15853"/>
    <cellStyle name="Input 3 2 2 2 5" xfId="15854"/>
    <cellStyle name="Input 2 2 6 2 5" xfId="15855"/>
    <cellStyle name="Output 2 10 2 5" xfId="15856"/>
    <cellStyle name="Output 9 4 2 3" xfId="15857"/>
    <cellStyle name="Note 4 5 4 5" xfId="15858"/>
    <cellStyle name="Input 15 4 5" xfId="15859"/>
    <cellStyle name="Output 9 2 8" xfId="15860"/>
    <cellStyle name="Style 26 2 9" xfId="15861"/>
    <cellStyle name="Note 8 3 5 2 3" xfId="15862"/>
    <cellStyle name="Output 2 9 5 2 3" xfId="15863"/>
    <cellStyle name="Output 4 5 5 2 3" xfId="15864"/>
    <cellStyle name="Calculation 2 5 3 3 2 3" xfId="15865"/>
    <cellStyle name="Calculation 7 3 2 3" xfId="15866"/>
    <cellStyle name="Calculation 2 6 3 2 3" xfId="15867"/>
    <cellStyle name="Calculation 3 2 3 2 3" xfId="15868"/>
    <cellStyle name="Calculation 4 2 3 2 3" xfId="15869"/>
    <cellStyle name="Calculation 5 5 2 3" xfId="15870"/>
    <cellStyle name="Output 9 3 2 3" xfId="15871"/>
    <cellStyle name="Note 5 4 5 2 3" xfId="15872"/>
    <cellStyle name="Input 10 3 3 3" xfId="15873"/>
    <cellStyle name="Input 2 6 3 2 3" xfId="15874"/>
    <cellStyle name="Input 3 2 3 2 3" xfId="15875"/>
    <cellStyle name="Input 4 2 3 2 3" xfId="15876"/>
    <cellStyle name="Input 5 2 3 2 3" xfId="15877"/>
    <cellStyle name="Note 11 3 2 3" xfId="15878"/>
    <cellStyle name="Note 2 6 3 2 3" xfId="15879"/>
    <cellStyle name="Note 2 2 3 3 2 3" xfId="15880"/>
    <cellStyle name="Note 3 4 3 2 3" xfId="15881"/>
    <cellStyle name="Note 3 2 4 3 2 3" xfId="15882"/>
    <cellStyle name="Note 4 3 3 2 3" xfId="15883"/>
    <cellStyle name="Note 4 2 2 3 2 3" xfId="15884"/>
    <cellStyle name="Note 5 6 2 3" xfId="15885"/>
    <cellStyle name="Note 5 2 5 2 3" xfId="15886"/>
    <cellStyle name="Note 6 6 2 3" xfId="15887"/>
    <cellStyle name="Note 6 2 5 2 3" xfId="15888"/>
    <cellStyle name="Note 7 6 2 3" xfId="15889"/>
    <cellStyle name="Note 7 2 5 2 3" xfId="15890"/>
    <cellStyle name="Note 8 5 2 3" xfId="15891"/>
    <cellStyle name="Note 9 4 2 3" xfId="15892"/>
    <cellStyle name="Output 7 3 2 3" xfId="15893"/>
    <cellStyle name="Output 2 6 3 2 3" xfId="15894"/>
    <cellStyle name="Output 3 2 3 2 3" xfId="15895"/>
    <cellStyle name="Output 4 2 3 2 3" xfId="15896"/>
    <cellStyle name="Output 5 6 2 3" xfId="15897"/>
    <cellStyle name="Input 15 5 2 3" xfId="15898"/>
    <cellStyle name="Input 13 5 2 3" xfId="15899"/>
    <cellStyle name="Calculation 4 3 5 2 3" xfId="15900"/>
    <cellStyle name="Calculation 3 3 5 2 3" xfId="15901"/>
    <cellStyle name="Calculation 2 7 5 2 3" xfId="15902"/>
    <cellStyle name="Calculation 2 8 5 2 3" xfId="15903"/>
    <cellStyle name="Input 2 8 5 2 3" xfId="15904"/>
    <cellStyle name="Output 5 4 5 2 3" xfId="15905"/>
    <cellStyle name="Total 2 10 5 2 3" xfId="15906"/>
    <cellStyle name="Total 4 5 5 2 3" xfId="15907"/>
    <cellStyle name="Total 5 4 5 2 3" xfId="15908"/>
    <cellStyle name="Calculation 2 5 2 3 2 3" xfId="15909"/>
    <cellStyle name="Total 7 3 2 3" xfId="15910"/>
    <cellStyle name="Total 2 7 3 2 3" xfId="15911"/>
    <cellStyle name="Total 3 2 3 2 3" xfId="15912"/>
    <cellStyle name="Total 4 2 3 2 3" xfId="15913"/>
    <cellStyle name="Total 5 6 2 3" xfId="15914"/>
    <cellStyle name="Input 6 3 3 2 3" xfId="15915"/>
    <cellStyle name="Calculation 8 3 2 3" xfId="15916"/>
    <cellStyle name="Input 12 3 2 3" xfId="15917"/>
    <cellStyle name="Input 11 3 2 3" xfId="15918"/>
    <cellStyle name="Calculation 9 3 2 3" xfId="15919"/>
    <cellStyle name="Output 8 3 2 3" xfId="15920"/>
    <cellStyle name="Total 8 3 2 3" xfId="15921"/>
    <cellStyle name="Total 9 3 2 3" xfId="15922"/>
    <cellStyle name="Input 10 4 2 3" xfId="15923"/>
    <cellStyle name="Total 2 8 2 2 5" xfId="15924"/>
    <cellStyle name="Output 2 6 2 2 5" xfId="15925"/>
    <cellStyle name="Style 24 2 3 5" xfId="15926"/>
    <cellStyle name="Calculation 2 2 2 3 2 5" xfId="15927"/>
    <cellStyle name="Note 4 2 6 2 5" xfId="15928"/>
    <cellStyle name="Note 7 3 4 5" xfId="15929"/>
    <cellStyle name="Note 6 2 6 5" xfId="15930"/>
    <cellStyle name="Input 19 2 8" xfId="15931"/>
    <cellStyle name="Note 5 2 4 8" xfId="15932"/>
    <cellStyle name="Output 5 2 3 2 3" xfId="15933"/>
    <cellStyle name="Output 4 3 3 2 3" xfId="15934"/>
    <cellStyle name="Output 3 3 3 2 3" xfId="15935"/>
    <cellStyle name="Output 2 7 3 2 3" xfId="15936"/>
    <cellStyle name="Output 11 3 2 3" xfId="15937"/>
    <cellStyle name="Calculation 2 3 3 8" xfId="15938"/>
    <cellStyle name="Input 5 3 3 2 3" xfId="15939"/>
    <cellStyle name="Input 4 3 3 2 3" xfId="15940"/>
    <cellStyle name="Input 3 3 3 2 3" xfId="15941"/>
    <cellStyle name="Input 2 7 3 2 3" xfId="15942"/>
    <cellStyle name="Calculation 10 3 2 3" xfId="15943"/>
    <cellStyle name="Input 14 3 2 3" xfId="15944"/>
    <cellStyle name="Input 16 3 2 3" xfId="15945"/>
    <cellStyle name="Input 17 3 2 3" xfId="15946"/>
    <cellStyle name="Input 15 3 2 3" xfId="15947"/>
    <cellStyle name="Input 13 3 2 3" xfId="15948"/>
    <cellStyle name="Calculation 5 2 3 2 3" xfId="15949"/>
    <cellStyle name="Calculation 4 3 3 2 3" xfId="15950"/>
    <cellStyle name="Calculation 3 3 3 2 3" xfId="15951"/>
    <cellStyle name="Calculation 2 7 3 2 3" xfId="15952"/>
    <cellStyle name="Calculation 11 3 2 3" xfId="15953"/>
    <cellStyle name="Output 10 3 2 3" xfId="15954"/>
    <cellStyle name="Note 12 3 2 3" xfId="15955"/>
    <cellStyle name="Note 2 7 3 2 3" xfId="15956"/>
    <cellStyle name="Note 2 2 4 3 2 3" xfId="15957"/>
    <cellStyle name="Note 3 5 3 2 3" xfId="15958"/>
    <cellStyle name="Note 3 2 5 3 2 3" xfId="15959"/>
    <cellStyle name="Note 4 4 3 2 3" xfId="15960"/>
    <cellStyle name="Note 4 2 3 3 2 3" xfId="15961"/>
    <cellStyle name="Note 5 3 3 2 3" xfId="15962"/>
    <cellStyle name="Note 5 2 2 3 2 3" xfId="15963"/>
    <cellStyle name="Note 6 3 3 2 3" xfId="15964"/>
    <cellStyle name="Note 6 2 2 3 2 3" xfId="15965"/>
    <cellStyle name="Note 7 3 3 2 3" xfId="15966"/>
    <cellStyle name="Note 7 2 2 3 2 3" xfId="15967"/>
    <cellStyle name="Note 8 2 3 2 3" xfId="15968"/>
    <cellStyle name="Note 9 2 3 2 3" xfId="15969"/>
    <cellStyle name="Output 12 3 2 3" xfId="15970"/>
    <cellStyle name="Output 2 8 3 2 3" xfId="15971"/>
    <cellStyle name="Output 3 4 3 2 3" xfId="15972"/>
    <cellStyle name="Output 4 4 3 2 3" xfId="15973"/>
    <cellStyle name="Output 5 3 3 2 3" xfId="15974"/>
    <cellStyle name="Total 10 3 2 3" xfId="15975"/>
    <cellStyle name="Total 11 3 2 3" xfId="15976"/>
    <cellStyle name="Total 2 8 3 2 3" xfId="15977"/>
    <cellStyle name="Total 3 3 3 2 3" xfId="15978"/>
    <cellStyle name="Total 4 3 3 2 3" xfId="15979"/>
    <cellStyle name="Total 5 2 3 2 3" xfId="15980"/>
    <cellStyle name="Total 12 3 2 3" xfId="15981"/>
    <cellStyle name="Total 2 9 3 2 3" xfId="15982"/>
    <cellStyle name="Total 3 4 3 2 3" xfId="15983"/>
    <cellStyle name="Total 4 4 3 2 3" xfId="15984"/>
    <cellStyle name="Total 5 3 3 2 3" xfId="15985"/>
    <cellStyle name="Note 7 2 2 2 2 5" xfId="15986"/>
    <cellStyle name="Note 4 2 2 2 2 5" xfId="15987"/>
    <cellStyle name="Note 2 3 4 2 5" xfId="15988"/>
    <cellStyle name="Input 7 3 2 5" xfId="15989"/>
    <cellStyle name="Output 2 9 4 5" xfId="15990"/>
    <cellStyle name="Note 2 7 4 5" xfId="15991"/>
    <cellStyle name="Input 15 2 8" xfId="15992"/>
    <cellStyle name="styleSeriesAttributes 9" xfId="15993"/>
    <cellStyle name="Note 2 2 2 2 8" xfId="15994"/>
    <cellStyle name="Input 18 3 2 3" xfId="15995"/>
    <cellStyle name="Calculation 12 3 2 3" xfId="15996"/>
    <cellStyle name="Input 19 3 2 3" xfId="15997"/>
    <cellStyle name="Note 13 3 2 3" xfId="15998"/>
    <cellStyle name="Output 13 3 2 3" xfId="15999"/>
    <cellStyle name="Total 13 3 2 3" xfId="16000"/>
    <cellStyle name="Total 4 2 3 5" xfId="16001"/>
    <cellStyle name="Calculation 2 8 3 2 3" xfId="16002"/>
    <cellStyle name="Calculation 3 4 3 2 3" xfId="16003"/>
    <cellStyle name="Calculation 4 4 3 2 3" xfId="16004"/>
    <cellStyle name="Calculation 5 3 3 2 3" xfId="16005"/>
    <cellStyle name="Input 2 8 3 2 3" xfId="16006"/>
    <cellStyle name="Input 3 4 3 2 3" xfId="16007"/>
    <cellStyle name="Input 4 4 3 2 3" xfId="16008"/>
    <cellStyle name="Input 5 4 3 2 3" xfId="16009"/>
    <cellStyle name="Note 2 8 3 2 3" xfId="16010"/>
    <cellStyle name="Note 2 2 5 3 2 3" xfId="16011"/>
    <cellStyle name="Note 3 6 3 2 3" xfId="16012"/>
    <cellStyle name="Note 3 2 6 3 2 3" xfId="16013"/>
    <cellStyle name="Note 4 5 3 2 3" xfId="16014"/>
    <cellStyle name="Note 4 2 4 3 2 3" xfId="16015"/>
    <cellStyle name="Note 5 4 3 2 3" xfId="16016"/>
    <cellStyle name="Note 5 2 3 3 2 3" xfId="16017"/>
    <cellStyle name="Note 6 4 3 2 3" xfId="16018"/>
    <cellStyle name="Note 6 2 3 3 2 3" xfId="16019"/>
    <cellStyle name="Note 7 4 3 2 3" xfId="16020"/>
    <cellStyle name="Note 7 2 3 3 2 3" xfId="16021"/>
    <cellStyle name="Note 8 3 3 2 3" xfId="16022"/>
    <cellStyle name="Output 2 9 3 2 3" xfId="16023"/>
    <cellStyle name="Output 3 5 3 2 3" xfId="16024"/>
    <cellStyle name="Output 4 5 3 2 3" xfId="16025"/>
    <cellStyle name="Output 5 4 3 2 3" xfId="16026"/>
    <cellStyle name="Total 2 10 3 2 3" xfId="16027"/>
    <cellStyle name="Total 3 5 3 2 3" xfId="16028"/>
    <cellStyle name="Total 4 5 3 2 3" xfId="16029"/>
    <cellStyle name="Total 5 4 3 2 3" xfId="16030"/>
    <cellStyle name="Input 20 3 2 3" xfId="16031"/>
    <cellStyle name="Input 2 8 5 5" xfId="16032"/>
    <cellStyle name="Calculation 3 3 10" xfId="16033"/>
    <cellStyle name="Input 4 4 5 2 3" xfId="16034"/>
    <cellStyle name="Calculation 5 3 5 2 3" xfId="16035"/>
    <cellStyle name="Calculation 4 4 5 2 3" xfId="16036"/>
    <cellStyle name="Input 3 4 5 2 3" xfId="16037"/>
    <cellStyle name="Input 2 5 4 6" xfId="16038"/>
    <cellStyle name="Input 21 3 2 3" xfId="16039"/>
    <cellStyle name="Output 2 6 3 5" xfId="16040"/>
    <cellStyle name="Input 16 10" xfId="16041"/>
    <cellStyle name="Note 4 2 6 5 3" xfId="16042"/>
    <cellStyle name="Note 3 3 3 5 3" xfId="16043"/>
    <cellStyle name="Note 2 5 3 5 3" xfId="16044"/>
    <cellStyle name="Note 2 4 2 3 5 3" xfId="16045"/>
    <cellStyle name="Note 2 3 2 3 5 3" xfId="16046"/>
    <cellStyle name="Note 2 2 2 3 5 3" xfId="16047"/>
    <cellStyle name="Calculation 2 9 5 3" xfId="16048"/>
    <cellStyle name="Calculation 2 2 5 5 3" xfId="16049"/>
    <cellStyle name="Calculation 2 2 2 2 5 3" xfId="16050"/>
    <cellStyle name="Calculation 2 2 3 2 5 3" xfId="16051"/>
    <cellStyle name="Calculation 2 2 4 2 5 3" xfId="16052"/>
    <cellStyle name="Calculation 2 3 2 5 3" xfId="16053"/>
    <cellStyle name="Calculation 2 4 2 5 3" xfId="16054"/>
    <cellStyle name="Calculation 2 5 2 5 3" xfId="16055"/>
    <cellStyle name="Calculation 3 5 5 3" xfId="16056"/>
    <cellStyle name="Output 2 2 3 4 6" xfId="16057"/>
    <cellStyle name="Input 7 2 3 5" xfId="16058"/>
    <cellStyle name="Header2 3 6" xfId="16059"/>
    <cellStyle name="Input 3 2 4 5" xfId="16060"/>
    <cellStyle name="Calculation 2 8 10" xfId="16061"/>
    <cellStyle name="Header2 2 5 3" xfId="16062"/>
    <cellStyle name="Input 2 5 3 5 3" xfId="16063"/>
    <cellStyle name="Input 2 9 5 3" xfId="16064"/>
    <cellStyle name="Input 2 2 5 5 3" xfId="16065"/>
    <cellStyle name="Input 2 2 2 2 5 3" xfId="16066"/>
    <cellStyle name="Input 2 2 3 2 5 3" xfId="16067"/>
    <cellStyle name="Input 2 2 4 2 5 3" xfId="16068"/>
    <cellStyle name="Input 2 3 2 5 3" xfId="16069"/>
    <cellStyle name="Input 2 4 2 5 3" xfId="16070"/>
    <cellStyle name="Input 2 5 2 5 3" xfId="16071"/>
    <cellStyle name="Input 3 5 5 3" xfId="16072"/>
    <cellStyle name="Input 4 5 5 3" xfId="16073"/>
    <cellStyle name="Input 5 5 5 3" xfId="16074"/>
    <cellStyle name="Input 6 3 5 3" xfId="16075"/>
    <cellStyle name="Input 7 2 5 3" xfId="16076"/>
    <cellStyle name="Input 8 2 5 3" xfId="16077"/>
    <cellStyle name="Calculation 2 5 3 5 3" xfId="16078"/>
    <cellStyle name="Input 2 6 3 5" xfId="16079"/>
    <cellStyle name="Total 2 4 3 5 3" xfId="16080"/>
    <cellStyle name="Total 2 2 4 3 5 3" xfId="16081"/>
    <cellStyle name="Total 2 2 3 3 5 3" xfId="16082"/>
    <cellStyle name="Total 2 12 5 3" xfId="16083"/>
    <cellStyle name="Note 2 9 5 3" xfId="16084"/>
    <cellStyle name="Note 2 2 6 5 3" xfId="16085"/>
    <cellStyle name="Note 2 3 3 5 3" xfId="16086"/>
    <cellStyle name="Note 2 4 3 5 3" xfId="16087"/>
    <cellStyle name="Note 3 7 5 3" xfId="16088"/>
    <cellStyle name="Note 3 2 7 5 3" xfId="16089"/>
    <cellStyle name="Output 2 10 5 3" xfId="16090"/>
    <cellStyle name="Output 2 2 5 5 3" xfId="16091"/>
    <cellStyle name="Output 2 2 2 2 5 3" xfId="16092"/>
    <cellStyle name="Output 2 2 3 2 5 3" xfId="16093"/>
    <cellStyle name="Output 2 2 4 2 5 3" xfId="16094"/>
    <cellStyle name="Output 2 3 2 5 3" xfId="16095"/>
    <cellStyle name="Output 2 4 2 5 3" xfId="16096"/>
    <cellStyle name="Output 2 5 2 5 3" xfId="16097"/>
    <cellStyle name="Output 3 6 5 3" xfId="16098"/>
    <cellStyle name="Input 7 3 5 3" xfId="16099"/>
    <cellStyle name="Input 5 6 5 3" xfId="16100"/>
    <cellStyle name="Input 3 6 5 3" xfId="16101"/>
    <cellStyle name="Input 2 4 3 5 3" xfId="16102"/>
    <cellStyle name="Input 2 2 4 3 5 3" xfId="16103"/>
    <cellStyle name="Input 2 2 2 3 5 3" xfId="16104"/>
    <cellStyle name="Input 2 10 5 3" xfId="16105"/>
    <cellStyle name="Calculation 3 6 5 3" xfId="16106"/>
    <cellStyle name="Calculation 2 4 3 5 3" xfId="16107"/>
    <cellStyle name="Calculation 2 2 4 3 5 3" xfId="16108"/>
    <cellStyle name="Calculation 2 2 2 3 5 3" xfId="16109"/>
    <cellStyle name="Calculation 2 10 5 3" xfId="16110"/>
    <cellStyle name="StmtTtl2 2 5 3" xfId="16111"/>
    <cellStyle name="Total 2 11 5 3" xfId="16112"/>
    <cellStyle name="Total 2 2 5 5 3" xfId="16113"/>
    <cellStyle name="Total 2 2 2 2 5 3" xfId="16114"/>
    <cellStyle name="Total 2 2 3 2 5 3" xfId="16115"/>
    <cellStyle name="Total 2 2 4 2 5 3" xfId="16116"/>
    <cellStyle name="Total 2 3 2 5 3" xfId="16117"/>
    <cellStyle name="Total 2 4 2 5 3" xfId="16118"/>
    <cellStyle name="Total 2 5 2 5 3" xfId="16119"/>
    <cellStyle name="Total 2 6 2 5 3" xfId="16120"/>
    <cellStyle name="Total 3 6 5 3" xfId="16121"/>
    <cellStyle name="Calculation 12 2 2 5" xfId="16122"/>
    <cellStyle name="Total 8 2 2 5" xfId="16123"/>
    <cellStyle name="styleSeriesDataForecast 2 3 5" xfId="16124"/>
    <cellStyle name="Output 3 5 5 5" xfId="16125"/>
    <cellStyle name="Calculation 3 5 2 5" xfId="16126"/>
    <cellStyle name="Total 5 2 4 5" xfId="16127"/>
    <cellStyle name="Total 4 2 4 5" xfId="16128"/>
    <cellStyle name="Input 5 4 2 8" xfId="16129"/>
    <cellStyle name="Note 7 3 2 8" xfId="16130"/>
    <cellStyle name="Total 2 7 2 8" xfId="16131"/>
    <cellStyle name="styleSeriesDataForecastNA 2 2 8" xfId="16132"/>
    <cellStyle name="Output 2 5 3 5 3" xfId="16133"/>
    <cellStyle name="Output 2 3 3 5 3" xfId="16134"/>
    <cellStyle name="Output 2 2 3 3 5 3" xfId="16135"/>
    <cellStyle name="Output 2 2 6 5 3" xfId="16136"/>
    <cellStyle name="Note 4 7 5 3" xfId="16137"/>
    <cellStyle name="Note 3 2 2 3 5 3" xfId="16138"/>
    <cellStyle name="Note 3 8 5 3" xfId="16139"/>
    <cellStyle name="Note 2 4 4 5 3" xfId="16140"/>
    <cellStyle name="Note 2 2 7 5 3" xfId="16141"/>
    <cellStyle name="Note 3 2 2 2 5 3" xfId="16142"/>
    <cellStyle name="Note 4 6 5 3" xfId="16143"/>
    <cellStyle name="Note 11 4 5" xfId="16144"/>
    <cellStyle name="Total 3 7 5 3" xfId="16145"/>
    <cellStyle name="Total 2 5 3 5 3" xfId="16146"/>
    <cellStyle name="Total 2 3 3 5 3" xfId="16147"/>
    <cellStyle name="Total 2 2 6 5 3" xfId="16148"/>
    <cellStyle name="Total 2 2 2 3 5 3" xfId="16149"/>
    <cellStyle name="StmtTtl2 3 5 3" xfId="16150"/>
    <cellStyle name="Output 3 7 5 3" xfId="16151"/>
    <cellStyle name="Note 2 5 2 5 3" xfId="16152"/>
    <cellStyle name="Note 2 2 2 2 5 3" xfId="16153"/>
    <cellStyle name="Note 2 3 2 2 5 3" xfId="16154"/>
    <cellStyle name="Note 2 4 2 2 5 3" xfId="16155"/>
    <cellStyle name="Note 3 3 2 5 3" xfId="16156"/>
    <cellStyle name="Input 8 3 5 3" xfId="16157"/>
    <cellStyle name="Input 6 4 5 3" xfId="16158"/>
    <cellStyle name="Input 4 6 5 3" xfId="16159"/>
    <cellStyle name="Input 2 3 3 5 3" xfId="16160"/>
    <cellStyle name="Input 2 2 3 3 5 3" xfId="16161"/>
    <cellStyle name="Input 2 2 6 5 3" xfId="16162"/>
    <cellStyle name="Calculation 2 3 3 5 3" xfId="16163"/>
    <cellStyle name="Calculation 2 2 3 3 5 3" xfId="16164"/>
    <cellStyle name="Calculation 2 2 6 5 3" xfId="16165"/>
    <cellStyle name="Output 2 4 3 5 3" xfId="16166"/>
    <cellStyle name="Output 2 2 4 3 5 3" xfId="16167"/>
    <cellStyle name="Output 2 2 2 3 5 3" xfId="16168"/>
    <cellStyle name="Output 2 11 5 3" xfId="16169"/>
    <cellStyle name="Note 3 2 8 5 3" xfId="16170"/>
    <cellStyle name="Note 2 3 4 5 3" xfId="16171"/>
    <cellStyle name="Note 2 10 5 3" xfId="16172"/>
    <cellStyle name="Note 4 2 5 5 3" xfId="16173"/>
    <cellStyle name="Style 21 6 3" xfId="16174"/>
    <cellStyle name="Style 21 2 6 3" xfId="16175"/>
    <cellStyle name="Style 22 6 3" xfId="16176"/>
    <cellStyle name="Style 22 2 6 3" xfId="16177"/>
    <cellStyle name="Style 23 6 3" xfId="16178"/>
    <cellStyle name="Style 23 2 6 3" xfId="16179"/>
    <cellStyle name="Style 24 6 3" xfId="16180"/>
    <cellStyle name="Style 24 2 6 3" xfId="16181"/>
    <cellStyle name="Style 25 6 3" xfId="16182"/>
    <cellStyle name="Style 25 2 6 3" xfId="16183"/>
    <cellStyle name="Style 26 6 3" xfId="16184"/>
    <cellStyle name="Style 26 2 6 3" xfId="16185"/>
    <cellStyle name="styleColumnTitles 6 3" xfId="16186"/>
    <cellStyle name="styleColumnTitles 2 6 3" xfId="16187"/>
    <cellStyle name="styleDateRange 6 3" xfId="16188"/>
    <cellStyle name="styleDateRange 2 6 3" xfId="16189"/>
    <cellStyle name="styleSeriesAttributes 6 3" xfId="16190"/>
    <cellStyle name="styleSeriesAttributes 2 6 3" xfId="16191"/>
    <cellStyle name="styleSeriesData 6 3" xfId="16192"/>
    <cellStyle name="styleSeriesData 2 6 3" xfId="16193"/>
    <cellStyle name="styleSeriesDataForecast 6 3" xfId="16194"/>
    <cellStyle name="styleSeriesDataForecast 2 6 3" xfId="16195"/>
    <cellStyle name="styleSeriesDataForecastNA 6 3" xfId="16196"/>
    <cellStyle name="styleSeriesDataForecastNA 2 6 3" xfId="16197"/>
    <cellStyle name="styleSeriesDataNA 6 3" xfId="16198"/>
    <cellStyle name="styleSeriesDataNA 2 6 3" xfId="16199"/>
    <cellStyle name="Style 21 2 2 5 3" xfId="16200"/>
    <cellStyle name="Style 22 2 2 5 3" xfId="16201"/>
    <cellStyle name="Style 23 2 2 5 3" xfId="16202"/>
    <cellStyle name="Style 24 2 2 5 3" xfId="16203"/>
    <cellStyle name="Style 25 2 2 5 3" xfId="16204"/>
    <cellStyle name="Style 26 2 2 5 3" xfId="16205"/>
    <cellStyle name="styleColumnTitles 2 2 5 3" xfId="16206"/>
    <cellStyle name="styleDateRange 2 2 5 3" xfId="16207"/>
    <cellStyle name="styleSeriesAttributes 2 2 5 3" xfId="16208"/>
    <cellStyle name="styleSeriesData 2 2 5 3" xfId="16209"/>
    <cellStyle name="styleSeriesDataForecast 2 2 5 3" xfId="16210"/>
    <cellStyle name="styleSeriesDataForecastNA 2 2 5 3" xfId="16211"/>
    <cellStyle name="styleSeriesDataNA 2 2 5 3" xfId="16212"/>
    <cellStyle name="Total 2 6 3 5 3" xfId="16213"/>
    <cellStyle name="Input 5 2 5 5" xfId="16214"/>
    <cellStyle name="Note 4 4 2 2 5" xfId="16215"/>
    <cellStyle name="Input 5 2 2 2 5" xfId="16216"/>
    <cellStyle name="Calculation 2 2 3 3 2 5" xfId="16217"/>
    <cellStyle name="Output 2 2 2 2 2 5" xfId="16218"/>
    <cellStyle name="Note 5 4 4 5" xfId="16219"/>
    <cellStyle name="Calculation 5 2 4 5" xfId="16220"/>
    <cellStyle name="Input 4 3 2 8" xfId="16221"/>
    <cellStyle name="Input 2 6 2 8" xfId="16222"/>
    <cellStyle name="styleColumnTitles 2 9" xfId="16223"/>
    <cellStyle name="Total 2 5 3 8" xfId="16224"/>
    <cellStyle name="Calculation 7 2 5 3" xfId="16225"/>
    <cellStyle name="Calculation 2 6 2 5 3" xfId="16226"/>
    <cellStyle name="Calculation 3 2 2 5 3" xfId="16227"/>
    <cellStyle name="Calculation 4 2 2 5 3" xfId="16228"/>
    <cellStyle name="Calculation 5 4 5 3" xfId="16229"/>
    <cellStyle name="Output 9 2 5 3" xfId="16230"/>
    <cellStyle name="Input 10 2 5 3" xfId="16231"/>
    <cellStyle name="Input 2 6 2 5 3" xfId="16232"/>
    <cellStyle name="Input 3 2 2 5 3" xfId="16233"/>
    <cellStyle name="Input 4 2 2 5 3" xfId="16234"/>
    <cellStyle name="Input 5 2 2 5 3" xfId="16235"/>
    <cellStyle name="Note 11 2 5 3" xfId="16236"/>
    <cellStyle name="Note 2 6 2 5 3" xfId="16237"/>
    <cellStyle name="Note 2 2 3 2 5 3" xfId="16238"/>
    <cellStyle name="Note 3 4 2 5 3" xfId="16239"/>
    <cellStyle name="Note 3 2 4 2 5 3" xfId="16240"/>
    <cellStyle name="Note 4 3 2 5 3" xfId="16241"/>
    <cellStyle name="Note 4 2 2 2 5 3" xfId="16242"/>
    <cellStyle name="Note 5 5 5 3" xfId="16243"/>
    <cellStyle name="Note 5 2 4 5 3" xfId="16244"/>
    <cellStyle name="Note 6 5 5 3" xfId="16245"/>
    <cellStyle name="Note 6 2 4 5 3" xfId="16246"/>
    <cellStyle name="Note 7 5 5 3" xfId="16247"/>
    <cellStyle name="Note 7 2 4 5 3" xfId="16248"/>
    <cellStyle name="Note 8 4 5 3" xfId="16249"/>
    <cellStyle name="Note 9 3 5 3" xfId="16250"/>
    <cellStyle name="Output 7 2 5 3" xfId="16251"/>
    <cellStyle name="Output 2 6 2 5 3" xfId="16252"/>
    <cellStyle name="Output 3 2 2 5 3" xfId="16253"/>
    <cellStyle name="Output 4 2 2 5 3" xfId="16254"/>
    <cellStyle name="Output 5 5 5 3" xfId="16255"/>
    <cellStyle name="Total 7 2 5 3" xfId="16256"/>
    <cellStyle name="Total 2 7 2 5 3" xfId="16257"/>
    <cellStyle name="Total 3 2 2 5 3" xfId="16258"/>
    <cellStyle name="Total 4 2 2 5 3" xfId="16259"/>
    <cellStyle name="Total 5 5 5 3" xfId="16260"/>
    <cellStyle name="Calculation 8 2 5 3" xfId="16261"/>
    <cellStyle name="Input 12 2 5 3" xfId="16262"/>
    <cellStyle name="Input 11 2 5 3" xfId="16263"/>
    <cellStyle name="Calculation 9 2 5 3" xfId="16264"/>
    <cellStyle name="Output 8 2 5 3" xfId="16265"/>
    <cellStyle name="Total 8 2 5 3" xfId="16266"/>
    <cellStyle name="Total 9 2 5 3" xfId="16267"/>
    <cellStyle name="Total 4 3 2 2 5" xfId="16268"/>
    <cellStyle name="Output 4 2 2 2 5" xfId="16269"/>
    <cellStyle name="Style 25 2 3 5" xfId="16270"/>
    <cellStyle name="StmtTtl2 2 2 5" xfId="16271"/>
    <cellStyle name="Note 2 5 3 2 5" xfId="16272"/>
    <cellStyle name="Note 8 2 4 5" xfId="16273"/>
    <cellStyle name="Note 7 2 6 5" xfId="16274"/>
    <cellStyle name="Output 13 2 8" xfId="16275"/>
    <cellStyle name="Output 10 2 8" xfId="16276"/>
    <cellStyle name="Note 6 2 4 8" xfId="16277"/>
    <cellStyle name="Output 5 2 2 5 3" xfId="16278"/>
    <cellStyle name="Output 4 3 2 5 3" xfId="16279"/>
    <cellStyle name="Output 3 3 2 5 3" xfId="16280"/>
    <cellStyle name="Output 2 7 2 5 3" xfId="16281"/>
    <cellStyle name="Output 11 2 5 3" xfId="16282"/>
    <cellStyle name="Style 22 2 2 8" xfId="16283"/>
    <cellStyle name="Calculation 2 2 6 8" xfId="16284"/>
    <cellStyle name="Input 5 3 2 5 3" xfId="16285"/>
    <cellStyle name="Input 4 3 2 5 3" xfId="16286"/>
    <cellStyle name="Input 3 3 2 5 3" xfId="16287"/>
    <cellStyle name="Input 2 7 2 5 3" xfId="16288"/>
    <cellStyle name="Calculation 10 2 5 3" xfId="16289"/>
    <cellStyle name="Input 14 2 5 3" xfId="16290"/>
    <cellStyle name="Input 16 2 5 3" xfId="16291"/>
    <cellStyle name="Input 17 2 5 3" xfId="16292"/>
    <cellStyle name="Input 15 2 5 3" xfId="16293"/>
    <cellStyle name="Input 13 2 5 3" xfId="16294"/>
    <cellStyle name="Calculation 5 2 2 5 3" xfId="16295"/>
    <cellStyle name="Calculation 4 3 2 5 3" xfId="16296"/>
    <cellStyle name="Calculation 3 3 2 5 3" xfId="16297"/>
    <cellStyle name="Calculation 2 7 2 5 3" xfId="16298"/>
    <cellStyle name="Calculation 11 2 5 3" xfId="16299"/>
    <cellStyle name="Output 10 2 5 3" xfId="16300"/>
    <cellStyle name="Note 12 2 5 3" xfId="16301"/>
    <cellStyle name="Note 2 7 2 5 3" xfId="16302"/>
    <cellStyle name="Note 2 2 4 2 5 3" xfId="16303"/>
    <cellStyle name="Note 3 5 2 5 3" xfId="16304"/>
    <cellStyle name="Note 3 2 5 2 5 3" xfId="16305"/>
    <cellStyle name="Note 4 4 2 5 3" xfId="16306"/>
    <cellStyle name="Note 4 2 3 2 5 3" xfId="16307"/>
    <cellStyle name="Note 5 3 2 5 3" xfId="16308"/>
    <cellStyle name="Note 5 2 2 2 5 3" xfId="16309"/>
    <cellStyle name="Note 6 3 2 5 3" xfId="16310"/>
    <cellStyle name="Note 6 2 2 2 5 3" xfId="16311"/>
    <cellStyle name="Note 7 3 2 5 3" xfId="16312"/>
    <cellStyle name="Note 7 2 2 2 5 3" xfId="16313"/>
    <cellStyle name="Note 8 2 2 5 3" xfId="16314"/>
    <cellStyle name="Note 9 2 2 5 3" xfId="16315"/>
    <cellStyle name="Output 12 2 5 3" xfId="16316"/>
    <cellStyle name="Output 2 8 2 5 3" xfId="16317"/>
    <cellStyle name="Output 3 4 2 5 3" xfId="16318"/>
    <cellStyle name="Output 4 4 2 5 3" xfId="16319"/>
    <cellStyle name="Output 5 3 2 5 3" xfId="16320"/>
    <cellStyle name="Total 10 2 5 3" xfId="16321"/>
    <cellStyle name="Total 11 2 5 3" xfId="16322"/>
    <cellStyle name="Total 2 8 2 5 3" xfId="16323"/>
    <cellStyle name="Total 3 3 2 5 3" xfId="16324"/>
    <cellStyle name="Total 4 3 2 5 3" xfId="16325"/>
    <cellStyle name="Total 5 2 2 5 3" xfId="16326"/>
    <cellStyle name="Total 12 2 5 3" xfId="16327"/>
    <cellStyle name="Total 2 9 2 5 3" xfId="16328"/>
    <cellStyle name="Total 3 4 2 5 3" xfId="16329"/>
    <cellStyle name="Total 4 4 2 5 3" xfId="16330"/>
    <cellStyle name="Total 5 3 2 5 3" xfId="16331"/>
    <cellStyle name="Note 9 2 2 2 5" xfId="16332"/>
    <cellStyle name="Note 5 2 4 2 5" xfId="16333"/>
    <cellStyle name="Note 4 2 5 2 5" xfId="16334"/>
    <cellStyle name="Input 3 6 2 5" xfId="16335"/>
    <cellStyle name="Output 4 5 4 5" xfId="16336"/>
    <cellStyle name="Note 3 5 4 5" xfId="16337"/>
    <cellStyle name="Input 18 2 8" xfId="16338"/>
    <cellStyle name="Calculation 5 2 2 8" xfId="16339"/>
    <cellStyle name="Note 11 2 8" xfId="16340"/>
    <cellStyle name="styleSeriesData 9" xfId="16341"/>
    <cellStyle name="Note 2 4 2 2 8" xfId="16342"/>
    <cellStyle name="Input 18 2 5 3" xfId="16343"/>
    <cellStyle name="Calculation 12 2 5 3" xfId="16344"/>
    <cellStyle name="Input 19 2 5 3" xfId="16345"/>
    <cellStyle name="Note 13 2 5 3" xfId="16346"/>
    <cellStyle name="Output 13 2 5 3" xfId="16347"/>
    <cellStyle name="Total 13 2 5 3" xfId="16348"/>
    <cellStyle name="Input 6 3 3 5" xfId="16349"/>
    <cellStyle name="Note 2 2 4 9" xfId="16350"/>
    <cellStyle name="Calculation 2 8 2 5 3" xfId="16351"/>
    <cellStyle name="Calculation 3 4 2 5 3" xfId="16352"/>
    <cellStyle name="Calculation 4 4 2 5 3" xfId="16353"/>
    <cellStyle name="Calculation 5 3 2 5 3" xfId="16354"/>
    <cellStyle name="Input 2 8 2 5 3" xfId="16355"/>
    <cellStyle name="Input 3 4 2 5 3" xfId="16356"/>
    <cellStyle name="Input 4 4 2 5 3" xfId="16357"/>
    <cellStyle name="Input 5 4 2 5 3" xfId="16358"/>
    <cellStyle name="Calculation 7 10" xfId="16359"/>
    <cellStyle name="Note 2 8 2 5 3" xfId="16360"/>
    <cellStyle name="Note 2 2 5 2 5 3" xfId="16361"/>
    <cellStyle name="Note 3 6 2 5 3" xfId="16362"/>
    <cellStyle name="Note 3 2 6 2 5 3" xfId="16363"/>
    <cellStyle name="Note 4 5 2 5 3" xfId="16364"/>
    <cellStyle name="Note 4 2 4 2 5 3" xfId="16365"/>
    <cellStyle name="Note 5 4 2 5 3" xfId="16366"/>
    <cellStyle name="Note 5 2 3 2 5 3" xfId="16367"/>
    <cellStyle name="Note 6 4 2 5 3" xfId="16368"/>
    <cellStyle name="Note 6 2 3 2 5 3" xfId="16369"/>
    <cellStyle name="Note 7 4 2 5 3" xfId="16370"/>
    <cellStyle name="Note 7 2 3 2 5 3" xfId="16371"/>
    <cellStyle name="Note 8 3 2 5 3" xfId="16372"/>
    <cellStyle name="Output 2 9 2 5 3" xfId="16373"/>
    <cellStyle name="Output 3 5 2 5 3" xfId="16374"/>
    <cellStyle name="Output 4 5 2 5 3" xfId="16375"/>
    <cellStyle name="Output 5 4 2 5 3" xfId="16376"/>
    <cellStyle name="Total 2 10 2 5 3" xfId="16377"/>
    <cellStyle name="Total 3 5 2 5 3" xfId="16378"/>
    <cellStyle name="Total 4 5 2 5 3" xfId="16379"/>
    <cellStyle name="Total 5 4 2 5 3" xfId="16380"/>
    <cellStyle name="Input 20 2 5 3" xfId="16381"/>
    <cellStyle name="Total 2 10 5 5" xfId="16382"/>
    <cellStyle name="Calculation 11 10" xfId="16383"/>
    <cellStyle name="Input 2 2 5 3 5" xfId="16384"/>
    <cellStyle name="Input 21 2 5 3" xfId="16385"/>
    <cellStyle name="Output 4 2 3 5" xfId="16386"/>
    <cellStyle name="Note 6 2 6 2 3" xfId="16387"/>
    <cellStyle name="Note 7 7 2 3" xfId="16388"/>
    <cellStyle name="Note 7 2 6 2 3" xfId="16389"/>
    <cellStyle name="Note 8 6 2 3" xfId="16390"/>
    <cellStyle name="Note 9 5 2 3" xfId="16391"/>
    <cellStyle name="Output 7 4 2 3" xfId="16392"/>
    <cellStyle name="Output 2 6 4 2 3" xfId="16393"/>
    <cellStyle name="Output 3 2 4 2 3" xfId="16394"/>
    <cellStyle name="Output 4 2 4 2 3" xfId="16395"/>
    <cellStyle name="Output 5 7 2 3" xfId="16396"/>
    <cellStyle name="Note 4 2 4 5 2 3" xfId="16397"/>
    <cellStyle name="Total 7 4 2 3" xfId="16398"/>
    <cellStyle name="Total 2 7 4 2 3" xfId="16399"/>
    <cellStyle name="Total 3 2 4 2 3" xfId="16400"/>
    <cellStyle name="Total 4 2 4 2 3" xfId="16401"/>
    <cellStyle name="Total 5 7 2 3" xfId="16402"/>
    <cellStyle name="Calculation 8 4 2 3" xfId="16403"/>
    <cellStyle name="Input 12 4 2 3" xfId="16404"/>
    <cellStyle name="Input 11 4 2 3" xfId="16405"/>
    <cellStyle name="Calculation 9 4 2 3" xfId="16406"/>
    <cellStyle name="Output 8 4 2 3" xfId="16407"/>
    <cellStyle name="Note 4 5 5 2 3" xfId="16408"/>
    <cellStyle name="Total 8 4 2 3" xfId="16409"/>
    <cellStyle name="Total 9 4 2 3" xfId="16410"/>
    <cellStyle name="Input 2 9 3 2 3" xfId="16411"/>
    <cellStyle name="Note 2 2 2 3 3 2 3" xfId="16412"/>
    <cellStyle name="Note 7 2 3 5 2 3" xfId="16413"/>
    <cellStyle name="Note 3 2 6 5 2 3" xfId="16414"/>
    <cellStyle name="Output 13 5 2 3" xfId="16415"/>
    <cellStyle name="Input 14 5 2 3" xfId="16416"/>
    <cellStyle name="Input 5 3 5 2 3" xfId="16417"/>
    <cellStyle name="Output 5 2 4 2 3" xfId="16418"/>
    <cellStyle name="Output 4 3 4 2 3" xfId="16419"/>
    <cellStyle name="Output 3 3 4 2 3" xfId="16420"/>
    <cellStyle name="Output 2 7 4 2 3" xfId="16421"/>
    <cellStyle name="Output 11 4 2 3" xfId="16422"/>
    <cellStyle name="Input 5 3 4 2 3" xfId="16423"/>
    <cellStyle name="Input 4 3 4 2 3" xfId="16424"/>
    <cellStyle name="Input 3 3 4 2 3" xfId="16425"/>
    <cellStyle name="Input 2 7 4 2 3" xfId="16426"/>
    <cellStyle name="Calculation 10 4 2 3" xfId="16427"/>
    <cellStyle name="Input 14 4 2 3" xfId="16428"/>
    <cellStyle name="Input 16 4 2 3" xfId="16429"/>
    <cellStyle name="Input 17 4 2 3" xfId="16430"/>
    <cellStyle name="Input 15 4 2 3" xfId="16431"/>
    <cellStyle name="Input 13 4 2 3" xfId="16432"/>
    <cellStyle name="Calculation 5 2 4 2 3" xfId="16433"/>
    <cellStyle name="Calculation 4 3 4 2 3" xfId="16434"/>
    <cellStyle name="Calculation 3 3 4 2 3" xfId="16435"/>
    <cellStyle name="Calculation 2 7 4 2 3" xfId="16436"/>
    <cellStyle name="Calculation 11 4 2 3" xfId="16437"/>
    <cellStyle name="Output 10 4 2 3" xfId="16438"/>
    <cellStyle name="Note 12 4 2 3" xfId="16439"/>
    <cellStyle name="Note 2 7 4 2 3" xfId="16440"/>
    <cellStyle name="Note 2 2 4 4 2 3" xfId="16441"/>
    <cellStyle name="Note 3 5 4 2 3" xfId="16442"/>
    <cellStyle name="Note 3 2 5 4 2 3" xfId="16443"/>
    <cellStyle name="Note 4 4 4 2 3" xfId="16444"/>
    <cellStyle name="Note 4 2 3 4 2 3" xfId="16445"/>
    <cellStyle name="Note 5 3 4 2 3" xfId="16446"/>
    <cellStyle name="Note 5 2 2 4 2 3" xfId="16447"/>
    <cellStyle name="Note 6 3 4 2 3" xfId="16448"/>
    <cellStyle name="Note 6 2 2 4 2 3" xfId="16449"/>
    <cellStyle name="Note 7 3 4 2 3" xfId="16450"/>
    <cellStyle name="Note 7 2 2 4 2 3" xfId="16451"/>
    <cellStyle name="Note 8 2 4 2 3" xfId="16452"/>
    <cellStyle name="Note 9 2 4 2 3" xfId="16453"/>
    <cellStyle name="Output 12 4 2 3" xfId="16454"/>
    <cellStyle name="Output 2 8 4 2 3" xfId="16455"/>
    <cellStyle name="Output 3 4 4 2 3" xfId="16456"/>
    <cellStyle name="Output 4 4 4 2 3" xfId="16457"/>
    <cellStyle name="Output 5 3 4 2 3" xfId="16458"/>
    <cellStyle name="Total 10 4 2 3" xfId="16459"/>
    <cellStyle name="Total 11 4 2 3" xfId="16460"/>
    <cellStyle name="Total 2 8 4 2 3" xfId="16461"/>
    <cellStyle name="Total 3 3 4 2 3" xfId="16462"/>
    <cellStyle name="Total 4 3 4 2 3" xfId="16463"/>
    <cellStyle name="Total 5 2 4 2 3" xfId="16464"/>
    <cellStyle name="Total 12 4 2 3" xfId="16465"/>
    <cellStyle name="Total 2 9 4 2 3" xfId="16466"/>
    <cellStyle name="Total 3 4 4 2 3" xfId="16467"/>
    <cellStyle name="Total 4 4 4 2 3" xfId="16468"/>
    <cellStyle name="Total 5 3 4 2 3" xfId="16469"/>
    <cellStyle name="Note 2 4 2 3 3 2 3" xfId="16470"/>
    <cellStyle name="Note 6 2 3 5 2 3" xfId="16471"/>
    <cellStyle name="Input 19 5 2 3" xfId="16472"/>
    <cellStyle name="Input 2 7 5 2 3" xfId="16473"/>
    <cellStyle name="Input 18 4 2 3" xfId="16474"/>
    <cellStyle name="Calculation 12 4 2 3" xfId="16475"/>
    <cellStyle name="Input 19 4 2 3" xfId="16476"/>
    <cellStyle name="Note 13 4 2 3" xfId="16477"/>
    <cellStyle name="Output 13 4 2 3" xfId="16478"/>
    <cellStyle name="Total 13 4 2 3" xfId="16479"/>
    <cellStyle name="Calculation 2 8 4 2 3" xfId="16480"/>
    <cellStyle name="Calculation 3 4 4 2 3" xfId="16481"/>
    <cellStyle name="Calculation 4 4 4 2 3" xfId="16482"/>
    <cellStyle name="Calculation 5 3 4 2 3" xfId="16483"/>
    <cellStyle name="Input 2 8 4 2 3" xfId="16484"/>
    <cellStyle name="Input 3 4 4 2 3" xfId="16485"/>
    <cellStyle name="Input 4 4 4 2 3" xfId="16486"/>
    <cellStyle name="Input 5 4 4 2 3" xfId="16487"/>
    <cellStyle name="Note 2 8 4 2 3" xfId="16488"/>
    <cellStyle name="Note 2 2 5 4 2 3" xfId="16489"/>
    <cellStyle name="Note 3 6 4 2 3" xfId="16490"/>
    <cellStyle name="Note 3 2 6 4 2 3" xfId="16491"/>
    <cellStyle name="Note 4 5 4 2 3" xfId="16492"/>
    <cellStyle name="Note 4 2 4 4 2 3" xfId="16493"/>
    <cellStyle name="Note 5 4 4 2 3" xfId="16494"/>
    <cellStyle name="Note 5 2 3 4 2 3" xfId="16495"/>
    <cellStyle name="Note 6 4 4 2 3" xfId="16496"/>
    <cellStyle name="Note 6 2 3 4 2 3" xfId="16497"/>
    <cellStyle name="Note 7 4 4 2 3" xfId="16498"/>
    <cellStyle name="Note 7 2 3 4 2 3" xfId="16499"/>
    <cellStyle name="Note 8 3 4 2 3" xfId="16500"/>
    <cellStyle name="Output 2 9 4 2 3" xfId="16501"/>
    <cellStyle name="Output 3 5 4 2 3" xfId="16502"/>
    <cellStyle name="Output 4 5 4 2 3" xfId="16503"/>
    <cellStyle name="Output 5 4 4 2 3" xfId="16504"/>
    <cellStyle name="Total 2 10 4 2 3" xfId="16505"/>
    <cellStyle name="Total 3 5 4 2 3" xfId="16506"/>
    <cellStyle name="Total 4 5 4 2 3" xfId="16507"/>
    <cellStyle name="Total 5 4 4 2 3" xfId="16508"/>
    <cellStyle name="Input 20 4 2 3" xfId="16509"/>
    <cellStyle name="Input 21 4 2 3" xfId="16510"/>
    <cellStyle name="Note 4 2 6 2 2 3" xfId="16511"/>
    <cellStyle name="Note 3 3 3 2 2 3" xfId="16512"/>
    <cellStyle name="Note 2 5 3 2 2 3" xfId="16513"/>
    <cellStyle name="Note 2 4 2 3 2 2 3" xfId="16514"/>
    <cellStyle name="Note 2 3 2 3 2 2 3" xfId="16515"/>
    <cellStyle name="Note 2 2 2 3 2 2 3" xfId="16516"/>
    <cellStyle name="Calculation 2 9 2 2 3" xfId="16517"/>
    <cellStyle name="Calculation 2 2 5 2 2 3" xfId="16518"/>
    <cellStyle name="Calculation 2 2 2 2 2 2 3" xfId="16519"/>
    <cellStyle name="Calculation 2 2 3 2 2 2 3" xfId="16520"/>
    <cellStyle name="Calculation 2 2 4 2 2 2 3" xfId="16521"/>
    <cellStyle name="Calculation 2 3 2 2 2 3" xfId="16522"/>
    <cellStyle name="Calculation 2 4 2 2 2 3" xfId="16523"/>
    <cellStyle name="Calculation 2 5 2 2 2 3" xfId="16524"/>
    <cellStyle name="Calculation 3 5 2 2 3" xfId="16525"/>
    <cellStyle name="Header2 2 2 2 3" xfId="16526"/>
    <cellStyle name="Input 2 5 3 2 2 3" xfId="16527"/>
    <cellStyle name="Input 2 9 2 2 3" xfId="16528"/>
    <cellStyle name="Input 2 2 5 2 2 3" xfId="16529"/>
    <cellStyle name="Input 2 2 2 2 2 2 3" xfId="16530"/>
    <cellStyle name="Input 2 2 3 2 2 2 3" xfId="16531"/>
    <cellStyle name="Input 2 2 4 2 2 2 3" xfId="16532"/>
    <cellStyle name="Input 2 3 2 2 2 3" xfId="16533"/>
    <cellStyle name="Input 2 4 2 2 2 3" xfId="16534"/>
    <cellStyle name="Input 2 5 2 2 2 3" xfId="16535"/>
    <cellStyle name="Input 3 5 2 2 3" xfId="16536"/>
    <cellStyle name="Input 4 5 2 2 3" xfId="16537"/>
    <cellStyle name="Input 5 5 2 2 3" xfId="16538"/>
    <cellStyle name="Input 6 3 2 2 3" xfId="16539"/>
    <cellStyle name="Input 7 2 2 2 3" xfId="16540"/>
    <cellStyle name="Input 8 2 2 2 3" xfId="16541"/>
    <cellStyle name="Calculation 2 5 3 2 2 3" xfId="16542"/>
    <cellStyle name="Total 2 4 3 2 2 3" xfId="16543"/>
    <cellStyle name="Total 2 2 4 3 2 2 3" xfId="16544"/>
    <cellStyle name="Total 2 2 3 3 2 2 3" xfId="16545"/>
    <cellStyle name="Total 2 12 2 2 3" xfId="16546"/>
    <cellStyle name="Note 2 9 2 2 3" xfId="16547"/>
    <cellStyle name="Note 2 2 6 2 2 3" xfId="16548"/>
    <cellStyle name="Note 2 3 3 2 2 3" xfId="16549"/>
    <cellStyle name="Note 2 4 3 2 2 3" xfId="16550"/>
    <cellStyle name="Note 3 7 2 2 3" xfId="16551"/>
    <cellStyle name="Note 3 2 7 2 2 3" xfId="16552"/>
    <cellStyle name="Output 2 10 2 2 3" xfId="16553"/>
    <cellStyle name="Output 2 2 5 2 2 3" xfId="16554"/>
    <cellStyle name="Output 2 2 2 2 2 2 3" xfId="16555"/>
    <cellStyle name="Output 2 2 3 2 2 2 3" xfId="16556"/>
    <cellStyle name="Output 2 2 4 2 2 2 3" xfId="16557"/>
    <cellStyle name="Output 2 3 2 2 2 3" xfId="16558"/>
    <cellStyle name="Output 2 4 2 2 2 3" xfId="16559"/>
    <cellStyle name="Output 2 5 2 2 2 3" xfId="16560"/>
    <cellStyle name="Output 3 6 2 2 3" xfId="16561"/>
    <cellStyle name="Input 7 3 2 2 3" xfId="16562"/>
    <cellStyle name="Input 5 6 2 2 3" xfId="16563"/>
    <cellStyle name="Input 3 6 2 2 3" xfId="16564"/>
    <cellStyle name="Input 2 4 3 2 2 3" xfId="16565"/>
    <cellStyle name="Input 2 2 4 3 2 2 3" xfId="16566"/>
    <cellStyle name="Input 2 2 2 3 2 2 3" xfId="16567"/>
    <cellStyle name="Input 2 10 2 2 3" xfId="16568"/>
    <cellStyle name="Calculation 3 6 2 2 3" xfId="16569"/>
    <cellStyle name="Calculation 2 4 3 2 2 3" xfId="16570"/>
    <cellStyle name="Calculation 2 2 4 3 2 2 3" xfId="16571"/>
    <cellStyle name="Calculation 2 2 2 3 2 2 3" xfId="16572"/>
    <cellStyle name="Calculation 2 10 2 2 3" xfId="16573"/>
    <cellStyle name="StmtTtl2 2 2 2 3" xfId="16574"/>
    <cellStyle name="Total 2 11 2 2 3" xfId="16575"/>
    <cellStyle name="Total 2 2 5 2 2 3" xfId="16576"/>
    <cellStyle name="Total 2 2 2 2 2 2 3" xfId="16577"/>
    <cellStyle name="Total 2 2 3 2 2 2 3" xfId="16578"/>
    <cellStyle name="Total 2 2 4 2 2 2 3" xfId="16579"/>
    <cellStyle name="Total 2 3 2 2 2 3" xfId="16580"/>
    <cellStyle name="Total 2 4 2 2 2 3" xfId="16581"/>
    <cellStyle name="Total 2 5 2 2 2 3" xfId="16582"/>
    <cellStyle name="Total 2 6 2 2 2 3" xfId="16583"/>
    <cellStyle name="Total 3 6 2 2 3" xfId="16584"/>
    <cellStyle name="Calculation 2 2 2 2 3 2 3" xfId="16585"/>
    <cellStyle name="Output 3 5 5 2 3" xfId="16586"/>
    <cellStyle name="Input 12 5 2 3" xfId="16587"/>
    <cellStyle name="Output 2 5 3 2 2 3" xfId="16588"/>
    <cellStyle name="Output 2 3 3 2 2 3" xfId="16589"/>
    <cellStyle name="Output 2 2 3 3 2 2 3" xfId="16590"/>
    <cellStyle name="Output 2 2 6 2 2 3" xfId="16591"/>
    <cellStyle name="Note 4 7 2 2 3" xfId="16592"/>
    <cellStyle name="Note 3 2 2 3 2 2 3" xfId="16593"/>
    <cellStyle name="Note 3 8 2 2 3" xfId="16594"/>
    <cellStyle name="Note 2 4 4 2 2 3" xfId="16595"/>
    <cellStyle name="Note 2 2 7 2 2 3" xfId="16596"/>
    <cellStyle name="Note 3 2 2 2 2 2 3" xfId="16597"/>
    <cellStyle name="Note 4 6 2 2 3" xfId="16598"/>
    <cellStyle name="Total 3 7 2 2 3" xfId="16599"/>
    <cellStyle name="Total 2 5 3 2 2 3" xfId="16600"/>
    <cellStyle name="Total 2 3 3 2 2 3" xfId="16601"/>
    <cellStyle name="Total 2 2 6 2 2 3" xfId="16602"/>
    <cellStyle name="Total 2 2 2 3 2 2 3" xfId="16603"/>
    <cellStyle name="StmtTtl2 3 2 2 3" xfId="16604"/>
    <cellStyle name="Output 3 7 2 2 3" xfId="16605"/>
    <cellStyle name="Note 2 5 2 2 2 3" xfId="16606"/>
    <cellStyle name="Note 2 2 2 2 2 2 3" xfId="16607"/>
    <cellStyle name="Note 2 3 2 2 2 2 3" xfId="16608"/>
    <cellStyle name="Note 2 4 2 2 2 2 3" xfId="16609"/>
    <cellStyle name="Note 3 3 2 2 2 3" xfId="16610"/>
    <cellStyle name="Input 8 3 2 2 3" xfId="16611"/>
    <cellStyle name="Input 6 4 2 2 3" xfId="16612"/>
    <cellStyle name="Input 4 6 2 2 3" xfId="16613"/>
    <cellStyle name="Input 2 3 3 2 2 3" xfId="16614"/>
    <cellStyle name="Input 2 2 3 3 2 2 3" xfId="16615"/>
    <cellStyle name="Input 2 2 6 2 2 3" xfId="16616"/>
    <cellStyle name="Calculation 2 3 3 2 2 3" xfId="16617"/>
    <cellStyle name="Calculation 2 2 3 3 2 2 3" xfId="16618"/>
    <cellStyle name="Calculation 2 2 6 2 2 3" xfId="16619"/>
    <cellStyle name="Output 2 4 3 2 2 3" xfId="16620"/>
    <cellStyle name="Output 2 2 4 3 2 2 3" xfId="16621"/>
    <cellStyle name="Output 2 2 2 3 2 2 3" xfId="16622"/>
    <cellStyle name="Output 2 11 2 2 3" xfId="16623"/>
    <cellStyle name="Note 3 2 8 2 2 3" xfId="16624"/>
    <cellStyle name="Note 2 3 4 2 2 3" xfId="16625"/>
    <cellStyle name="Note 2 10 2 2 3" xfId="16626"/>
    <cellStyle name="Note 4 2 5 2 2 3" xfId="16627"/>
    <cellStyle name="Style 21 3 2 3" xfId="16628"/>
    <cellStyle name="Style 21 2 3 2 3" xfId="16629"/>
    <cellStyle name="Style 22 3 2 3" xfId="16630"/>
    <cellStyle name="Style 22 2 3 2 3" xfId="16631"/>
    <cellStyle name="Style 23 3 2 3" xfId="16632"/>
    <cellStyle name="Style 23 2 3 2 3" xfId="16633"/>
    <cellStyle name="Style 24 3 2 3" xfId="16634"/>
    <cellStyle name="Style 24 2 3 2 3" xfId="16635"/>
    <cellStyle name="Style 25 3 2 3" xfId="16636"/>
    <cellStyle name="Style 25 2 3 2 3" xfId="16637"/>
    <cellStyle name="Style 26 3 2 3" xfId="16638"/>
    <cellStyle name="Style 26 2 3 2 3" xfId="16639"/>
    <cellStyle name="styleColumnTitles 3 2 3" xfId="16640"/>
    <cellStyle name="styleColumnTitles 2 3 2 3" xfId="16641"/>
    <cellStyle name="styleDateRange 3 2 3" xfId="16642"/>
    <cellStyle name="styleDateRange 2 3 2 3" xfId="16643"/>
    <cellStyle name="styleSeriesAttributes 3 2 3" xfId="16644"/>
    <cellStyle name="styleSeriesAttributes 2 3 2 3" xfId="16645"/>
    <cellStyle name="styleSeriesData 3 2 3" xfId="16646"/>
    <cellStyle name="styleSeriesData 2 3 2 3" xfId="16647"/>
    <cellStyle name="styleSeriesDataForecast 3 2 3" xfId="16648"/>
    <cellStyle name="styleSeriesDataForecast 2 3 2 3" xfId="16649"/>
    <cellStyle name="styleSeriesDataForecastNA 3 2 3" xfId="16650"/>
    <cellStyle name="styleSeriesDataForecastNA 2 3 2 3" xfId="16651"/>
    <cellStyle name="styleSeriesDataNA 3 2 3" xfId="16652"/>
    <cellStyle name="styleSeriesDataNA 2 3 2 3" xfId="16653"/>
    <cellStyle name="Style 21 2 2 2 2 3" xfId="16654"/>
    <cellStyle name="Style 22 2 2 2 2 3" xfId="16655"/>
    <cellStyle name="Style 23 2 2 2 2 3" xfId="16656"/>
    <cellStyle name="Style 24 2 2 2 2 3" xfId="16657"/>
    <cellStyle name="Style 25 2 2 2 2 3" xfId="16658"/>
    <cellStyle name="Style 26 2 2 2 2 3" xfId="16659"/>
    <cellStyle name="styleColumnTitles 2 2 2 2 3" xfId="16660"/>
    <cellStyle name="styleDateRange 2 2 2 2 3" xfId="16661"/>
    <cellStyle name="styleSeriesAttributes 2 2 2 2 3" xfId="16662"/>
    <cellStyle name="styleSeriesData 2 2 2 2 3" xfId="16663"/>
    <cellStyle name="styleSeriesDataForecast 2 2 2 2 3" xfId="16664"/>
    <cellStyle name="styleSeriesDataForecastNA 2 2 2 2 3" xfId="16665"/>
    <cellStyle name="styleSeriesDataNA 2 2 2 2 3" xfId="16666"/>
    <cellStyle name="Total 2 6 3 2 2 3" xfId="16667"/>
    <cellStyle name="Note 3 3 3 3 2 3" xfId="16668"/>
    <cellStyle name="Note 5 2 3 5 2 3" xfId="16669"/>
    <cellStyle name="Input 4 3 5 2 3" xfId="16670"/>
    <cellStyle name="Calculation 7 2 2 2 3" xfId="16671"/>
    <cellStyle name="Calculation 2 6 2 2 2 3" xfId="16672"/>
    <cellStyle name="Calculation 3 2 2 2 2 3" xfId="16673"/>
    <cellStyle name="Calculation 4 2 2 2 2 3" xfId="16674"/>
    <cellStyle name="Calculation 5 4 2 2 3" xfId="16675"/>
    <cellStyle name="Output 9 2 2 2 3" xfId="16676"/>
    <cellStyle name="Input 10 2 2 2 3" xfId="16677"/>
    <cellStyle name="Input 2 6 2 2 2 3" xfId="16678"/>
    <cellStyle name="Input 3 2 2 2 2 3" xfId="16679"/>
    <cellStyle name="Input 4 2 2 2 2 3" xfId="16680"/>
    <cellStyle name="Input 5 2 2 2 2 3" xfId="16681"/>
    <cellStyle name="Note 11 2 2 2 3" xfId="16682"/>
    <cellStyle name="Note 2 6 2 2 2 3" xfId="16683"/>
    <cellStyle name="Note 2 2 3 2 2 2 3" xfId="16684"/>
    <cellStyle name="Note 3 4 2 2 2 3" xfId="16685"/>
    <cellStyle name="Note 3 2 4 2 2 2 3" xfId="16686"/>
    <cellStyle name="Note 4 3 2 2 2 3" xfId="16687"/>
    <cellStyle name="Note 4 2 2 2 2 2 3" xfId="16688"/>
    <cellStyle name="Note 5 5 2 2 3" xfId="16689"/>
    <cellStyle name="Note 5 2 4 2 2 3" xfId="16690"/>
    <cellStyle name="Note 6 5 2 2 3" xfId="16691"/>
    <cellStyle name="Note 6 2 4 2 2 3" xfId="16692"/>
    <cellStyle name="Note 7 5 2 2 3" xfId="16693"/>
    <cellStyle name="Note 7 2 4 2 2 3" xfId="16694"/>
    <cellStyle name="Note 8 4 2 2 3" xfId="16695"/>
    <cellStyle name="Note 9 3 2 2 3" xfId="16696"/>
    <cellStyle name="Output 7 2 2 2 3" xfId="16697"/>
    <cellStyle name="Output 2 6 2 2 2 3" xfId="16698"/>
    <cellStyle name="Output 3 2 2 2 2 3" xfId="16699"/>
    <cellStyle name="Output 4 2 2 2 2 3" xfId="16700"/>
    <cellStyle name="Output 5 5 2 2 3" xfId="16701"/>
    <cellStyle name="Total 7 2 2 2 3" xfId="16702"/>
    <cellStyle name="Total 2 7 2 2 2 3" xfId="16703"/>
    <cellStyle name="Total 3 2 2 2 2 3" xfId="16704"/>
    <cellStyle name="Total 4 2 2 2 2 3" xfId="16705"/>
    <cellStyle name="Total 5 5 2 2 3" xfId="16706"/>
    <cellStyle name="Calculation 8 2 2 2 3" xfId="16707"/>
    <cellStyle name="Input 12 2 2 2 3" xfId="16708"/>
    <cellStyle name="Input 11 2 2 2 3" xfId="16709"/>
    <cellStyle name="Calculation 9 2 2 2 3" xfId="16710"/>
    <cellStyle name="Output 8 2 2 2 3" xfId="16711"/>
    <cellStyle name="Total 8 2 2 2 3" xfId="16712"/>
    <cellStyle name="Total 9 2 2 2 3" xfId="16713"/>
    <cellStyle name="Note 2 3 2 3 3 2 3" xfId="16714"/>
    <cellStyle name="Note 7 4 5 2 3" xfId="16715"/>
    <cellStyle name="Note 13 5 2 3" xfId="16716"/>
    <cellStyle name="Calculation 10 5 2 3" xfId="16717"/>
    <cellStyle name="Output 5 2 2 2 2 3" xfId="16718"/>
    <cellStyle name="Output 4 3 2 2 2 3" xfId="16719"/>
    <cellStyle name="Output 3 3 2 2 2 3" xfId="16720"/>
    <cellStyle name="Output 2 7 2 2 2 3" xfId="16721"/>
    <cellStyle name="Output 11 2 2 2 3" xfId="16722"/>
    <cellStyle name="Input 5 3 2 2 2 3" xfId="16723"/>
    <cellStyle name="Input 4 3 2 2 2 3" xfId="16724"/>
    <cellStyle name="Input 3 3 2 2 2 3" xfId="16725"/>
    <cellStyle name="Input 2 7 2 2 2 3" xfId="16726"/>
    <cellStyle name="Calculation 10 2 2 2 3" xfId="16727"/>
    <cellStyle name="Input 14 2 2 2 3" xfId="16728"/>
    <cellStyle name="Input 16 2 2 2 3" xfId="16729"/>
    <cellStyle name="Input 17 2 2 2 3" xfId="16730"/>
    <cellStyle name="Input 15 2 2 2 3" xfId="16731"/>
    <cellStyle name="Input 13 2 2 2 3" xfId="16732"/>
    <cellStyle name="Calculation 5 2 2 2 2 3" xfId="16733"/>
    <cellStyle name="Calculation 4 3 2 2 2 3" xfId="16734"/>
    <cellStyle name="Calculation 3 3 2 2 2 3" xfId="16735"/>
    <cellStyle name="Calculation 2 7 2 2 2 3" xfId="16736"/>
    <cellStyle name="Calculation 11 2 2 2 3" xfId="16737"/>
    <cellStyle name="Output 10 2 2 2 3" xfId="16738"/>
    <cellStyle name="Note 12 2 2 2 3" xfId="16739"/>
    <cellStyle name="Note 2 7 2 2 2 3" xfId="16740"/>
    <cellStyle name="Note 2 2 4 2 2 2 3" xfId="16741"/>
    <cellStyle name="Note 3 5 2 2 2 3" xfId="16742"/>
    <cellStyle name="Note 3 2 5 2 2 2 3" xfId="16743"/>
    <cellStyle name="Note 4 4 2 2 2 3" xfId="16744"/>
    <cellStyle name="Note 4 2 3 2 2 2 3" xfId="16745"/>
    <cellStyle name="Note 5 3 2 2 2 3" xfId="16746"/>
    <cellStyle name="Note 5 2 2 2 2 2 3" xfId="16747"/>
    <cellStyle name="Note 6 3 2 2 2 3" xfId="16748"/>
    <cellStyle name="Note 6 2 2 2 2 2 3" xfId="16749"/>
    <cellStyle name="Note 7 3 2 2 2 3" xfId="16750"/>
    <cellStyle name="Note 7 2 2 2 2 2 3" xfId="16751"/>
    <cellStyle name="Note 8 2 2 2 2 3" xfId="16752"/>
    <cellStyle name="Note 9 2 2 2 2 3" xfId="16753"/>
    <cellStyle name="Output 12 2 2 2 3" xfId="16754"/>
    <cellStyle name="Output 2 8 2 2 2 3" xfId="16755"/>
    <cellStyle name="Output 3 4 2 2 2 3" xfId="16756"/>
    <cellStyle name="Output 4 4 2 2 2 3" xfId="16757"/>
    <cellStyle name="Output 5 3 2 2 2 3" xfId="16758"/>
    <cellStyle name="Total 10 2 2 2 3" xfId="16759"/>
    <cellStyle name="Total 11 2 2 2 3" xfId="16760"/>
    <cellStyle name="Total 2 8 2 2 2 3" xfId="16761"/>
    <cellStyle name="Total 3 3 2 2 2 3" xfId="16762"/>
    <cellStyle name="Total 4 3 2 2 2 3" xfId="16763"/>
    <cellStyle name="Total 5 2 2 2 2 3" xfId="16764"/>
    <cellStyle name="Total 12 2 2 2 3" xfId="16765"/>
    <cellStyle name="Total 2 9 2 2 2 3" xfId="16766"/>
    <cellStyle name="Total 3 4 2 2 2 3" xfId="16767"/>
    <cellStyle name="Total 4 4 2 2 2 3" xfId="16768"/>
    <cellStyle name="Total 5 3 2 2 2 3" xfId="16769"/>
    <cellStyle name="Note 2 5 3 3 2 3" xfId="16770"/>
    <cellStyle name="Note 6 4 5 2 3" xfId="16771"/>
    <cellStyle name="Calculation 12 5 2 3" xfId="16772"/>
    <cellStyle name="Input 3 3 5 2 3" xfId="16773"/>
    <cellStyle name="Input 18 2 2 2 3" xfId="16774"/>
    <cellStyle name="Calculation 12 2 2 2 3" xfId="16775"/>
    <cellStyle name="Input 19 2 2 2 3" xfId="16776"/>
    <cellStyle name="Note 13 2 2 2 3" xfId="16777"/>
    <cellStyle name="Output 13 2 2 2 3" xfId="16778"/>
    <cellStyle name="Total 13 2 2 2 3" xfId="16779"/>
    <cellStyle name="Calculation 2 8 2 2 2 3" xfId="16780"/>
    <cellStyle name="Calculation 3 4 2 2 2 3" xfId="16781"/>
    <cellStyle name="Calculation 4 4 2 2 2 3" xfId="16782"/>
    <cellStyle name="Calculation 5 3 2 2 2 3" xfId="16783"/>
    <cellStyle name="Input 2 8 2 2 2 3" xfId="16784"/>
    <cellStyle name="Input 3 4 2 2 2 3" xfId="16785"/>
    <cellStyle name="Input 4 4 2 2 2 3" xfId="16786"/>
    <cellStyle name="Input 5 4 2 2 2 3" xfId="16787"/>
    <cellStyle name="Note 2 8 2 2 2 3" xfId="16788"/>
    <cellStyle name="Note 2 2 5 2 2 2 3" xfId="16789"/>
    <cellStyle name="Note 3 6 2 2 2 3" xfId="16790"/>
    <cellStyle name="Note 3 2 6 2 2 2 3" xfId="16791"/>
    <cellStyle name="Note 4 5 2 2 2 3" xfId="16792"/>
    <cellStyle name="Note 4 2 4 2 2 2 3" xfId="16793"/>
    <cellStyle name="Note 5 4 2 2 2 3" xfId="16794"/>
    <cellStyle name="Note 5 2 3 2 2 2 3" xfId="16795"/>
    <cellStyle name="Note 6 4 2 2 2 3" xfId="16796"/>
    <cellStyle name="Note 6 2 3 2 2 2 3" xfId="16797"/>
    <cellStyle name="Note 7 4 2 2 2 3" xfId="16798"/>
    <cellStyle name="Note 7 2 3 2 2 2 3" xfId="16799"/>
    <cellStyle name="Note 8 3 2 2 2 3" xfId="16800"/>
    <cellStyle name="Output 2 9 2 2 2 3" xfId="16801"/>
    <cellStyle name="Output 3 5 2 2 2 3" xfId="16802"/>
    <cellStyle name="Output 4 5 2 2 2 3" xfId="16803"/>
    <cellStyle name="Output 5 4 2 2 2 3" xfId="16804"/>
    <cellStyle name="Total 2 10 2 2 2 3" xfId="16805"/>
    <cellStyle name="Total 3 5 2 2 2 3" xfId="16806"/>
    <cellStyle name="Total 4 5 2 2 2 3" xfId="16807"/>
    <cellStyle name="Total 5 4 2 2 2 3" xfId="16808"/>
    <cellStyle name="Input 20 2 2 2 3" xfId="16809"/>
    <cellStyle name="Input 21 2 2 2 3" xfId="16810"/>
    <cellStyle name="Note 2 9 3 2 3" xfId="16811"/>
    <cellStyle name="Note 2 2 6 3 2 3" xfId="16812"/>
    <cellStyle name="Note 2 3 3 3 2 3" xfId="16813"/>
    <cellStyle name="Note 2 4 3 3 2 3" xfId="16814"/>
    <cellStyle name="Note 3 7 3 2 3" xfId="16815"/>
    <cellStyle name="Note 3 2 7 3 2 3" xfId="16816"/>
    <cellStyle name="Output 2 10 3 2 3" xfId="16817"/>
    <cellStyle name="Output 2 2 5 3 2 3" xfId="16818"/>
    <cellStyle name="Output 2 2 2 2 3 2 3" xfId="16819"/>
    <cellStyle name="Output 2 2 3 2 3 2 3" xfId="16820"/>
    <cellStyle name="Output 2 2 4 2 3 2 3" xfId="16821"/>
    <cellStyle name="Output 2 3 2 3 2 3" xfId="16822"/>
    <cellStyle name="Output 2 4 2 3 2 3" xfId="16823"/>
    <cellStyle name="Output 2 5 2 3 2 3" xfId="16824"/>
    <cellStyle name="Output 3 6 3 2 3" xfId="16825"/>
    <cellStyle name="Input 7 3 3 2 3" xfId="16826"/>
    <cellStyle name="Input 5 6 3 2 3" xfId="16827"/>
    <cellStyle name="Input 3 6 3 2 3" xfId="16828"/>
    <cellStyle name="Input 2 4 3 3 2 3" xfId="16829"/>
    <cellStyle name="Input 2 2 4 3 3 2 3" xfId="16830"/>
    <cellStyle name="Input 2 2 2 3 3 2 3" xfId="16831"/>
    <cellStyle name="Input 2 10 3 2 3" xfId="16832"/>
    <cellStyle name="Calculation 3 6 3 2 3" xfId="16833"/>
    <cellStyle name="Calculation 2 4 3 3 2 3" xfId="16834"/>
    <cellStyle name="Calculation 2 2 4 3 3 2 3" xfId="16835"/>
    <cellStyle name="Calculation 2 2 2 3 3 2 3" xfId="16836"/>
    <cellStyle name="Calculation 2 10 3 2 3" xfId="16837"/>
    <cellStyle name="StmtTtl2 2 3 2 3" xfId="16838"/>
    <cellStyle name="Total 2 11 3 2 3" xfId="16839"/>
    <cellStyle name="Total 2 2 5 3 2 3" xfId="16840"/>
    <cellStyle name="Total 2 2 2 2 3 2 3" xfId="16841"/>
    <cellStyle name="Total 2 2 3 2 3 2 3" xfId="16842"/>
    <cellStyle name="Total 2 2 4 2 3 2 3" xfId="16843"/>
    <cellStyle name="Total 2 3 2 3 2 3" xfId="16844"/>
    <cellStyle name="Total 2 4 2 3 2 3" xfId="16845"/>
    <cellStyle name="Total 2 5 2 3 2 3" xfId="16846"/>
    <cellStyle name="Total 2 6 2 3 2 3" xfId="16847"/>
    <cellStyle name="Total 3 6 3 2 3" xfId="16848"/>
    <cellStyle name="Output 2 5 3 3 2 3" xfId="16849"/>
    <cellStyle name="Output 2 3 3 3 2 3" xfId="16850"/>
    <cellStyle name="Output 2 2 3 3 3 2 3" xfId="16851"/>
    <cellStyle name="Output 2 2 6 3 2 3" xfId="16852"/>
    <cellStyle name="Note 4 7 3 2 3" xfId="16853"/>
    <cellStyle name="Note 3 2 2 3 3 2 3" xfId="16854"/>
    <cellStyle name="Note 3 8 3 2 3" xfId="16855"/>
    <cellStyle name="Note 2 4 4 3 2 3" xfId="16856"/>
    <cellStyle name="Note 2 2 7 3 2 3" xfId="16857"/>
    <cellStyle name="Note 3 2 2 2 3 2 3" xfId="16858"/>
    <cellStyle name="Note 4 6 3 2 3" xfId="16859"/>
    <cellStyle name="Total 3 7 3 2 3" xfId="16860"/>
    <cellStyle name="Total 2 5 3 3 2 3" xfId="16861"/>
    <cellStyle name="Total 2 3 3 3 2 3" xfId="16862"/>
    <cellStyle name="Total 2 2 6 3 2 3" xfId="16863"/>
    <cellStyle name="Total 2 2 2 3 3 2 3" xfId="16864"/>
    <cellStyle name="StmtTtl2 3 3 2 3" xfId="16865"/>
    <cellStyle name="Output 3 7 3 2 3" xfId="16866"/>
    <cellStyle name="Note 2 5 2 3 2 3" xfId="16867"/>
    <cellStyle name="Note 2 2 2 2 3 2 3" xfId="16868"/>
    <cellStyle name="Note 2 3 2 2 3 2 3" xfId="16869"/>
    <cellStyle name="Note 2 4 2 2 3 2 3" xfId="16870"/>
    <cellStyle name="Note 3 3 2 3 2 3" xfId="16871"/>
    <cellStyle name="Input 8 3 3 2 3" xfId="16872"/>
    <cellStyle name="Input 6 4 3 2 3" xfId="16873"/>
    <cellStyle name="Input 4 6 3 2 3" xfId="16874"/>
    <cellStyle name="Input 2 3 3 3 2 3" xfId="16875"/>
    <cellStyle name="Input 2 2 3 3 3 2 3" xfId="16876"/>
    <cellStyle name="Input 2 2 6 3 2 3" xfId="16877"/>
    <cellStyle name="Calculation 2 3 3 3 2 3" xfId="16878"/>
    <cellStyle name="Calculation 2 2 3 3 3 2 3" xfId="16879"/>
    <cellStyle name="Calculation 2 2 6 3 2 3" xfId="16880"/>
    <cellStyle name="Output 2 4 3 3 2 3" xfId="16881"/>
    <cellStyle name="Output 2 2 4 3 3 2 3" xfId="16882"/>
    <cellStyle name="Output 2 2 2 3 3 2 3" xfId="16883"/>
    <cellStyle name="Output 2 11 3 2 3" xfId="16884"/>
    <cellStyle name="Note 3 2 8 3 2 3" xfId="16885"/>
    <cellStyle name="Note 2 3 4 3 2 3" xfId="16886"/>
    <cellStyle name="Note 2 10 3 2 3" xfId="16887"/>
    <cellStyle name="Note 4 2 5 3 2 3" xfId="16888"/>
    <cellStyle name="Style 21 4 2 3" xfId="16889"/>
    <cellStyle name="Style 21 2 4 2 3" xfId="16890"/>
    <cellStyle name="Style 22 4 2 3" xfId="16891"/>
    <cellStyle name="Style 22 2 4 2 3" xfId="16892"/>
    <cellStyle name="Style 23 4 2 3" xfId="16893"/>
    <cellStyle name="Style 23 2 4 2 3" xfId="16894"/>
    <cellStyle name="Style 24 4 2 3" xfId="16895"/>
    <cellStyle name="Style 24 2 4 2 3" xfId="16896"/>
    <cellStyle name="Style 25 4 2 3" xfId="16897"/>
    <cellStyle name="Style 25 2 4 2 3" xfId="16898"/>
    <cellStyle name="Style 26 4 2 3" xfId="16899"/>
    <cellStyle name="Style 26 2 4 2 3" xfId="16900"/>
    <cellStyle name="styleColumnTitles 4 2 3" xfId="16901"/>
    <cellStyle name="styleColumnTitles 2 4 2 3" xfId="16902"/>
    <cellStyle name="styleDateRange 4 2 3" xfId="16903"/>
    <cellStyle name="styleDateRange 2 4 2 3" xfId="16904"/>
    <cellStyle name="styleSeriesAttributes 4 2 3" xfId="16905"/>
    <cellStyle name="styleSeriesAttributes 2 4 2 3" xfId="16906"/>
    <cellStyle name="styleSeriesData 4 2 3" xfId="16907"/>
    <cellStyle name="styleSeriesData 2 4 2 3" xfId="16908"/>
    <cellStyle name="styleSeriesDataForecast 4 2 3" xfId="16909"/>
    <cellStyle name="styleSeriesDataForecast 2 4 2 3" xfId="16910"/>
    <cellStyle name="styleSeriesDataForecastNA 4 2 3" xfId="16911"/>
    <cellStyle name="styleSeriesDataForecastNA 2 4 2 3" xfId="16912"/>
    <cellStyle name="styleSeriesDataNA 4 2 3" xfId="16913"/>
    <cellStyle name="styleSeriesDataNA 2 4 2 3" xfId="16914"/>
    <cellStyle name="Style 21 2 2 3 2 3" xfId="16915"/>
    <cellStyle name="Style 22 2 2 3 2 3" xfId="16916"/>
    <cellStyle name="Style 23 2 2 3 2 3" xfId="16917"/>
    <cellStyle name="Style 24 2 2 3 2 3" xfId="16918"/>
    <cellStyle name="Style 25 2 2 3 2 3" xfId="16919"/>
    <cellStyle name="Style 26 2 2 3 2 3" xfId="16920"/>
    <cellStyle name="styleColumnTitles 2 2 3 2 3" xfId="16921"/>
    <cellStyle name="styleDateRange 2 2 3 2 3" xfId="16922"/>
    <cellStyle name="styleSeriesAttributes 2 2 3 2 3" xfId="16923"/>
    <cellStyle name="styleSeriesData 2 2 3 2 3" xfId="16924"/>
    <cellStyle name="styleSeriesDataForecast 2 2 3 2 3" xfId="16925"/>
    <cellStyle name="styleSeriesDataForecastNA 2 2 3 2 3" xfId="16926"/>
    <cellStyle name="styleSeriesDataNA 2 2 3 2 3" xfId="16927"/>
    <cellStyle name="Total 2 6 3 3 2 3" xfId="16928"/>
    <cellStyle name="Calculation 7 2 3 2 3" xfId="16929"/>
    <cellStyle name="Calculation 2 6 2 3 2 3" xfId="16930"/>
    <cellStyle name="Calculation 3 2 2 3 2 3" xfId="16931"/>
    <cellStyle name="Calculation 4 2 2 3 2 3" xfId="16932"/>
    <cellStyle name="Calculation 5 4 3 2 3" xfId="16933"/>
    <cellStyle name="Output 9 2 3 2 3" xfId="16934"/>
    <cellStyle name="Input 10 2 3 2 3" xfId="16935"/>
    <cellStyle name="Input 2 6 2 3 2 3" xfId="16936"/>
    <cellStyle name="Input 3 2 2 3 2 3" xfId="16937"/>
    <cellStyle name="Input 4 2 2 3 2 3" xfId="16938"/>
    <cellStyle name="Input 5 2 2 3 2 3" xfId="16939"/>
    <cellStyle name="Note 11 2 3 2 3" xfId="16940"/>
    <cellStyle name="Note 2 6 2 3 2 3" xfId="16941"/>
    <cellStyle name="Note 2 2 3 2 3 2 3" xfId="16942"/>
    <cellStyle name="Note 3 4 2 3 2 3" xfId="16943"/>
    <cellStyle name="Note 3 2 4 2 3 2 3" xfId="16944"/>
    <cellStyle name="Note 4 3 2 3 2 3" xfId="16945"/>
    <cellStyle name="Note 4 2 2 2 3 2 3" xfId="16946"/>
    <cellStyle name="Note 5 5 3 2 3" xfId="16947"/>
    <cellStyle name="Note 5 2 4 3 2 3" xfId="16948"/>
    <cellStyle name="Note 6 5 3 2 3" xfId="16949"/>
    <cellStyle name="Note 6 2 4 3 2 3" xfId="16950"/>
    <cellStyle name="Note 7 5 3 2 3" xfId="16951"/>
    <cellStyle name="Note 7 2 4 3 2 3" xfId="16952"/>
    <cellStyle name="Note 8 4 3 2 3" xfId="16953"/>
    <cellStyle name="Note 9 3 3 2 3" xfId="16954"/>
    <cellStyle name="Output 7 2 3 2 3" xfId="16955"/>
    <cellStyle name="Output 2 6 2 3 2 3" xfId="16956"/>
    <cellStyle name="Output 3 2 2 3 2 3" xfId="16957"/>
    <cellStyle name="Output 4 2 2 3 2 3" xfId="16958"/>
    <cellStyle name="Output 5 5 3 2 3" xfId="16959"/>
    <cellStyle name="Total 7 2 3 2 3" xfId="16960"/>
    <cellStyle name="Total 2 7 2 3 2 3" xfId="16961"/>
    <cellStyle name="Total 3 2 2 3 2 3" xfId="16962"/>
    <cellStyle name="Total 4 2 2 3 2 3" xfId="16963"/>
    <cellStyle name="Total 5 5 3 2 3" xfId="16964"/>
    <cellStyle name="Calculation 8 2 3 2 3" xfId="16965"/>
    <cellStyle name="Input 12 2 3 2 3" xfId="16966"/>
    <cellStyle name="Input 11 2 3 2 3" xfId="16967"/>
    <cellStyle name="Calculation 9 2 3 2 3" xfId="16968"/>
    <cellStyle name="Output 8 2 3 2 3" xfId="16969"/>
    <cellStyle name="Total 8 2 3 2 3" xfId="16970"/>
    <cellStyle name="Total 9 2 3 2 3" xfId="16971"/>
    <cellStyle name="Output 5 2 2 3 2 3" xfId="16972"/>
    <cellStyle name="Output 4 3 2 3 2 3" xfId="16973"/>
    <cellStyle name="Output 3 3 2 3 2 3" xfId="16974"/>
    <cellStyle name="Output 2 7 2 3 2 3" xfId="16975"/>
    <cellStyle name="Output 11 2 3 2 3" xfId="16976"/>
    <cellStyle name="Input 5 3 2 3 2 3" xfId="16977"/>
    <cellStyle name="Input 4 3 2 3 2 3" xfId="16978"/>
    <cellStyle name="Input 3 3 2 3 2 3" xfId="16979"/>
    <cellStyle name="Input 2 7 2 3 2 3" xfId="16980"/>
    <cellStyle name="Calculation 10 2 3 2 3" xfId="16981"/>
    <cellStyle name="Input 14 2 3 2 3" xfId="16982"/>
    <cellStyle name="Input 16 2 3 2 3" xfId="16983"/>
    <cellStyle name="Input 17 2 3 2 3" xfId="16984"/>
    <cellStyle name="Input 15 2 3 2 3" xfId="16985"/>
    <cellStyle name="Input 13 2 3 2 3" xfId="16986"/>
    <cellStyle name="Calculation 5 2 2 3 2 3" xfId="16987"/>
    <cellStyle name="Calculation 4 3 2 3 2 3" xfId="16988"/>
    <cellStyle name="Calculation 3 3 2 3 2 3" xfId="16989"/>
    <cellStyle name="Calculation 2 7 2 3 2 3" xfId="16990"/>
    <cellStyle name="Calculation 11 2 3 2 3" xfId="16991"/>
    <cellStyle name="Output 10 2 3 2 3" xfId="16992"/>
    <cellStyle name="Note 12 2 3 2 3" xfId="16993"/>
    <cellStyle name="Note 2 7 2 3 2 3" xfId="16994"/>
    <cellStyle name="Note 2 2 4 2 3 2 3" xfId="16995"/>
    <cellStyle name="Note 3 5 2 3 2 3" xfId="16996"/>
    <cellStyle name="Note 3 2 5 2 3 2 3" xfId="16997"/>
    <cellStyle name="Note 4 4 2 3 2 3" xfId="16998"/>
    <cellStyle name="Note 4 2 3 2 3 2 3" xfId="16999"/>
    <cellStyle name="Note 5 3 2 3 2 3" xfId="17000"/>
    <cellStyle name="Note 5 2 2 2 3 2 3" xfId="17001"/>
    <cellStyle name="Note 6 3 2 3 2 3" xfId="17002"/>
    <cellStyle name="Note 6 2 2 2 3 2 3" xfId="17003"/>
    <cellStyle name="Note 7 3 2 3 2 3" xfId="17004"/>
    <cellStyle name="Note 7 2 2 2 3 2 3" xfId="17005"/>
    <cellStyle name="Note 8 2 2 3 2 3" xfId="17006"/>
    <cellStyle name="Note 9 2 2 3 2 3" xfId="17007"/>
    <cellStyle name="Output 12 2 3 2 3" xfId="17008"/>
    <cellStyle name="Output 2 8 2 3 2 3" xfId="17009"/>
    <cellStyle name="Output 3 4 2 3 2 3" xfId="17010"/>
    <cellStyle name="Output 4 4 2 3 2 3" xfId="17011"/>
    <cellStyle name="Output 5 3 2 3 2 3" xfId="17012"/>
    <cellStyle name="Total 10 2 3 2 3" xfId="17013"/>
    <cellStyle name="Total 11 2 3 2 3" xfId="17014"/>
    <cellStyle name="Total 2 8 2 3 2 3" xfId="17015"/>
    <cellStyle name="Total 3 3 2 3 2 3" xfId="17016"/>
    <cellStyle name="Total 4 3 2 3 2 3" xfId="17017"/>
    <cellStyle name="Total 5 2 2 3 2 3" xfId="17018"/>
    <cellStyle name="Total 12 2 3 2 3" xfId="17019"/>
    <cellStyle name="Total 2 9 2 3 2 3" xfId="17020"/>
    <cellStyle name="Total 3 4 2 3 2 3" xfId="17021"/>
    <cellStyle name="Total 4 4 2 3 2 3" xfId="17022"/>
    <cellStyle name="Total 5 3 2 3 2 3" xfId="17023"/>
    <cellStyle name="Input 18 2 3 2 3" xfId="17024"/>
    <cellStyle name="Calculation 12 2 3 2 3" xfId="17025"/>
    <cellStyle name="Input 19 2 3 2 3" xfId="17026"/>
    <cellStyle name="Note 13 2 3 2 3" xfId="17027"/>
    <cellStyle name="Output 13 2 3 2 3" xfId="17028"/>
    <cellStyle name="Total 13 2 3 2 3" xfId="17029"/>
    <cellStyle name="Calculation 2 8 2 3 2 3" xfId="17030"/>
    <cellStyle name="Calculation 3 4 2 3 2 3" xfId="17031"/>
    <cellStyle name="Calculation 4 4 2 3 2 3" xfId="17032"/>
    <cellStyle name="Calculation 5 3 2 3 2 3" xfId="17033"/>
    <cellStyle name="Input 2 8 2 3 2 3" xfId="17034"/>
    <cellStyle name="Input 3 4 2 3 2 3" xfId="17035"/>
    <cellStyle name="Input 4 4 2 3 2 3" xfId="17036"/>
    <cellStyle name="Input 5 4 2 3 2 3" xfId="17037"/>
    <cellStyle name="Note 2 8 2 3 2 3" xfId="17038"/>
    <cellStyle name="Note 2 2 5 2 3 2 3" xfId="17039"/>
    <cellStyle name="Note 3 6 2 3 2 3" xfId="17040"/>
    <cellStyle name="Note 3 2 6 2 3 2 3" xfId="17041"/>
    <cellStyle name="Note 4 5 2 3 2 3" xfId="17042"/>
    <cellStyle name="Note 4 2 4 2 3 2 3" xfId="17043"/>
    <cellStyle name="Note 5 4 2 3 2 3" xfId="17044"/>
    <cellStyle name="Note 5 2 3 2 3 2 3" xfId="17045"/>
    <cellStyle name="Note 6 4 2 3 2 3" xfId="17046"/>
    <cellStyle name="Note 6 2 3 2 3 2 3" xfId="17047"/>
    <cellStyle name="Note 7 4 2 3 2 3" xfId="17048"/>
    <cellStyle name="Note 7 2 3 2 3 2 3" xfId="17049"/>
    <cellStyle name="Note 8 3 2 3 2 3" xfId="17050"/>
    <cellStyle name="Output 2 9 2 3 2 3" xfId="17051"/>
    <cellStyle name="Output 3 5 2 3 2 3" xfId="17052"/>
    <cellStyle name="Output 4 5 2 3 2 3" xfId="17053"/>
    <cellStyle name="Output 5 4 2 3 2 3" xfId="17054"/>
    <cellStyle name="Total 2 10 2 3 2 3" xfId="17055"/>
    <cellStyle name="Total 3 5 2 3 2 3" xfId="17056"/>
    <cellStyle name="Total 4 5 2 3 2 3" xfId="17057"/>
    <cellStyle name="Total 5 4 2 3 2 3" xfId="17058"/>
    <cellStyle name="Input 20 2 3 2 3" xfId="17059"/>
    <cellStyle name="Input 21 2 3 2 3" xfId="17060"/>
    <cellStyle name="Note 6 4 5 5" xfId="17061"/>
    <cellStyle name="Input 12 2 2 5" xfId="17062"/>
    <cellStyle name="styleSeriesAttributes 2 3 5" xfId="17063"/>
    <cellStyle name="Total 2 5 2 2 5" xfId="17064"/>
    <cellStyle name="Calculation 2 2 4 2 2 5" xfId="17065"/>
    <cellStyle name="Total 11 4 5" xfId="17066"/>
    <cellStyle name="Note 4 2 4 5 5" xfId="17067"/>
    <cellStyle name="Calculation 5 3 2 8" xfId="17068"/>
    <cellStyle name="Note 5 3 2 8" xfId="17069"/>
    <cellStyle name="Output 4 2 2 8" xfId="17070"/>
    <cellStyle name="Note 4 2 5 8" xfId="17071"/>
    <cellStyle name="Calculation 4 2 3 5" xfId="17072"/>
    <cellStyle name="Total 13 10" xfId="17073"/>
    <cellStyle name="Note 3 3 4 6" xfId="17074"/>
    <cellStyle name="Note 2 7 2 2 5" xfId="17075"/>
    <cellStyle name="Input 10 2 2 5" xfId="17076"/>
    <cellStyle name="Input 2 3 3 2 5" xfId="17077"/>
    <cellStyle name="Note 3 7 2 5" xfId="17078"/>
    <cellStyle name="Note 3 6 4 5" xfId="17079"/>
    <cellStyle name="Input 16 4 5" xfId="17080"/>
    <cellStyle name="Output 11 2 8" xfId="17081"/>
    <cellStyle name="Calculation 4 2 2 8" xfId="17082"/>
    <cellStyle name="Style 25 2 9" xfId="17083"/>
    <cellStyle name="Note 4 6 8" xfId="17084"/>
    <cellStyle name="Calculation 7 6 2 3" xfId="17085"/>
    <cellStyle name="Calculation 2 6 6 2 3" xfId="17086"/>
    <cellStyle name="Calculation 3 2 6 2 3" xfId="17087"/>
    <cellStyle name="Calculation 4 2 6 2 3" xfId="17088"/>
    <cellStyle name="Calculation 5 7 2 3" xfId="17089"/>
    <cellStyle name="Output 9 5 2 3" xfId="17090"/>
    <cellStyle name="Input 10 6 2 3" xfId="17091"/>
    <cellStyle name="Input 2 6 6 2 3" xfId="17092"/>
    <cellStyle name="Input 3 2 6 2 3" xfId="17093"/>
    <cellStyle name="Input 4 2 6 2 3" xfId="17094"/>
    <cellStyle name="Input 5 2 6 2 3" xfId="17095"/>
    <cellStyle name="Note 11 5 2 3" xfId="17096"/>
    <cellStyle name="Note 2 6 5 2 3" xfId="17097"/>
    <cellStyle name="Note 2 2 3 5 2 3" xfId="17098"/>
    <cellStyle name="Note 3 4 5 2 3" xfId="17099"/>
    <cellStyle name="Note 3 2 4 5 2 3" xfId="17100"/>
    <cellStyle name="Note 4 3 5 2 3" xfId="17101"/>
    <cellStyle name="Note 4 2 2 5 2 3" xfId="17102"/>
    <cellStyle name="Note 5 8 2 3" xfId="17103"/>
    <cellStyle name="Note 5 2 7 2 3" xfId="17104"/>
    <cellStyle name="Note 6 8 2 3" xfId="17105"/>
    <cellStyle name="Note 6 2 7 2 3" xfId="17106"/>
    <cellStyle name="Note 7 8 2 3" xfId="17107"/>
    <cellStyle name="Note 7 2 7 2 3" xfId="17108"/>
    <cellStyle name="Note 8 7 2 3" xfId="17109"/>
    <cellStyle name="Note 9 6 2 3" xfId="17110"/>
    <cellStyle name="Output 7 5 2 3" xfId="17111"/>
    <cellStyle name="Output 2 6 5 2 3" xfId="17112"/>
    <cellStyle name="Output 3 2 5 2 3" xfId="17113"/>
    <cellStyle name="Output 4 2 5 2 3" xfId="17114"/>
    <cellStyle name="Output 5 8 2 3" xfId="17115"/>
    <cellStyle name="Total 7 5 2 3" xfId="17116"/>
    <cellStyle name="Total 2 7 5 2 3" xfId="17117"/>
    <cellStyle name="Total 3 2 5 2 3" xfId="17118"/>
    <cellStyle name="Total 4 2 5 2 3" xfId="17119"/>
    <cellStyle name="Total 5 8 2 3" xfId="17120"/>
    <cellStyle name="Calculation 8 6 2 3" xfId="17121"/>
    <cellStyle name="Input 12 6 2 3" xfId="17122"/>
    <cellStyle name="Input 11 6 2 3" xfId="17123"/>
    <cellStyle name="Calculation 9 6 2 3" xfId="17124"/>
    <cellStyle name="Output 8 5 2 3" xfId="17125"/>
    <cellStyle name="Total 8 5 2 3" xfId="17126"/>
    <cellStyle name="Total 9 5 2 3" xfId="17127"/>
    <cellStyle name="Total 10 2 2 5" xfId="17128"/>
    <cellStyle name="Note 9 3 2 5" xfId="17129"/>
    <cellStyle name="Style 23 2 3 5" xfId="17130"/>
    <cellStyle name="Calculation 2 4 3 2 5" xfId="17131"/>
    <cellStyle name="Input 20 4 5" xfId="17132"/>
    <cellStyle name="Note 6 3 4 5" xfId="17133"/>
    <cellStyle name="Note 4 2 2 2 8" xfId="17134"/>
    <cellStyle name="Output 5 2 5 2 3" xfId="17135"/>
    <cellStyle name="Output 4 3 5 2 3" xfId="17136"/>
    <cellStyle name="Output 3 3 5 2 3" xfId="17137"/>
    <cellStyle name="Output 2 7 5 2 3" xfId="17138"/>
    <cellStyle name="Output 11 5 2 3" xfId="17139"/>
    <cellStyle name="styleSeriesDataNA 9" xfId="17140"/>
    <cellStyle name="Input 2 2 3 3 8" xfId="17141"/>
    <cellStyle name="Input 5 3 6 2 3" xfId="17142"/>
    <cellStyle name="Input 4 3 6 2 3" xfId="17143"/>
    <cellStyle name="Input 3 3 6 2 3" xfId="17144"/>
    <cellStyle name="Input 2 7 6 2 3" xfId="17145"/>
    <cellStyle name="Calculation 10 6 2 3" xfId="17146"/>
    <cellStyle name="Input 14 6 2 3" xfId="17147"/>
    <cellStyle name="Input 16 6 2 3" xfId="17148"/>
    <cellStyle name="Input 17 6 2 3" xfId="17149"/>
    <cellStyle name="Input 15 6 2 3" xfId="17150"/>
    <cellStyle name="Input 13 6 2 3" xfId="17151"/>
    <cellStyle name="Calculation 5 2 6 2 3" xfId="17152"/>
    <cellStyle name="Calculation 4 3 6 2 3" xfId="17153"/>
    <cellStyle name="Calculation 3 3 6 2 3" xfId="17154"/>
    <cellStyle name="Calculation 2 7 6 2 3" xfId="17155"/>
    <cellStyle name="Calculation 11 6 2 3" xfId="17156"/>
    <cellStyle name="Output 10 5 2 3" xfId="17157"/>
    <cellStyle name="Note 12 5 2 3" xfId="17158"/>
    <cellStyle name="Note 2 7 5 2 3" xfId="17159"/>
    <cellStyle name="Note 2 2 4 5 2 3" xfId="17160"/>
    <cellStyle name="Note 3 5 5 2 3" xfId="17161"/>
    <cellStyle name="Note 3 2 5 5 2 3" xfId="17162"/>
    <cellStyle name="Note 4 4 5 2 3" xfId="17163"/>
    <cellStyle name="Note 4 2 3 5 2 3" xfId="17164"/>
    <cellStyle name="Note 5 3 5 2 3" xfId="17165"/>
    <cellStyle name="Note 5 2 2 5 2 3" xfId="17166"/>
    <cellStyle name="Note 6 3 5 2 3" xfId="17167"/>
    <cellStyle name="Note 6 2 2 5 2 3" xfId="17168"/>
    <cellStyle name="Note 7 3 5 2 3" xfId="17169"/>
    <cellStyle name="Note 7 2 2 5 2 3" xfId="17170"/>
    <cellStyle name="Note 8 2 5 2 3" xfId="17171"/>
    <cellStyle name="Note 9 2 5 2 3" xfId="17172"/>
    <cellStyle name="Output 12 5 2 3" xfId="17173"/>
    <cellStyle name="Output 2 8 5 2 3" xfId="17174"/>
    <cellStyle name="Output 3 4 5 2 3" xfId="17175"/>
    <cellStyle name="Output 4 4 5 2 3" xfId="17176"/>
    <cellStyle name="Output 5 3 5 2 3" xfId="17177"/>
    <cellStyle name="Total 10 5 2 3" xfId="17178"/>
    <cellStyle name="Total 11 5 2 3" xfId="17179"/>
    <cellStyle name="Total 2 8 5 2 3" xfId="17180"/>
    <cellStyle name="Total 3 3 5 2 3" xfId="17181"/>
    <cellStyle name="Total 4 3 5 2 3" xfId="17182"/>
    <cellStyle name="Total 5 2 5 2 3" xfId="17183"/>
    <cellStyle name="Total 12 5 2 3" xfId="17184"/>
    <cellStyle name="Total 2 9 5 2 3" xfId="17185"/>
    <cellStyle name="Total 3 4 5 2 3" xfId="17186"/>
    <cellStyle name="Total 4 4 5 2 3" xfId="17187"/>
    <cellStyle name="Total 5 3 5 2 3" xfId="17188"/>
    <cellStyle name="Note 6 2 2 2 2 5" xfId="17189"/>
    <cellStyle name="Note 3 2 4 2 2 5" xfId="17190"/>
    <cellStyle name="Output 2 11 2 5" xfId="17191"/>
    <cellStyle name="Output 2 5 2 2 5" xfId="17192"/>
    <cellStyle name="Note 7 2 3 4 5" xfId="17193"/>
    <cellStyle name="Output 10 4 5" xfId="17194"/>
    <cellStyle name="Input 16 2 8" xfId="17195"/>
    <cellStyle name="Output 3 7 8" xfId="17196"/>
    <cellStyle name="Input 18 6 2 3" xfId="17197"/>
    <cellStyle name="Calculation 12 6 2 3" xfId="17198"/>
    <cellStyle name="Input 19 6 2 3" xfId="17199"/>
    <cellStyle name="Note 13 6 2 3" xfId="17200"/>
    <cellStyle name="Output 13 6 2 3" xfId="17201"/>
    <cellStyle name="Total 13 6 2 3" xfId="17202"/>
    <cellStyle name="Total 2 7 3 5" xfId="17203"/>
    <cellStyle name="Output 10 9" xfId="17204"/>
    <cellStyle name="Calculation 2 8 6 2 3" xfId="17205"/>
    <cellStyle name="Calculation 3 4 6 2 3" xfId="17206"/>
    <cellStyle name="Calculation 4 4 6 2 3" xfId="17207"/>
    <cellStyle name="Calculation 5 3 6 2 3" xfId="17208"/>
    <cellStyle name="Input 2 8 6 2 3" xfId="17209"/>
    <cellStyle name="Input 3 4 6 2 3" xfId="17210"/>
    <cellStyle name="Input 4 4 6 2 3" xfId="17211"/>
    <cellStyle name="Input 5 4 6 2 3" xfId="17212"/>
    <cellStyle name="Note 2 8 6 2 3" xfId="17213"/>
    <cellStyle name="Note 2 2 5 6 2 3" xfId="17214"/>
    <cellStyle name="Note 3 6 6 2 3" xfId="17215"/>
    <cellStyle name="Note 3 2 6 6 2 3" xfId="17216"/>
    <cellStyle name="Note 4 5 6 2 3" xfId="17217"/>
    <cellStyle name="Note 4 2 4 6 2 3" xfId="17218"/>
    <cellStyle name="Note 5 4 6 2 3" xfId="17219"/>
    <cellStyle name="Note 5 2 3 6 2 3" xfId="17220"/>
    <cellStyle name="Note 6 4 6 2 3" xfId="17221"/>
    <cellStyle name="Note 6 2 3 6 2 3" xfId="17222"/>
    <cellStyle name="Note 7 4 6 2 3" xfId="17223"/>
    <cellStyle name="Note 7 2 3 6 2 3" xfId="17224"/>
    <cellStyle name="Note 8 3 6 2 3" xfId="17225"/>
    <cellStyle name="Output 2 9 6 2 3" xfId="17226"/>
    <cellStyle name="Output 3 5 6 2 3" xfId="17227"/>
    <cellStyle name="Output 4 5 6 2 3" xfId="17228"/>
    <cellStyle name="Output 5 4 6 2 3" xfId="17229"/>
    <cellStyle name="Total 2 10 6 2 3" xfId="17230"/>
    <cellStyle name="Total 3 5 6 2 3" xfId="17231"/>
    <cellStyle name="Total 4 5 6 2 3" xfId="17232"/>
    <cellStyle name="Total 5 4 6 2 3" xfId="17233"/>
    <cellStyle name="Input 20 6 2 3" xfId="17234"/>
    <cellStyle name="Calculation 2 7 5 5" xfId="17235"/>
    <cellStyle name="Calculation 5 2 10" xfId="17236"/>
    <cellStyle name="Input 21 6 2 3" xfId="17237"/>
    <cellStyle name="Note 9 4 5" xfId="17238"/>
    <cellStyle name="Calculation 10 10" xfId="17239"/>
    <cellStyle name="Input 10 3 2 2 3" xfId="17240"/>
    <cellStyle name="Input 2 4 4 2 2 3" xfId="17241"/>
    <cellStyle name="Input 7 4 2 2 3" xfId="17242"/>
    <cellStyle name="Note 4 2 6 4 2 3" xfId="17243"/>
    <cellStyle name="Note 3 3 3 4 2 3" xfId="17244"/>
    <cellStyle name="Note 2 5 3 4 2 3" xfId="17245"/>
    <cellStyle name="Note 2 4 2 3 4 2 3" xfId="17246"/>
    <cellStyle name="Note 2 3 2 3 4 2 3" xfId="17247"/>
    <cellStyle name="Note 2 2 2 3 4 2 3" xfId="17248"/>
    <cellStyle name="Input 6 6 2 3" xfId="17249"/>
    <cellStyle name="Input 4 7 2 3" xfId="17250"/>
    <cellStyle name="Input 2 4 5 2 3" xfId="17251"/>
    <cellStyle name="Input 2 2 4 5 2 3" xfId="17252"/>
    <cellStyle name="Input 2 2 2 5 2 3" xfId="17253"/>
    <cellStyle name="Input 2 12 2 3" xfId="17254"/>
    <cellStyle name="Input 24 2 3" xfId="17255"/>
    <cellStyle name="Note 14 2 3" xfId="17256"/>
    <cellStyle name="Note 2 11 2 3" xfId="17257"/>
    <cellStyle name="Note 2 2 8 2 3" xfId="17258"/>
    <cellStyle name="Calculation 2 9 4 2 3" xfId="17259"/>
    <cellStyle name="Calculation 2 2 5 4 2 3" xfId="17260"/>
    <cellStyle name="Calculation 2 2 2 2 4 2 3" xfId="17261"/>
    <cellStyle name="Calculation 2 2 3 2 4 2 3" xfId="17262"/>
    <cellStyle name="Calculation 2 2 4 2 4 2 3" xfId="17263"/>
    <cellStyle name="Calculation 2 3 2 4 2 3" xfId="17264"/>
    <cellStyle name="Calculation 2 4 2 4 2 3" xfId="17265"/>
    <cellStyle name="Calculation 2 5 2 4 2 3" xfId="17266"/>
    <cellStyle name="Calculation 3 5 4 2 3" xfId="17267"/>
    <cellStyle name="Note 3 2 10 2 3" xfId="17268"/>
    <cellStyle name="Note 3 2 2 5 2 3" xfId="17269"/>
    <cellStyle name="Note 4 8 2 3" xfId="17270"/>
    <cellStyle name="Output 3 8 2 2 3" xfId="17271"/>
    <cellStyle name="Calculation 2 3 5 2 3" xfId="17272"/>
    <cellStyle name="Calculation 2 2 4 5 2 3" xfId="17273"/>
    <cellStyle name="Calculation 2 2 3 5 2 3" xfId="17274"/>
    <cellStyle name="Calculation 2 2 2 5 2 3" xfId="17275"/>
    <cellStyle name="Calculation 2 2 8 2 3" xfId="17276"/>
    <cellStyle name="Calculation 13 2 3" xfId="17277"/>
    <cellStyle name="Output 2 2 4 4 6" xfId="17278"/>
    <cellStyle name="Input 2 11 6" xfId="17279"/>
    <cellStyle name="Calculation 3 4 10" xfId="17280"/>
    <cellStyle name="Total 2 2 2 4 2 2 3" xfId="17281"/>
    <cellStyle name="Total 2 2 4 4 2 2 3" xfId="17282"/>
    <cellStyle name="Total 14 2 3" xfId="17283"/>
    <cellStyle name="Header2 2 4 2 3" xfId="17284"/>
    <cellStyle name="Input 2 5 3 4 2 3" xfId="17285"/>
    <cellStyle name="Input 2 9 4 2 3" xfId="17286"/>
    <cellStyle name="Input 2 2 5 4 2 3" xfId="17287"/>
    <cellStyle name="Input 2 2 2 2 4 2 3" xfId="17288"/>
    <cellStyle name="Input 2 2 3 2 4 2 3" xfId="17289"/>
    <cellStyle name="Input 2 2 4 2 4 2 3" xfId="17290"/>
    <cellStyle name="Input 2 3 2 4 2 3" xfId="17291"/>
    <cellStyle name="Input 2 4 2 4 2 3" xfId="17292"/>
    <cellStyle name="Input 2 5 2 4 2 3" xfId="17293"/>
    <cellStyle name="Input 3 5 4 2 3" xfId="17294"/>
    <cellStyle name="Input 4 5 4 2 3" xfId="17295"/>
    <cellStyle name="Input 5 5 4 2 3" xfId="17296"/>
    <cellStyle name="Input 6 3 4 2 3" xfId="17297"/>
    <cellStyle name="Input 7 2 4 2 3" xfId="17298"/>
    <cellStyle name="Input 8 2 4 2 3" xfId="17299"/>
    <cellStyle name="Calculation 2 5 3 4 2 3" xfId="17300"/>
    <cellStyle name="Input 3 2 3 5" xfId="17301"/>
    <cellStyle name="Total 2 4 3 4 2 3" xfId="17302"/>
    <cellStyle name="Total 2 2 4 3 4 2 3" xfId="17303"/>
    <cellStyle name="Total 2 2 3 3 4 2 3" xfId="17304"/>
    <cellStyle name="Total 2 12 4 2 3" xfId="17305"/>
    <cellStyle name="Output 14 2 3" xfId="17306"/>
    <cellStyle name="Note 2 4 6 2 3" xfId="17307"/>
    <cellStyle name="Calculation 2 2 7 2 2 3" xfId="17308"/>
    <cellStyle name="Calculation 2 2 4 4 2 2 3" xfId="17309"/>
    <cellStyle name="Header2 3 2 2 3" xfId="17310"/>
    <cellStyle name="Input 2 2 7 2 2 3" xfId="17311"/>
    <cellStyle name="Input 2 3 4 2 2 3" xfId="17312"/>
    <cellStyle name="Input [yellow] 3 2 3" xfId="17313"/>
    <cellStyle name="Total 2 2 7 2 2 3" xfId="17314"/>
    <cellStyle name="Total 2 4 4 2 2 3" xfId="17315"/>
    <cellStyle name="Note 2 9 4 2 3" xfId="17316"/>
    <cellStyle name="Note 2 2 6 4 2 3" xfId="17317"/>
    <cellStyle name="Note 2 3 3 4 2 3" xfId="17318"/>
    <cellStyle name="Note 2 4 3 4 2 3" xfId="17319"/>
    <cellStyle name="Note 3 7 4 2 3" xfId="17320"/>
    <cellStyle name="Note 3 2 7 4 2 3" xfId="17321"/>
    <cellStyle name="Output 2 10 4 2 3" xfId="17322"/>
    <cellStyle name="Output 2 2 5 4 2 3" xfId="17323"/>
    <cellStyle name="Output 2 2 2 2 4 2 3" xfId="17324"/>
    <cellStyle name="Output 2 2 3 2 4 2 3" xfId="17325"/>
    <cellStyle name="Output 2 2 4 2 4 2 3" xfId="17326"/>
    <cellStyle name="Output 2 3 2 4 2 3" xfId="17327"/>
    <cellStyle name="Output 2 4 2 4 2 3" xfId="17328"/>
    <cellStyle name="Output 2 5 2 4 2 3" xfId="17329"/>
    <cellStyle name="Output 3 6 4 2 3" xfId="17330"/>
    <cellStyle name="Input 7 3 4 2 3" xfId="17331"/>
    <cellStyle name="Input 5 6 4 2 3" xfId="17332"/>
    <cellStyle name="Input 3 6 4 2 3" xfId="17333"/>
    <cellStyle name="Input 2 4 3 4 2 3" xfId="17334"/>
    <cellStyle name="Input 2 2 4 3 4 2 3" xfId="17335"/>
    <cellStyle name="Input 2 2 2 3 4 2 3" xfId="17336"/>
    <cellStyle name="Input 2 10 4 2 3" xfId="17337"/>
    <cellStyle name="Calculation 3 6 4 2 3" xfId="17338"/>
    <cellStyle name="Calculation 2 4 3 4 2 3" xfId="17339"/>
    <cellStyle name="Calculation 2 2 4 3 4 2 3" xfId="17340"/>
    <cellStyle name="Calculation 2 2 2 3 4 2 3" xfId="17341"/>
    <cellStyle name="Calculation 2 10 4 2 3" xfId="17342"/>
    <cellStyle name="StmtTtl2 2 4 2 3" xfId="17343"/>
    <cellStyle name="Total 2 11 4 2 3" xfId="17344"/>
    <cellStyle name="Total 2 2 5 4 2 3" xfId="17345"/>
    <cellStyle name="Total 2 2 2 2 4 2 3" xfId="17346"/>
    <cellStyle name="Total 2 2 3 2 4 2 3" xfId="17347"/>
    <cellStyle name="Total 2 2 4 2 4 2 3" xfId="17348"/>
    <cellStyle name="Total 2 3 2 4 2 3" xfId="17349"/>
    <cellStyle name="Total 2 4 2 4 2 3" xfId="17350"/>
    <cellStyle name="Total 2 5 2 4 2 3" xfId="17351"/>
    <cellStyle name="Total 2 6 2 4 2 3" xfId="17352"/>
    <cellStyle name="Total 3 6 4 2 3" xfId="17353"/>
    <cellStyle name="Input 19 2 2 5" xfId="17354"/>
    <cellStyle name="Total 9 2 2 5" xfId="17355"/>
    <cellStyle name="styleSeriesDataForecastNA 3 5" xfId="17356"/>
    <cellStyle name="Input 12 5 5" xfId="17357"/>
    <cellStyle name="Total 12 4 5" xfId="17358"/>
    <cellStyle name="Total 5 7 5" xfId="17359"/>
    <cellStyle name="Note 7 2 2 2 8" xfId="17360"/>
    <cellStyle name="Total 3 2 2 8" xfId="17361"/>
    <cellStyle name="styleSeriesDataNA 2 2 8" xfId="17362"/>
    <cellStyle name="Output 2 5 3 4 2 3" xfId="17363"/>
    <cellStyle name="Input 8 5 2 3" xfId="17364"/>
    <cellStyle name="Note 3 9 2 3" xfId="17365"/>
    <cellStyle name="Note 2 3 5 2 2 3" xfId="17366"/>
    <cellStyle name="Note 2 4 5 2 2 3" xfId="17367"/>
    <cellStyle name="Note 3 2 9 2 2 3" xfId="17368"/>
    <cellStyle name="Output 2 12 2 2 3" xfId="17369"/>
    <cellStyle name="Output 2 2 7 2 2 3" xfId="17370"/>
    <cellStyle name="Output 2 2 2 4 2 2 3" xfId="17371"/>
    <cellStyle name="Output 2 3 4 2 2 3" xfId="17372"/>
    <cellStyle name="Output 2 4 4 2 2 3" xfId="17373"/>
    <cellStyle name="Calculation 2 4 4 2 2 3" xfId="17374"/>
    <cellStyle name="Input 2 2 2 4 2 2 3" xfId="17375"/>
    <cellStyle name="Output 2 3 3 4 2 3" xfId="17376"/>
    <cellStyle name="Output 2 2 3 3 4 2 3" xfId="17377"/>
    <cellStyle name="Output 2 2 6 4 2 3" xfId="17378"/>
    <cellStyle name="Note 4 7 4 2 3" xfId="17379"/>
    <cellStyle name="Note 3 2 2 3 4 2 3" xfId="17380"/>
    <cellStyle name="Note 3 8 4 2 3" xfId="17381"/>
    <cellStyle name="Note 2 4 4 4 2 3" xfId="17382"/>
    <cellStyle name="Note 2 2 7 4 2 3" xfId="17383"/>
    <cellStyle name="Input 7 5 2 3" xfId="17384"/>
    <cellStyle name="Input 3 7 2 3" xfId="17385"/>
    <cellStyle name="Input 2 2 3 5 2 3" xfId="17386"/>
    <cellStyle name="Note 3 2 2 2 4 2 3" xfId="17387"/>
    <cellStyle name="Note 4 6 4 2 3" xfId="17388"/>
    <cellStyle name="Input 2 6 4 5" xfId="17389"/>
    <cellStyle name="Calculation 2 12 2 3" xfId="17390"/>
    <cellStyle name="Calculation 2 4 5 2 3" xfId="17391"/>
    <cellStyle name="Total 2 13 2 2 3" xfId="17392"/>
    <cellStyle name="Total 3 8 2 2 3" xfId="17393"/>
    <cellStyle name="Total 2 3 4 2 2 3" xfId="17394"/>
    <cellStyle name="Total 3 7 4 2 3" xfId="17395"/>
    <cellStyle name="Total 2 5 3 4 2 3" xfId="17396"/>
    <cellStyle name="Total 2 3 3 4 2 3" xfId="17397"/>
    <cellStyle name="Total 2 2 6 4 2 3" xfId="17398"/>
    <cellStyle name="Total 2 2 2 3 4 2 3" xfId="17399"/>
    <cellStyle name="StmtTtl2 3 4 2 3" xfId="17400"/>
    <cellStyle name="Calculation 2 11 2 2 3" xfId="17401"/>
    <cellStyle name="Input 23 2 3" xfId="17402"/>
    <cellStyle name="Input 2 11 2 2 3" xfId="17403"/>
    <cellStyle name="Input 2 2 4 4 2 2 3" xfId="17404"/>
    <cellStyle name="Input 8 4 2 2 3" xfId="17405"/>
    <cellStyle name="Output 3 7 4 2 3" xfId="17406"/>
    <cellStyle name="Input 22 2 3" xfId="17407"/>
    <cellStyle name="Header2 4 2 2 3" xfId="17408"/>
    <cellStyle name="StmtTtl2 4 2 2 3" xfId="17409"/>
    <cellStyle name="Total 2 2 3 4 2 2 3" xfId="17410"/>
    <cellStyle name="Total 2 5 4 2 2 3" xfId="17411"/>
    <cellStyle name="Note 2 5 2 4 2 3" xfId="17412"/>
    <cellStyle name="Note 2 2 2 2 4 2 3" xfId="17413"/>
    <cellStyle name="Note 2 3 2 2 4 2 3" xfId="17414"/>
    <cellStyle name="Note 2 4 2 2 4 2 3" xfId="17415"/>
    <cellStyle name="Note 3 3 2 4 2 3" xfId="17416"/>
    <cellStyle name="Input 8 3 4 2 3" xfId="17417"/>
    <cellStyle name="Input 6 4 4 2 3" xfId="17418"/>
    <cellStyle name="Input 4 6 4 2 3" xfId="17419"/>
    <cellStyle name="Input 2 3 3 4 2 3" xfId="17420"/>
    <cellStyle name="Input 2 2 3 3 4 2 3" xfId="17421"/>
    <cellStyle name="Input 2 2 6 4 2 3" xfId="17422"/>
    <cellStyle name="Calculation 2 3 3 4 2 3" xfId="17423"/>
    <cellStyle name="Calculation 2 2 3 3 4 2 3" xfId="17424"/>
    <cellStyle name="Calculation 2 2 6 4 2 3" xfId="17425"/>
    <cellStyle name="Calculation 3 8 2 3" xfId="17426"/>
    <cellStyle name="Note 3 2 2 4 2 2 3" xfId="17427"/>
    <cellStyle name="Output 2 2 4 4 2 2 3" xfId="17428"/>
    <cellStyle name="Output 2 2 3 4 2 2 3" xfId="17429"/>
    <cellStyle name="Input 2 2 3 4 2 2 3" xfId="17430"/>
    <cellStyle name="Output 2 4 3 4 2 3" xfId="17431"/>
    <cellStyle name="Output 2 2 4 3 4 2 3" xfId="17432"/>
    <cellStyle name="Output 2 2 2 3 4 2 3" xfId="17433"/>
    <cellStyle name="Output 2 11 4 2 3" xfId="17434"/>
    <cellStyle name="Note 3 2 8 4 2 3" xfId="17435"/>
    <cellStyle name="Note 2 3 4 4 2 3" xfId="17436"/>
    <cellStyle name="Note 2 10 4 2 3" xfId="17437"/>
    <cellStyle name="Input 5 8 2 3" xfId="17438"/>
    <cellStyle name="Input 2 3 5 2 3" xfId="17439"/>
    <cellStyle name="Input 2 2 8 2 3" xfId="17440"/>
    <cellStyle name="Note 4 2 5 4 2 3" xfId="17441"/>
    <cellStyle name="Style 21 5 2 3" xfId="17442"/>
    <cellStyle name="Style 21 2 5 2 3" xfId="17443"/>
    <cellStyle name="Style 22 5 2 3" xfId="17444"/>
    <cellStyle name="Style 22 2 5 2 3" xfId="17445"/>
    <cellStyle name="Style 23 5 2 3" xfId="17446"/>
    <cellStyle name="Style 23 2 5 2 3" xfId="17447"/>
    <cellStyle name="Style 24 5 2 3" xfId="17448"/>
    <cellStyle name="Style 24 2 5 2 3" xfId="17449"/>
    <cellStyle name="Style 25 5 2 3" xfId="17450"/>
    <cellStyle name="Style 25 2 5 2 3" xfId="17451"/>
    <cellStyle name="Style 26 5 2 3" xfId="17452"/>
    <cellStyle name="Style 26 2 5 2 3" xfId="17453"/>
    <cellStyle name="styleColumnTitles 5 2 3" xfId="17454"/>
    <cellStyle name="styleColumnTitles 2 5 2 3" xfId="17455"/>
    <cellStyle name="styleDateRange 5 2 3" xfId="17456"/>
    <cellStyle name="styleDateRange 2 5 2 3" xfId="17457"/>
    <cellStyle name="styleSeriesAttributes 5 2 3" xfId="17458"/>
    <cellStyle name="styleSeriesAttributes 2 5 2 3" xfId="17459"/>
    <cellStyle name="styleSeriesData 5 2 3" xfId="17460"/>
    <cellStyle name="styleSeriesData 2 5 2 3" xfId="17461"/>
    <cellStyle name="styleSeriesDataForecast 5 2 3" xfId="17462"/>
    <cellStyle name="styleSeriesDataForecast 2 5 2 3" xfId="17463"/>
    <cellStyle name="styleSeriesDataForecastNA 5 2 3" xfId="17464"/>
    <cellStyle name="styleSeriesDataForecastNA 2 5 2 3" xfId="17465"/>
    <cellStyle name="styleSeriesDataNA 5 2 3" xfId="17466"/>
    <cellStyle name="styleSeriesDataNA 2 5 2 3" xfId="17467"/>
    <cellStyle name="Style 21 2 2 4 2 3" xfId="17468"/>
    <cellStyle name="Style 22 2 2 4 2 3" xfId="17469"/>
    <cellStyle name="Style 23 2 2 4 2 3" xfId="17470"/>
    <cellStyle name="Style 24 2 2 4 2 3" xfId="17471"/>
    <cellStyle name="Style 25 2 2 4 2 3" xfId="17472"/>
    <cellStyle name="Style 26 2 2 4 2 3" xfId="17473"/>
    <cellStyle name="styleColumnTitles 2 2 4 2 3" xfId="17474"/>
    <cellStyle name="styleDateRange 2 2 4 2 3" xfId="17475"/>
    <cellStyle name="styleSeriesAttributes 2 2 4 2 3" xfId="17476"/>
    <cellStyle name="styleSeriesData 2 2 4 2 3" xfId="17477"/>
    <cellStyle name="styleSeriesDataForecast 2 2 4 2 3" xfId="17478"/>
    <cellStyle name="styleSeriesDataForecastNA 2 2 4 2 3" xfId="17479"/>
    <cellStyle name="styleSeriesDataNA 2 2 4 2 3" xfId="17480"/>
    <cellStyle name="Calculation 3 7 2 2 3" xfId="17481"/>
    <cellStyle name="Calculation 2 3 4 2 2 3" xfId="17482"/>
    <cellStyle name="Calculation 2 2 3 4 2 2 3" xfId="17483"/>
    <cellStyle name="Calculation 2 2 2 4 2 2 3" xfId="17484"/>
    <cellStyle name="Note 2 3 6 2 3" xfId="17485"/>
    <cellStyle name="Total 2 6 3 4 2 3" xfId="17486"/>
    <cellStyle name="Calculation 9 5 5" xfId="17487"/>
    <cellStyle name="Note 4 2 3 2 2 5" xfId="17488"/>
    <cellStyle name="Note 11 2 2 5" xfId="17489"/>
    <cellStyle name="Calculation 2 2 6 2 5" xfId="17490"/>
    <cellStyle name="Output 2 2 3 2 2 5" xfId="17491"/>
    <cellStyle name="Note 5 2 3 4 5" xfId="17492"/>
    <cellStyle name="Calculation 4 3 4 5" xfId="17493"/>
    <cellStyle name="Input 3 3 2 8" xfId="17494"/>
    <cellStyle name="Input 3 2 2 8" xfId="17495"/>
    <cellStyle name="styleDateRange 9" xfId="17496"/>
    <cellStyle name="Total 2 3 3 8" xfId="17497"/>
    <cellStyle name="Calculation 7 2 4 2 3" xfId="17498"/>
    <cellStyle name="Calculation 2 6 2 4 2 3" xfId="17499"/>
    <cellStyle name="Calculation 3 2 2 4 2 3" xfId="17500"/>
    <cellStyle name="Calculation 4 2 2 4 2 3" xfId="17501"/>
    <cellStyle name="Calculation 5 4 4 2 3" xfId="17502"/>
    <cellStyle name="Output 9 2 4 2 3" xfId="17503"/>
    <cellStyle name="Input 10 2 4 2 3" xfId="17504"/>
    <cellStyle name="Input 2 6 2 4 2 3" xfId="17505"/>
    <cellStyle name="Input 3 2 2 4 2 3" xfId="17506"/>
    <cellStyle name="Input 4 2 2 4 2 3" xfId="17507"/>
    <cellStyle name="Input 5 2 2 4 2 3" xfId="17508"/>
    <cellStyle name="Note 11 2 4 2 3" xfId="17509"/>
    <cellStyle name="Note 2 6 2 4 2 3" xfId="17510"/>
    <cellStyle name="Note 2 2 3 2 4 2 3" xfId="17511"/>
    <cellStyle name="Note 3 4 2 4 2 3" xfId="17512"/>
    <cellStyle name="Note 3 2 4 2 4 2 3" xfId="17513"/>
    <cellStyle name="Note 4 3 2 4 2 3" xfId="17514"/>
    <cellStyle name="Note 4 2 2 2 4 2 3" xfId="17515"/>
    <cellStyle name="Note 5 5 4 2 3" xfId="17516"/>
    <cellStyle name="Note 5 2 4 4 2 3" xfId="17517"/>
    <cellStyle name="Note 6 5 4 2 3" xfId="17518"/>
    <cellStyle name="Note 6 2 4 4 2 3" xfId="17519"/>
    <cellStyle name="Note 7 5 4 2 3" xfId="17520"/>
    <cellStyle name="Note 7 2 4 4 2 3" xfId="17521"/>
    <cellStyle name="Note 8 4 4 2 3" xfId="17522"/>
    <cellStyle name="Note 9 3 4 2 3" xfId="17523"/>
    <cellStyle name="Output 7 2 4 2 3" xfId="17524"/>
    <cellStyle name="Output 2 6 2 4 2 3" xfId="17525"/>
    <cellStyle name="Output 3 2 2 4 2 3" xfId="17526"/>
    <cellStyle name="Output 4 2 2 4 2 3" xfId="17527"/>
    <cellStyle name="Output 5 5 4 2 3" xfId="17528"/>
    <cellStyle name="Input 5 7 2 2 3" xfId="17529"/>
    <cellStyle name="Input 6 5 2 2 3" xfId="17530"/>
    <cellStyle name="Total 7 2 4 2 3" xfId="17531"/>
    <cellStyle name="Total 2 7 2 4 2 3" xfId="17532"/>
    <cellStyle name="Total 3 2 2 4 2 3" xfId="17533"/>
    <cellStyle name="Total 4 2 2 4 2 3" xfId="17534"/>
    <cellStyle name="Total 5 5 4 2 3" xfId="17535"/>
    <cellStyle name="Calculation 8 2 4 2 3" xfId="17536"/>
    <cellStyle name="Input 12 2 4 2 3" xfId="17537"/>
    <cellStyle name="Input 11 2 4 2 3" xfId="17538"/>
    <cellStyle name="Calculation 9 2 4 2 3" xfId="17539"/>
    <cellStyle name="Output 8 2 4 2 3" xfId="17540"/>
    <cellStyle name="Total 8 2 4 2 3" xfId="17541"/>
    <cellStyle name="Total 9 2 4 2 3" xfId="17542"/>
    <cellStyle name="Total 5 2 2 2 5" xfId="17543"/>
    <cellStyle name="Output 5 5 2 5" xfId="17544"/>
    <cellStyle name="Style 26 3 5" xfId="17545"/>
    <cellStyle name="Total 2 11 2 5" xfId="17546"/>
    <cellStyle name="Note 2 4 2 3 2 5" xfId="17547"/>
    <cellStyle name="Note 9 2 4 5" xfId="17548"/>
    <cellStyle name="Note 8 6 5" xfId="17549"/>
    <cellStyle name="Total 13 2 8" xfId="17550"/>
    <cellStyle name="Note 12 2 8" xfId="17551"/>
    <cellStyle name="Note 7 5 8" xfId="17552"/>
    <cellStyle name="Output 5 2 2 4 2 3" xfId="17553"/>
    <cellStyle name="Output 4 3 2 4 2 3" xfId="17554"/>
    <cellStyle name="Output 3 3 2 4 2 3" xfId="17555"/>
    <cellStyle name="Output 2 7 2 4 2 3" xfId="17556"/>
    <cellStyle name="Output 11 2 4 2 3" xfId="17557"/>
    <cellStyle name="Style 23 2 2 8" xfId="17558"/>
    <cellStyle name="Output 2 4 3 8" xfId="17559"/>
    <cellStyle name="Input 5 3 2 4 2 3" xfId="17560"/>
    <cellStyle name="Input 4 3 2 4 2 3" xfId="17561"/>
    <cellStyle name="Input 3 3 2 4 2 3" xfId="17562"/>
    <cellStyle name="Input 2 7 2 4 2 3" xfId="17563"/>
    <cellStyle name="Calculation 10 2 4 2 3" xfId="17564"/>
    <cellStyle name="Input 14 2 4 2 3" xfId="17565"/>
    <cellStyle name="Input 16 2 4 2 3" xfId="17566"/>
    <cellStyle name="Input 17 2 4 2 3" xfId="17567"/>
    <cellStyle name="Input 15 2 4 2 3" xfId="17568"/>
    <cellStyle name="Input 13 2 4 2 3" xfId="17569"/>
    <cellStyle name="Calculation 5 2 2 4 2 3" xfId="17570"/>
    <cellStyle name="Calculation 4 3 2 4 2 3" xfId="17571"/>
    <cellStyle name="Calculation 3 3 2 4 2 3" xfId="17572"/>
    <cellStyle name="Calculation 2 7 2 4 2 3" xfId="17573"/>
    <cellStyle name="Calculation 11 2 4 2 3" xfId="17574"/>
    <cellStyle name="Output 10 2 4 2 3" xfId="17575"/>
    <cellStyle name="Note 12 2 4 2 3" xfId="17576"/>
    <cellStyle name="Note 2 7 2 4 2 3" xfId="17577"/>
    <cellStyle name="Note 2 2 4 2 4 2 3" xfId="17578"/>
    <cellStyle name="Note 3 5 2 4 2 3" xfId="17579"/>
    <cellStyle name="Note 3 2 5 2 4 2 3" xfId="17580"/>
    <cellStyle name="Note 4 4 2 4 2 3" xfId="17581"/>
    <cellStyle name="Note 4 2 3 2 4 2 3" xfId="17582"/>
    <cellStyle name="Note 5 3 2 4 2 3" xfId="17583"/>
    <cellStyle name="Note 5 2 2 2 4 2 3" xfId="17584"/>
    <cellStyle name="Note 6 3 2 4 2 3" xfId="17585"/>
    <cellStyle name="Note 6 2 2 2 4 2 3" xfId="17586"/>
    <cellStyle name="Note 7 3 2 4 2 3" xfId="17587"/>
    <cellStyle name="Note 7 2 2 2 4 2 3" xfId="17588"/>
    <cellStyle name="Note 8 2 2 4 2 3" xfId="17589"/>
    <cellStyle name="Note 9 2 2 4 2 3" xfId="17590"/>
    <cellStyle name="Output 12 2 4 2 3" xfId="17591"/>
    <cellStyle name="Output 2 8 2 4 2 3" xfId="17592"/>
    <cellStyle name="Output 3 4 2 4 2 3" xfId="17593"/>
    <cellStyle name="Output 4 4 2 4 2 3" xfId="17594"/>
    <cellStyle name="Output 5 3 2 4 2 3" xfId="17595"/>
    <cellStyle name="Total 10 2 4 2 3" xfId="17596"/>
    <cellStyle name="Total 11 2 4 2 3" xfId="17597"/>
    <cellStyle name="Total 2 8 2 4 2 3" xfId="17598"/>
    <cellStyle name="Total 3 3 2 4 2 3" xfId="17599"/>
    <cellStyle name="Total 4 3 2 4 2 3" xfId="17600"/>
    <cellStyle name="Total 5 2 2 4 2 3" xfId="17601"/>
    <cellStyle name="Total 12 2 4 2 3" xfId="17602"/>
    <cellStyle name="Total 2 9 2 4 2 3" xfId="17603"/>
    <cellStyle name="Total 3 4 2 4 2 3" xfId="17604"/>
    <cellStyle name="Total 4 4 2 4 2 3" xfId="17605"/>
    <cellStyle name="Total 5 3 2 4 2 3" xfId="17606"/>
    <cellStyle name="Output 12 2 2 5" xfId="17607"/>
    <cellStyle name="Note 6 5 2 5" xfId="17608"/>
    <cellStyle name="Style 21 3 5" xfId="17609"/>
    <cellStyle name="Input 2 4 3 2 5" xfId="17610"/>
    <cellStyle name="Output 5 4 4 5" xfId="17611"/>
    <cellStyle name="Note 3 2 5 4 5" xfId="17612"/>
    <cellStyle name="Calculation 4 3 2 8" xfId="17613"/>
    <cellStyle name="Note 2 6 2 8" xfId="17614"/>
    <cellStyle name="styleSeriesData 2 9" xfId="17615"/>
    <cellStyle name="Note 3 3 2 8" xfId="17616"/>
    <cellStyle name="Input 18 2 4 2 3" xfId="17617"/>
    <cellStyle name="Calculation 12 2 4 2 3" xfId="17618"/>
    <cellStyle name="Input 19 2 4 2 3" xfId="17619"/>
    <cellStyle name="Note 13 2 4 2 3" xfId="17620"/>
    <cellStyle name="Output 13 2 4 2 3" xfId="17621"/>
    <cellStyle name="Total 13 2 4 2 3" xfId="17622"/>
    <cellStyle name="Calculation 8 3 5" xfId="17623"/>
    <cellStyle name="Note 3 5 9" xfId="17624"/>
    <cellStyle name="Calculation 2 8 2 4 2 3" xfId="17625"/>
    <cellStyle name="Calculation 3 4 2 4 2 3" xfId="17626"/>
    <cellStyle name="Calculation 4 4 2 4 2 3" xfId="17627"/>
    <cellStyle name="Calculation 5 3 2 4 2 3" xfId="17628"/>
    <cellStyle name="Input 2 8 2 4 2 3" xfId="17629"/>
    <cellStyle name="Input 3 4 2 4 2 3" xfId="17630"/>
    <cellStyle name="Input 4 4 2 4 2 3" xfId="17631"/>
    <cellStyle name="Input 5 4 2 4 2 3" xfId="17632"/>
    <cellStyle name="Calculation 2 6 10" xfId="17633"/>
    <cellStyle name="Note 2 8 2 4 2 3" xfId="17634"/>
    <cellStyle name="Note 2 2 5 2 4 2 3" xfId="17635"/>
    <cellStyle name="Note 3 6 2 4 2 3" xfId="17636"/>
    <cellStyle name="Note 3 2 6 2 4 2 3" xfId="17637"/>
    <cellStyle name="Note 4 5 2 4 2 3" xfId="17638"/>
    <cellStyle name="Note 4 2 4 2 4 2 3" xfId="17639"/>
    <cellStyle name="Note 5 4 2 4 2 3" xfId="17640"/>
    <cellStyle name="Note 5 2 3 2 4 2 3" xfId="17641"/>
    <cellStyle name="Note 6 4 2 4 2 3" xfId="17642"/>
    <cellStyle name="Note 6 2 3 2 4 2 3" xfId="17643"/>
    <cellStyle name="Note 7 4 2 4 2 3" xfId="17644"/>
    <cellStyle name="Note 7 2 3 2 4 2 3" xfId="17645"/>
    <cellStyle name="Note 8 3 2 4 2 3" xfId="17646"/>
    <cellStyle name="Output 2 9 2 4 2 3" xfId="17647"/>
    <cellStyle name="Output 3 5 2 4 2 3" xfId="17648"/>
    <cellStyle name="Output 4 5 2 4 2 3" xfId="17649"/>
    <cellStyle name="Output 5 4 2 4 2 3" xfId="17650"/>
    <cellStyle name="Total 2 10 2 4 2 3" xfId="17651"/>
    <cellStyle name="Total 3 5 2 4 2 3" xfId="17652"/>
    <cellStyle name="Total 4 5 2 4 2 3" xfId="17653"/>
    <cellStyle name="Total 5 4 2 4 2 3" xfId="17654"/>
    <cellStyle name="Input 20 2 4 2 3" xfId="17655"/>
    <cellStyle name="Total 4 5 5 5" xfId="17656"/>
    <cellStyle name="Input 5 5 3 5" xfId="17657"/>
    <cellStyle name="Input 21 2 4 2 3" xfId="17658"/>
    <cellStyle name="Output 5 6 5" xfId="17659"/>
    <cellStyle name="Calculation 2 5 4 3 3" xfId="17660"/>
    <cellStyle name="Input 2 5 4 3 3" xfId="17661"/>
    <cellStyle name="Note 2 2 2 4 3 3" xfId="17662"/>
    <cellStyle name="Note 2 3 2 4 3 3" xfId="17663"/>
    <cellStyle name="Note 2 4 2 4 3 3" xfId="17664"/>
    <cellStyle name="Note 2 5 4 3 3" xfId="17665"/>
    <cellStyle name="Note 3 3 4 3 3" xfId="17666"/>
    <cellStyle name="Output 2 5 4 3 3" xfId="17667"/>
    <cellStyle name="Total 2 6 4 3 3" xfId="17668"/>
    <cellStyle name="Total 3 4 3 5" xfId="17669"/>
    <cellStyle name="Note 5 2 11" xfId="17670"/>
    <cellStyle name="Note 9 2 3 5" xfId="17671"/>
    <cellStyle name="Note 2 7 3 5" xfId="17672"/>
    <cellStyle name="Output 4 3 9" xfId="17673"/>
    <cellStyle name="Input 2 3 2 8" xfId="17674"/>
    <cellStyle name="Note 7 4 2 2 5" xfId="17675"/>
    <cellStyle name="Input 4 3 4 5" xfId="17676"/>
    <cellStyle name="Calculation 2 2 5 8" xfId="17677"/>
    <cellStyle name="Calculation 3 3 2 2 5" xfId="17678"/>
    <cellStyle name="Total 4 5 2 8" xfId="17679"/>
    <cellStyle name="Calculation 2 6 2 2 5" xfId="17680"/>
    <cellStyle name="Total 3 4 2 8" xfId="17681"/>
    <cellStyle name="Total 4 5 3 5" xfId="17682"/>
    <cellStyle name="Note 2 4 2 2 2 5" xfId="17683"/>
    <cellStyle name="Input 5 4 3 5" xfId="17684"/>
    <cellStyle name="Total 2 12 2 5" xfId="17685"/>
    <cellStyle name="Note 2 3 3 8" xfId="17686"/>
    <cellStyle name="Input 3 4 4 5" xfId="17687"/>
    <cellStyle name="Style 23 9" xfId="17688"/>
    <cellStyle name="Note 3 2 4 4 5" xfId="17689"/>
    <cellStyle name="Total 2 2 3 3 3 5" xfId="17690"/>
    <cellStyle name="Input 5 2 4 5" xfId="17691"/>
    <cellStyle name="Output 5 12" xfId="17692"/>
    <cellStyle name="Total 4 4 9" xfId="17693"/>
    <cellStyle name="Note 5 2 3 2 2 5" xfId="17694"/>
    <cellStyle name="Output 2 7 4 5" xfId="17695"/>
    <cellStyle name="Input 13 2 2 5" xfId="17696"/>
    <cellStyle name="Total 3 5 2 8" xfId="17697"/>
    <cellStyle name="Note 5 2 3 5 5" xfId="17698"/>
    <cellStyle name="Note 2 5 2 2 5" xfId="17699"/>
    <cellStyle name="Total 2 2 3 3 2 5" xfId="17700"/>
    <cellStyle name="Input 2 8 4 5" xfId="17701"/>
    <cellStyle name="Style 21 2 9" xfId="17702"/>
    <cellStyle name="Total 2 2 4 3 3 5" xfId="17703"/>
    <cellStyle name="Input 8 2 3 5" xfId="17704"/>
    <cellStyle name="Note 5 4 2 2 5" xfId="17705"/>
    <cellStyle name="Output 3 3 4 5" xfId="17706"/>
    <cellStyle name="Input 15 2 2 5" xfId="17707"/>
    <cellStyle name="Total 2 10 2 8" xfId="17708"/>
    <cellStyle name="Note 3 3 3 3 5" xfId="17709"/>
    <cellStyle name="Output 3 7 2 5" xfId="17710"/>
    <cellStyle name="Total 2 2 4 3 2 5" xfId="17711"/>
    <cellStyle name="Calculation 5 3 4 5" xfId="17712"/>
    <cellStyle name="Style 21 9" xfId="17713"/>
    <cellStyle name="Input 4 5 3 5" xfId="17714"/>
    <cellStyle name="Note 4 2 4 2 2 5" xfId="17715"/>
    <cellStyle name="Output 4 3 4 5" xfId="17716"/>
    <cellStyle name="Input 17 2 2 5" xfId="17717"/>
    <cellStyle name="Output 5 4 2 8" xfId="17718"/>
    <cellStyle name="Total 2 6 3 2 5" xfId="17719"/>
    <cellStyle name="StmtTtl2 3 2 5" xfId="17720"/>
    <cellStyle name="Total 2 4 3 2 5" xfId="17721"/>
    <cellStyle name="Calculation 4 4 4 5" xfId="17722"/>
    <cellStyle name="Total 5 2 9" xfId="17723"/>
    <cellStyle name="Output 5 3 9" xfId="17724"/>
    <cellStyle name="Output 2 8 9" xfId="17725"/>
    <cellStyle name="Total 2 11 3 5" xfId="17726"/>
    <cellStyle name="Total 2 2 5 3 5" xfId="17727"/>
    <cellStyle name="Total 2 2 2 2 3 5" xfId="17728"/>
    <cellStyle name="Total 2 2 3 2 3 5" xfId="17729"/>
    <cellStyle name="Total 2 2 4 2 3 5" xfId="17730"/>
    <cellStyle name="Total 2 3 2 3 5" xfId="17731"/>
    <cellStyle name="Total 2 4 2 3 5" xfId="17732"/>
    <cellStyle name="Total 2 5 2 3 5" xfId="17733"/>
    <cellStyle name="Total 2 6 2 3 5" xfId="17734"/>
    <cellStyle name="Total 3 6 3 5" xfId="17735"/>
    <cellStyle name="Output 2 5 3 3 5" xfId="17736"/>
    <cellStyle name="Output 2 3 3 3 5" xfId="17737"/>
    <cellStyle name="Output 2 2 3 3 3 5" xfId="17738"/>
    <cellStyle name="Output 2 2 6 3 5" xfId="17739"/>
    <cellStyle name="Note 4 7 3 5" xfId="17740"/>
    <cellStyle name="Note 3 2 2 3 3 5" xfId="17741"/>
    <cellStyle name="Note 3 8 3 5" xfId="17742"/>
    <cellStyle name="Note 2 4 4 3 5" xfId="17743"/>
    <cellStyle name="Note 2 2 7 3 5" xfId="17744"/>
    <cellStyle name="Note 3 2 2 2 3 5" xfId="17745"/>
    <cellStyle name="Note 4 6 3 5" xfId="17746"/>
    <cellStyle name="Total 3 7 3 5" xfId="17747"/>
    <cellStyle name="Total 2 5 3 3 5" xfId="17748"/>
    <cellStyle name="Total 2 3 3 3 5" xfId="17749"/>
    <cellStyle name="Total 2 2 6 3 5" xfId="17750"/>
    <cellStyle name="Total 2 2 2 3 3 5" xfId="17751"/>
    <cellStyle name="StmtTtl2 3 3 5" xfId="17752"/>
    <cellStyle name="Output 3 7 3 5" xfId="17753"/>
    <cellStyle name="Note 2 5 2 3 5" xfId="17754"/>
    <cellStyle name="Note 2 2 2 2 3 5" xfId="17755"/>
    <cellStyle name="Note 2 3 2 2 3 5" xfId="17756"/>
    <cellStyle name="Note 2 4 2 2 3 5" xfId="17757"/>
    <cellStyle name="Note 3 3 2 3 5" xfId="17758"/>
    <cellStyle name="Input 8 3 3 5" xfId="17759"/>
    <cellStyle name="Input 6 4 3 5" xfId="17760"/>
    <cellStyle name="Input 4 6 3 5" xfId="17761"/>
    <cellStyle name="Input 2 3 3 3 5" xfId="17762"/>
    <cellStyle name="Input 2 2 3 3 3 5" xfId="17763"/>
    <cellStyle name="Input 2 2 6 3 5" xfId="17764"/>
    <cellStyle name="Calculation 2 3 3 3 5" xfId="17765"/>
    <cellStyle name="Calculation 2 2 3 3 3 5" xfId="17766"/>
    <cellStyle name="Calculation 2 2 6 3 5" xfId="17767"/>
    <cellStyle name="Output 2 4 3 3 5" xfId="17768"/>
    <cellStyle name="Output 2 2 4 3 3 5" xfId="17769"/>
    <cellStyle name="Output 2 2 2 3 3 5" xfId="17770"/>
    <cellStyle name="Output 2 11 3 5" xfId="17771"/>
    <cellStyle name="Note 3 2 8 3 5" xfId="17772"/>
    <cellStyle name="Note 2 3 4 3 5" xfId="17773"/>
    <cellStyle name="Note 2 10 3 5" xfId="17774"/>
    <cellStyle name="Note 4 2 5 3 5" xfId="17775"/>
    <cellStyle name="Style 21 4 5" xfId="17776"/>
    <cellStyle name="Style 21 2 4 5" xfId="17777"/>
    <cellStyle name="Style 22 4 5" xfId="17778"/>
    <cellStyle name="Style 22 2 4 5" xfId="17779"/>
    <cellStyle name="Style 23 4 5" xfId="17780"/>
    <cellStyle name="Style 23 2 4 5" xfId="17781"/>
    <cellStyle name="Style 24 4 5" xfId="17782"/>
    <cellStyle name="Style 24 2 4 5" xfId="17783"/>
    <cellStyle name="Style 25 4 5" xfId="17784"/>
    <cellStyle name="Style 25 2 4 5" xfId="17785"/>
    <cellStyle name="Style 26 4 5" xfId="17786"/>
    <cellStyle name="Style 26 2 4 5" xfId="17787"/>
    <cellStyle name="styleColumnTitles 4 5" xfId="17788"/>
    <cellStyle name="styleColumnTitles 2 4 5" xfId="17789"/>
    <cellStyle name="styleDateRange 4 5" xfId="17790"/>
    <cellStyle name="styleDateRange 2 4 5" xfId="17791"/>
    <cellStyle name="styleSeriesAttributes 4 5" xfId="17792"/>
    <cellStyle name="styleSeriesAttributes 2 4 5" xfId="17793"/>
    <cellStyle name="styleSeriesData 4 5" xfId="17794"/>
    <cellStyle name="styleSeriesData 2 4 5" xfId="17795"/>
    <cellStyle name="styleSeriesDataForecast 4 5" xfId="17796"/>
    <cellStyle name="styleSeriesDataForecast 2 4 5" xfId="17797"/>
    <cellStyle name="styleSeriesDataForecastNA 4 5" xfId="17798"/>
    <cellStyle name="styleSeriesDataForecastNA 2 4 5" xfId="17799"/>
    <cellStyle name="styleSeriesDataNA 4 5" xfId="17800"/>
    <cellStyle name="styleSeriesDataNA 2 4 5" xfId="17801"/>
    <cellStyle name="Style 21 2 2 3 5" xfId="17802"/>
    <cellStyle name="Style 22 2 2 3 5" xfId="17803"/>
    <cellStyle name="Style 23 2 2 3 5" xfId="17804"/>
    <cellStyle name="Style 24 2 2 3 5" xfId="17805"/>
    <cellStyle name="Style 25 2 2 3 5" xfId="17806"/>
    <cellStyle name="Style 26 2 2 3 5" xfId="17807"/>
    <cellStyle name="styleColumnTitles 2 2 3 5" xfId="17808"/>
    <cellStyle name="styleDateRange 2 2 3 5" xfId="17809"/>
    <cellStyle name="styleSeriesAttributes 2 2 3 5" xfId="17810"/>
    <cellStyle name="styleSeriesData 2 2 3 5" xfId="17811"/>
    <cellStyle name="styleSeriesDataForecast 2 2 3 5" xfId="17812"/>
    <cellStyle name="styleSeriesDataForecastNA 2 2 3 5" xfId="17813"/>
    <cellStyle name="styleSeriesDataNA 2 2 3 5" xfId="17814"/>
    <cellStyle name="Total 2 6 3 3 5" xfId="17815"/>
    <cellStyle name="Calculation 7 2 3 5" xfId="17816"/>
    <cellStyle name="Calculation 2 6 2 3 5" xfId="17817"/>
    <cellStyle name="Calculation 3 2 2 3 5" xfId="17818"/>
    <cellStyle name="Calculation 4 2 2 3 5" xfId="17819"/>
    <cellStyle name="Calculation 5 4 3 5" xfId="17820"/>
    <cellStyle name="Output 9 2 3 5" xfId="17821"/>
    <cellStyle name="Input 10 2 3 5" xfId="17822"/>
    <cellStyle name="Input 2 6 2 3 5" xfId="17823"/>
    <cellStyle name="Input 3 2 2 3 5" xfId="17824"/>
    <cellStyle name="Input 4 2 2 3 5" xfId="17825"/>
    <cellStyle name="Input 5 2 2 3 5" xfId="17826"/>
    <cellStyle name="Note 11 2 3 5" xfId="17827"/>
    <cellStyle name="Note 2 6 2 3 5" xfId="17828"/>
    <cellStyle name="Note 2 2 3 2 3 5" xfId="17829"/>
    <cellStyle name="Note 3 4 2 3 5" xfId="17830"/>
    <cellStyle name="Note 3 2 4 2 3 5" xfId="17831"/>
    <cellStyle name="Note 4 3 2 3 5" xfId="17832"/>
    <cellStyle name="Note 4 2 2 2 3 5" xfId="17833"/>
    <cellStyle name="Note 5 5 3 5" xfId="17834"/>
    <cellStyle name="Note 5 2 4 3 5" xfId="17835"/>
    <cellStyle name="Note 6 5 3 5" xfId="17836"/>
    <cellStyle name="Note 6 2 4 3 5" xfId="17837"/>
    <cellStyle name="Note 7 5 3 5" xfId="17838"/>
    <cellStyle name="Note 7 2 4 3 5" xfId="17839"/>
    <cellStyle name="Note 8 4 3 5" xfId="17840"/>
    <cellStyle name="Note 9 3 3 5" xfId="17841"/>
    <cellStyle name="Output 7 2 3 5" xfId="17842"/>
    <cellStyle name="Output 2 6 2 3 5" xfId="17843"/>
    <cellStyle name="Output 3 2 2 3 5" xfId="17844"/>
    <cellStyle name="Output 4 2 2 3 5" xfId="17845"/>
    <cellStyle name="Output 5 5 3 5" xfId="17846"/>
    <cellStyle name="Total 7 2 3 5" xfId="17847"/>
    <cellStyle name="Total 2 7 2 3 5" xfId="17848"/>
    <cellStyle name="Total 3 2 2 3 5" xfId="17849"/>
    <cellStyle name="Total 4 2 2 3 5" xfId="17850"/>
    <cellStyle name="Total 5 5 3 5" xfId="17851"/>
    <cellStyle name="Calculation 8 2 3 5" xfId="17852"/>
    <cellStyle name="Input 12 2 3 5" xfId="17853"/>
    <cellStyle name="Input 11 2 3 5" xfId="17854"/>
    <cellStyle name="Calculation 9 2 3 5" xfId="17855"/>
    <cellStyle name="Output 8 2 3 5" xfId="17856"/>
    <cellStyle name="Total 8 2 3 5" xfId="17857"/>
    <cellStyle name="Total 9 2 3 5" xfId="17858"/>
    <cellStyle name="Output 5 2 2 3 5" xfId="17859"/>
    <cellStyle name="Output 4 3 2 3 5" xfId="17860"/>
    <cellStyle name="Output 3 3 2 3 5" xfId="17861"/>
    <cellStyle name="Output 2 7 2 3 5" xfId="17862"/>
    <cellStyle name="Output 11 2 3 5" xfId="17863"/>
    <cellStyle name="Input 5 3 2 3 5" xfId="17864"/>
    <cellStyle name="Input 4 3 2 3 5" xfId="17865"/>
    <cellStyle name="Input 3 3 2 3 5" xfId="17866"/>
    <cellStyle name="Input 2 7 2 3 5" xfId="17867"/>
    <cellStyle name="Calculation 10 2 3 5" xfId="17868"/>
    <cellStyle name="Input 14 2 3 5" xfId="17869"/>
    <cellStyle name="Input 16 2 3 5" xfId="17870"/>
    <cellStyle name="Input 17 2 3 5" xfId="17871"/>
    <cellStyle name="Input 15 2 3 5" xfId="17872"/>
    <cellStyle name="Input 13 2 3 5" xfId="17873"/>
    <cellStyle name="Calculation 5 2 2 3 5" xfId="17874"/>
    <cellStyle name="Calculation 4 3 2 3 5" xfId="17875"/>
    <cellStyle name="Calculation 3 3 2 3 5" xfId="17876"/>
    <cellStyle name="Calculation 2 7 2 3 5" xfId="17877"/>
    <cellStyle name="Calculation 11 2 3 5" xfId="17878"/>
    <cellStyle name="Output 10 2 3 5" xfId="17879"/>
    <cellStyle name="Note 12 2 3 5" xfId="17880"/>
    <cellStyle name="Note 2 7 2 3 5" xfId="17881"/>
    <cellStyle name="Note 2 2 4 2 3 5" xfId="17882"/>
    <cellStyle name="Note 3 5 2 3 5" xfId="17883"/>
    <cellStyle name="Note 3 2 5 2 3 5" xfId="17884"/>
    <cellStyle name="Note 4 4 2 3 5" xfId="17885"/>
    <cellStyle name="Note 4 2 3 2 3 5" xfId="17886"/>
    <cellStyle name="Note 5 3 2 3 5" xfId="17887"/>
    <cellStyle name="Note 5 2 2 2 3 5" xfId="17888"/>
    <cellStyle name="Note 6 3 2 3 5" xfId="17889"/>
    <cellStyle name="Note 6 2 2 2 3 5" xfId="17890"/>
    <cellStyle name="Note 7 3 2 3 5" xfId="17891"/>
    <cellStyle name="Note 7 2 2 2 3 5" xfId="17892"/>
    <cellStyle name="Note 8 2 2 3 5" xfId="17893"/>
    <cellStyle name="Note 9 2 2 3 5" xfId="17894"/>
    <cellStyle name="Output 12 2 3 5" xfId="17895"/>
    <cellStyle name="Output 2 8 2 3 5" xfId="17896"/>
    <cellStyle name="Output 3 4 2 3 5" xfId="17897"/>
    <cellStyle name="Output 4 4 2 3 5" xfId="17898"/>
    <cellStyle name="Output 5 3 2 3 5" xfId="17899"/>
    <cellStyle name="Total 10 2 3 5" xfId="17900"/>
    <cellStyle name="Total 11 2 3 5" xfId="17901"/>
    <cellStyle name="Total 2 8 2 3 5" xfId="17902"/>
    <cellStyle name="Total 3 3 2 3 5" xfId="17903"/>
    <cellStyle name="Total 4 3 2 3 5" xfId="17904"/>
    <cellStyle name="Total 5 2 2 3 5" xfId="17905"/>
    <cellStyle name="Total 12 2 3 5" xfId="17906"/>
    <cellStyle name="Total 2 9 2 3 5" xfId="17907"/>
    <cellStyle name="Total 3 4 2 3 5" xfId="17908"/>
    <cellStyle name="Total 4 4 2 3 5" xfId="17909"/>
    <cellStyle name="Total 5 3 2 3 5" xfId="17910"/>
    <cellStyle name="Input 18 2 3 5" xfId="17911"/>
    <cellStyle name="Calculation 12 2 3 5" xfId="17912"/>
    <cellStyle name="Input 19 2 3 5" xfId="17913"/>
    <cellStyle name="Note 13 2 3 5" xfId="17914"/>
    <cellStyle name="Output 13 2 3 5" xfId="17915"/>
    <cellStyle name="Total 13 2 3 5" xfId="17916"/>
    <cellStyle name="Calculation 2 8 2 3 5" xfId="17917"/>
    <cellStyle name="Calculation 3 4 2 3 5" xfId="17918"/>
    <cellStyle name="Calculation 4 4 2 3 5" xfId="17919"/>
    <cellStyle name="Calculation 5 3 2 3 5" xfId="17920"/>
    <cellStyle name="Input 2 8 2 3 5" xfId="17921"/>
    <cellStyle name="Input 3 4 2 3 5" xfId="17922"/>
    <cellStyle name="Input 4 4 2 3 5" xfId="17923"/>
    <cellStyle name="Input 5 4 2 3 5" xfId="17924"/>
    <cellStyle name="Note 2 8 2 3 5" xfId="17925"/>
    <cellStyle name="Note 2 2 5 2 3 5" xfId="17926"/>
    <cellStyle name="Note 3 6 2 3 5" xfId="17927"/>
    <cellStyle name="Note 3 2 6 2 3 5" xfId="17928"/>
    <cellStyle name="Note 4 5 2 3 5" xfId="17929"/>
    <cellStyle name="Note 4 2 4 2 3 5" xfId="17930"/>
    <cellStyle name="Note 5 4 2 3 5" xfId="17931"/>
    <cellStyle name="Note 5 2 3 2 3 5" xfId="17932"/>
    <cellStyle name="Note 6 4 2 3 5" xfId="17933"/>
    <cellStyle name="Note 6 2 3 2 3 5" xfId="17934"/>
    <cellStyle name="Note 7 4 2 3 5" xfId="17935"/>
    <cellStyle name="Note 7 2 3 2 3 5" xfId="17936"/>
    <cellStyle name="Note 8 3 2 3 5" xfId="17937"/>
    <cellStyle name="Output 2 9 2 3 5" xfId="17938"/>
    <cellStyle name="Output 3 5 2 3 5" xfId="17939"/>
    <cellStyle name="Output 4 5 2 3 5" xfId="17940"/>
    <cellStyle name="Output 5 4 2 3 5" xfId="17941"/>
    <cellStyle name="Total 2 10 2 3 5" xfId="17942"/>
    <cellStyle name="Total 3 5 2 3 5" xfId="17943"/>
    <cellStyle name="Total 4 5 2 3 5" xfId="17944"/>
    <cellStyle name="Total 5 4 2 3 5" xfId="17945"/>
    <cellStyle name="Input 20 2 3 5" xfId="17946"/>
    <cellStyle name="Input 21 2 3 5" xfId="17947"/>
    <cellStyle name="Calculation 7 6 5" xfId="17948"/>
    <cellStyle name="Calculation 2 6 6 5" xfId="17949"/>
    <cellStyle name="Calculation 3 2 6 5" xfId="17950"/>
    <cellStyle name="Calculation 4 2 6 5" xfId="17951"/>
    <cellStyle name="Calculation 5 7 5" xfId="17952"/>
    <cellStyle name="Output 9 5 5" xfId="17953"/>
    <cellStyle name="Input 10 6 5" xfId="17954"/>
    <cellStyle name="Input 2 6 6 5" xfId="17955"/>
    <cellStyle name="Input 3 2 6 5" xfId="17956"/>
    <cellStyle name="Input 4 2 6 5" xfId="17957"/>
    <cellStyle name="Input 5 2 6 5" xfId="17958"/>
    <cellStyle name="Note 11 5 5" xfId="17959"/>
    <cellStyle name="Note 2 6 5 5" xfId="17960"/>
    <cellStyle name="Note 2 2 3 5 5" xfId="17961"/>
    <cellStyle name="Note 3 4 5 5" xfId="17962"/>
    <cellStyle name="Note 3 2 4 5 5" xfId="17963"/>
    <cellStyle name="Note 4 3 5 5" xfId="17964"/>
    <cellStyle name="Note 4 2 2 5 5" xfId="17965"/>
    <cellStyle name="Note 5 8 5" xfId="17966"/>
    <cellStyle name="Note 5 2 7 5" xfId="17967"/>
    <cellStyle name="Note 6 8 5" xfId="17968"/>
    <cellStyle name="Note 6 2 7 5" xfId="17969"/>
    <cellStyle name="Note 7 8 5" xfId="17970"/>
    <cellStyle name="Note 7 2 7 5" xfId="17971"/>
    <cellStyle name="Note 8 7 5" xfId="17972"/>
    <cellStyle name="Note 9 6 5" xfId="17973"/>
    <cellStyle name="Output 7 5 5" xfId="17974"/>
    <cellStyle name="Output 2 6 5 5" xfId="17975"/>
    <cellStyle name="Output 3 2 5 5" xfId="17976"/>
    <cellStyle name="Output 4 2 5 5" xfId="17977"/>
    <cellStyle name="Output 5 8 5" xfId="17978"/>
    <cellStyle name="Total 7 5 5" xfId="17979"/>
    <cellStyle name="Total 2 7 5 5" xfId="17980"/>
    <cellStyle name="Total 3 2 5 5" xfId="17981"/>
    <cellStyle name="Total 4 2 5 5" xfId="17982"/>
    <cellStyle name="Total 5 8 5" xfId="17983"/>
    <cellStyle name="Calculation 8 6 5" xfId="17984"/>
    <cellStyle name="Input 12 6 5" xfId="17985"/>
    <cellStyle name="Input 11 6 5" xfId="17986"/>
    <cellStyle name="Calculation 9 6 5" xfId="17987"/>
    <cellStyle name="Output 8 5 5" xfId="17988"/>
    <cellStyle name="Total 8 5 5" xfId="17989"/>
    <cellStyle name="Total 9 5 5" xfId="17990"/>
    <cellStyle name="Output 5 2 5 5" xfId="17991"/>
    <cellStyle name="Output 4 3 5 5" xfId="17992"/>
    <cellStyle name="Output 3 3 5 5" xfId="17993"/>
    <cellStyle name="Output 2 7 5 5" xfId="17994"/>
    <cellStyle name="Output 11 5 5" xfId="17995"/>
    <cellStyle name="Input 5 3 6 5" xfId="17996"/>
    <cellStyle name="Input 4 3 6 5" xfId="17997"/>
    <cellStyle name="Input 3 3 6 5" xfId="17998"/>
    <cellStyle name="Input 2 7 6 5" xfId="17999"/>
    <cellStyle name="Calculation 10 6 5" xfId="18000"/>
    <cellStyle name="Input 14 6 5" xfId="18001"/>
    <cellStyle name="Input 16 6 5" xfId="18002"/>
    <cellStyle name="Input 17 6 5" xfId="18003"/>
    <cellStyle name="Input 15 6 5" xfId="18004"/>
    <cellStyle name="Input 13 6 5" xfId="18005"/>
    <cellStyle name="Calculation 5 2 6 5" xfId="18006"/>
    <cellStyle name="Calculation 4 3 6 5" xfId="18007"/>
    <cellStyle name="Calculation 3 3 6 5" xfId="18008"/>
    <cellStyle name="Calculation 2 7 6 5" xfId="18009"/>
    <cellStyle name="Calculation 11 6 5" xfId="18010"/>
    <cellStyle name="Output 10 5 5" xfId="18011"/>
    <cellStyle name="Note 12 5 5" xfId="18012"/>
    <cellStyle name="Note 2 7 5 5" xfId="18013"/>
    <cellStyle name="Note 2 2 4 5 5" xfId="18014"/>
    <cellStyle name="Note 3 5 5 5" xfId="18015"/>
    <cellStyle name="Note 3 2 5 5 5" xfId="18016"/>
    <cellStyle name="Note 4 4 5 5" xfId="18017"/>
    <cellStyle name="Note 4 2 3 5 5" xfId="18018"/>
    <cellStyle name="Note 5 3 5 5" xfId="18019"/>
    <cellStyle name="Note 5 2 2 5 5" xfId="18020"/>
    <cellStyle name="Note 6 3 5 5" xfId="18021"/>
    <cellStyle name="Note 6 2 2 5 5" xfId="18022"/>
    <cellStyle name="Note 7 3 5 5" xfId="18023"/>
    <cellStyle name="Note 7 2 2 5 5" xfId="18024"/>
    <cellStyle name="Note 8 2 5 5" xfId="18025"/>
    <cellStyle name="Note 9 2 5 5" xfId="18026"/>
    <cellStyle name="Output 12 5 5" xfId="18027"/>
    <cellStyle name="Output 2 8 5 5" xfId="18028"/>
    <cellStyle name="Output 3 4 5 5" xfId="18029"/>
    <cellStyle name="Output 4 4 5 5" xfId="18030"/>
    <cellStyle name="Output 5 3 5 5" xfId="18031"/>
    <cellStyle name="Total 10 5 5" xfId="18032"/>
    <cellStyle name="Total 11 5 5" xfId="18033"/>
    <cellStyle name="Total 2 8 5 5" xfId="18034"/>
    <cellStyle name="Total 3 3 5 5" xfId="18035"/>
    <cellStyle name="Total 4 3 5 5" xfId="18036"/>
    <cellStyle name="Total 5 2 5 5" xfId="18037"/>
    <cellStyle name="Total 12 5 5" xfId="18038"/>
    <cellStyle name="Total 2 9 5 5" xfId="18039"/>
    <cellStyle name="Total 3 4 5 5" xfId="18040"/>
    <cellStyle name="Total 4 4 5 5" xfId="18041"/>
    <cellStyle name="Total 5 3 5 5" xfId="18042"/>
    <cellStyle name="Input 18 6 5" xfId="18043"/>
    <cellStyle name="Calculation 12 6 5" xfId="18044"/>
    <cellStyle name="Input 19 6 5" xfId="18045"/>
    <cellStyle name="Note 13 6 5" xfId="18046"/>
    <cellStyle name="Output 13 6 5" xfId="18047"/>
    <cellStyle name="Total 13 6 5" xfId="18048"/>
    <cellStyle name="Calculation 2 8 6 5" xfId="18049"/>
    <cellStyle name="Calculation 3 4 6 5" xfId="18050"/>
    <cellStyle name="Calculation 4 4 6 5" xfId="18051"/>
    <cellStyle name="Calculation 5 3 6 5" xfId="18052"/>
    <cellStyle name="Input 2 8 6 5" xfId="18053"/>
    <cellStyle name="Input 3 4 6 5" xfId="18054"/>
    <cellStyle name="Input 4 4 6 5" xfId="18055"/>
    <cellStyle name="Input 5 4 6 5" xfId="18056"/>
    <cellStyle name="Note 2 8 6 5" xfId="18057"/>
    <cellStyle name="Note 2 2 5 6 5" xfId="18058"/>
    <cellStyle name="Note 3 6 6 5" xfId="18059"/>
    <cellStyle name="Note 3 2 6 6 5" xfId="18060"/>
    <cellStyle name="Note 4 5 6 5" xfId="18061"/>
    <cellStyle name="Note 4 2 4 6 5" xfId="18062"/>
    <cellStyle name="Note 5 4 6 5" xfId="18063"/>
    <cellStyle name="Note 5 2 3 6 5" xfId="18064"/>
    <cellStyle name="Note 6 4 6 5" xfId="18065"/>
    <cellStyle name="Note 6 2 3 6 5" xfId="18066"/>
    <cellStyle name="Note 7 4 6 5" xfId="18067"/>
    <cellStyle name="Note 7 2 3 6 5" xfId="18068"/>
    <cellStyle name="Note 8 3 6 5" xfId="18069"/>
    <cellStyle name="Output 2 9 6 5" xfId="18070"/>
    <cellStyle name="Output 3 5 6 5" xfId="18071"/>
    <cellStyle name="Output 4 5 6 5" xfId="18072"/>
    <cellStyle name="Output 5 4 6 5" xfId="18073"/>
    <cellStyle name="Total 2 10 6 5" xfId="18074"/>
    <cellStyle name="Total 3 5 6 5" xfId="18075"/>
    <cellStyle name="Total 4 5 6 5" xfId="18076"/>
    <cellStyle name="Total 5 4 6 5" xfId="18077"/>
    <cellStyle name="Input 20 6 5" xfId="18078"/>
    <cellStyle name="Input 21 6 5" xfId="18079"/>
    <cellStyle name="Input 10 3 2 5" xfId="18080"/>
    <cellStyle name="Input 2 4 4 2 5" xfId="18081"/>
    <cellStyle name="Input 7 4 2 5" xfId="18082"/>
    <cellStyle name="Note 4 2 6 4 5" xfId="18083"/>
    <cellStyle name="Note 3 3 3 4 5" xfId="18084"/>
    <cellStyle name="Note 2 5 3 4 5" xfId="18085"/>
    <cellStyle name="Note 2 4 2 3 4 5" xfId="18086"/>
    <cellStyle name="Note 2 3 2 3 4 5" xfId="18087"/>
    <cellStyle name="Note 2 2 2 3 4 5" xfId="18088"/>
    <cellStyle name="Input 6 6 5" xfId="18089"/>
    <cellStyle name="Input 4 7 5" xfId="18090"/>
    <cellStyle name="Input 2 4 5 5" xfId="18091"/>
    <cellStyle name="Input 2 2 4 5 5" xfId="18092"/>
    <cellStyle name="Input 2 2 2 5 5" xfId="18093"/>
    <cellStyle name="Input 2 12 5" xfId="18094"/>
    <cellStyle name="Input 24 5" xfId="18095"/>
    <cellStyle name="Note 14 5" xfId="18096"/>
    <cellStyle name="Note 2 11 5" xfId="18097"/>
    <cellStyle name="Note 2 2 8 5" xfId="18098"/>
    <cellStyle name="Calculation 2 9 4 5" xfId="18099"/>
    <cellStyle name="Calculation 2 2 5 4 5" xfId="18100"/>
    <cellStyle name="Calculation 2 2 2 2 4 5" xfId="18101"/>
    <cellStyle name="Calculation 2 2 3 2 4 5" xfId="18102"/>
    <cellStyle name="Calculation 2 2 4 2 4 5" xfId="18103"/>
    <cellStyle name="Calculation 2 3 2 4 5" xfId="18104"/>
    <cellStyle name="Calculation 2 4 2 4 5" xfId="18105"/>
    <cellStyle name="Calculation 2 5 2 4 5" xfId="18106"/>
    <cellStyle name="Calculation 3 5 4 5" xfId="18107"/>
    <cellStyle name="Note 3 2 10 5" xfId="18108"/>
    <cellStyle name="Note 3 2 2 5 5" xfId="18109"/>
    <cellStyle name="Note 4 8 5" xfId="18110"/>
    <cellStyle name="Output 3 8 2 5" xfId="18111"/>
    <cellStyle name="Calculation 2 3 5 5" xfId="18112"/>
    <cellStyle name="Calculation 2 2 4 5 5" xfId="18113"/>
    <cellStyle name="Calculation 2 2 3 5 5" xfId="18114"/>
    <cellStyle name="Calculation 2 2 2 5 5" xfId="18115"/>
    <cellStyle name="Calculation 2 2 8 5" xfId="18116"/>
    <cellStyle name="Calculation 13 5" xfId="18117"/>
    <cellStyle name="Total 2 2 2 4 2 5" xfId="18118"/>
    <cellStyle name="Total 2 2 4 4 2 5" xfId="18119"/>
    <cellStyle name="Total 14 5" xfId="18120"/>
    <cellStyle name="Header2 2 4 5" xfId="18121"/>
    <cellStyle name="Input 2 5 3 4 5" xfId="18122"/>
    <cellStyle name="Input 2 9 4 5" xfId="18123"/>
    <cellStyle name="Input 2 2 5 4 5" xfId="18124"/>
    <cellStyle name="Input 2 2 2 2 4 5" xfId="18125"/>
    <cellStyle name="Input 2 2 3 2 4 5" xfId="18126"/>
    <cellStyle name="Input 2 2 4 2 4 5" xfId="18127"/>
    <cellStyle name="Input 2 3 2 4 5" xfId="18128"/>
    <cellStyle name="Input 2 4 2 4 5" xfId="18129"/>
    <cellStyle name="Input 2 5 2 4 5" xfId="18130"/>
    <cellStyle name="Input 3 5 4 5" xfId="18131"/>
    <cellStyle name="Input 4 5 4 5" xfId="18132"/>
    <cellStyle name="Input 5 5 4 5" xfId="18133"/>
    <cellStyle name="Input 6 3 4 5" xfId="18134"/>
    <cellStyle name="Input 7 2 4 5" xfId="18135"/>
    <cellStyle name="Input 8 2 4 5" xfId="18136"/>
    <cellStyle name="Calculation 2 5 3 4 5" xfId="18137"/>
    <cellStyle name="Total 2 4 3 4 5" xfId="18138"/>
    <cellStyle name="Total 2 2 4 3 4 5" xfId="18139"/>
    <cellStyle name="Total 2 2 3 3 4 5" xfId="18140"/>
    <cellStyle name="Total 2 12 4 5" xfId="18141"/>
    <cellStyle name="Output 14 5" xfId="18142"/>
    <cellStyle name="Note 2 4 6 5" xfId="18143"/>
    <cellStyle name="Calculation 2 2 7 2 5" xfId="18144"/>
    <cellStyle name="Calculation 2 2 4 4 2 5" xfId="18145"/>
    <cellStyle name="Header2 3 2 5" xfId="18146"/>
    <cellStyle name="Input 2 2 7 2 5" xfId="18147"/>
    <cellStyle name="Input 2 3 4 2 5" xfId="18148"/>
    <cellStyle name="Input [yellow] 3 5" xfId="18149"/>
    <cellStyle name="Total 2 2 7 2 5" xfId="18150"/>
    <cellStyle name="Total 2 4 4 2 5" xfId="18151"/>
    <cellStyle name="Note 2 9 4 5" xfId="18152"/>
    <cellStyle name="Note 2 2 6 4 5" xfId="18153"/>
    <cellStyle name="Note 2 3 3 4 5" xfId="18154"/>
    <cellStyle name="Note 2 4 3 4 5" xfId="18155"/>
    <cellStyle name="Note 3 7 4 5" xfId="18156"/>
    <cellStyle name="Note 3 2 7 4 5" xfId="18157"/>
    <cellStyle name="Output 2 10 4 5" xfId="18158"/>
    <cellStyle name="Output 2 2 5 4 5" xfId="18159"/>
    <cellStyle name="Output 2 2 2 2 4 5" xfId="18160"/>
    <cellStyle name="Output 2 2 3 2 4 5" xfId="18161"/>
    <cellStyle name="Output 2 2 4 2 4 5" xfId="18162"/>
    <cellStyle name="Output 2 3 2 4 5" xfId="18163"/>
    <cellStyle name="Output 2 4 2 4 5" xfId="18164"/>
    <cellStyle name="Output 2 5 2 4 5" xfId="18165"/>
    <cellStyle name="Output 3 6 4 5" xfId="18166"/>
    <cellStyle name="Input 7 3 4 5" xfId="18167"/>
    <cellStyle name="Input 5 6 4 5" xfId="18168"/>
    <cellStyle name="Input 3 6 4 5" xfId="18169"/>
    <cellStyle name="Input 2 4 3 4 5" xfId="18170"/>
    <cellStyle name="Input 2 2 4 3 4 5" xfId="18171"/>
    <cellStyle name="Input 2 2 2 3 4 5" xfId="18172"/>
    <cellStyle name="Input 2 10 4 5" xfId="18173"/>
    <cellStyle name="Calculation 3 6 4 5" xfId="18174"/>
    <cellStyle name="Calculation 2 4 3 4 5" xfId="18175"/>
    <cellStyle name="Calculation 2 2 4 3 4 5" xfId="18176"/>
    <cellStyle name="Calculation 2 2 2 3 4 5" xfId="18177"/>
    <cellStyle name="Calculation 2 10 4 5" xfId="18178"/>
    <cellStyle name="StmtTtl2 2 4 5" xfId="18179"/>
    <cellStyle name="Total 2 11 4 5" xfId="18180"/>
    <cellStyle name="Total 2 2 5 4 5" xfId="18181"/>
    <cellStyle name="Total 2 2 2 2 4 5" xfId="18182"/>
    <cellStyle name="Total 2 2 3 2 4 5" xfId="18183"/>
    <cellStyle name="Total 2 2 4 2 4 5" xfId="18184"/>
    <cellStyle name="Total 2 3 2 4 5" xfId="18185"/>
    <cellStyle name="Total 2 4 2 4 5" xfId="18186"/>
    <cellStyle name="Total 2 5 2 4 5" xfId="18187"/>
    <cellStyle name="Total 2 6 2 4 5" xfId="18188"/>
    <cellStyle name="Total 3 6 4 5" xfId="18189"/>
    <cellStyle name="Output 2 5 3 4 5" xfId="18190"/>
    <cellStyle name="Input 8 5 5" xfId="18191"/>
    <cellStyle name="Note 3 9 5" xfId="18192"/>
    <cellStyle name="Note 2 3 5 2 5" xfId="18193"/>
    <cellStyle name="Note 2 4 5 2 5" xfId="18194"/>
    <cellStyle name="Note 3 2 9 2 5" xfId="18195"/>
    <cellStyle name="Output 2 12 2 5" xfId="18196"/>
    <cellStyle name="Output 2 2 7 2 5" xfId="18197"/>
    <cellStyle name="Output 2 2 2 4 2 5" xfId="18198"/>
    <cellStyle name="Output 2 3 4 2 5" xfId="18199"/>
    <cellStyle name="Output 2 4 4 2 5" xfId="18200"/>
    <cellStyle name="Calculation 2 4 4 2 5" xfId="18201"/>
    <cellStyle name="Input 2 2 2 4 2 5" xfId="18202"/>
    <cellStyle name="Output 2 3 3 4 5" xfId="18203"/>
    <cellStyle name="Output 2 2 3 3 4 5" xfId="18204"/>
    <cellStyle name="Output 2 2 6 4 5" xfId="18205"/>
    <cellStyle name="Note 4 7 4 5" xfId="18206"/>
    <cellStyle name="Note 3 2 2 3 4 5" xfId="18207"/>
    <cellStyle name="Note 3 8 4 5" xfId="18208"/>
    <cellStyle name="Note 2 4 4 4 5" xfId="18209"/>
    <cellStyle name="Note 2 2 7 4 5" xfId="18210"/>
    <cellStyle name="Input 7 5 5" xfId="18211"/>
    <cellStyle name="Input 3 7 5" xfId="18212"/>
    <cellStyle name="Input 2 2 3 5 5" xfId="18213"/>
    <cellStyle name="Note 3 2 2 2 4 5" xfId="18214"/>
    <cellStyle name="Note 4 6 4 5" xfId="18215"/>
    <cellStyle name="Calculation 2 12 5" xfId="18216"/>
    <cellStyle name="Calculation 2 4 5 5" xfId="18217"/>
    <cellStyle name="Total 2 13 2 5" xfId="18218"/>
    <cellStyle name="Total 3 8 2 5" xfId="18219"/>
    <cellStyle name="Total 2 3 4 2 5" xfId="18220"/>
    <cellStyle name="Total 3 7 4 5" xfId="18221"/>
    <cellStyle name="Total 2 5 3 4 5" xfId="18222"/>
    <cellStyle name="Total 2 3 3 4 5" xfId="18223"/>
    <cellStyle name="Total 2 2 6 4 5" xfId="18224"/>
    <cellStyle name="Total 2 2 2 3 4 5" xfId="18225"/>
    <cellStyle name="StmtTtl2 3 4 5" xfId="18226"/>
    <cellStyle name="Calculation 2 11 2 5" xfId="18227"/>
    <cellStyle name="Input 23 5" xfId="18228"/>
    <cellStyle name="Input 2 11 2 5" xfId="18229"/>
    <cellStyle name="Input 2 2 4 4 2 5" xfId="18230"/>
    <cellStyle name="Input 8 4 2 5" xfId="18231"/>
    <cellStyle name="Output 3 7 4 5" xfId="18232"/>
    <cellStyle name="Input 22 5" xfId="18233"/>
    <cellStyle name="Header2 4 2 5" xfId="18234"/>
    <cellStyle name="StmtTtl2 4 2 5" xfId="18235"/>
    <cellStyle name="Total 2 2 3 4 2 5" xfId="18236"/>
    <cellStyle name="Total 2 5 4 2 5" xfId="18237"/>
    <cellStyle name="Note 2 5 2 4 5" xfId="18238"/>
    <cellStyle name="Note 2 2 2 2 4 5" xfId="18239"/>
    <cellStyle name="Note 2 3 2 2 4 5" xfId="18240"/>
    <cellStyle name="Note 2 4 2 2 4 5" xfId="18241"/>
    <cellStyle name="Note 3 3 2 4 5" xfId="18242"/>
    <cellStyle name="Input 8 3 4 5" xfId="18243"/>
    <cellStyle name="Input 6 4 4 5" xfId="18244"/>
    <cellStyle name="Input 4 6 4 5" xfId="18245"/>
    <cellStyle name="Input 2 3 3 4 5" xfId="18246"/>
    <cellStyle name="Input 2 2 3 3 4 5" xfId="18247"/>
    <cellStyle name="Input 2 2 6 4 5" xfId="18248"/>
    <cellStyle name="Calculation 2 3 3 4 5" xfId="18249"/>
    <cellStyle name="Calculation 2 2 3 3 4 5" xfId="18250"/>
    <cellStyle name="Calculation 2 2 6 4 5" xfId="18251"/>
    <cellStyle name="Calculation 3 8 5" xfId="18252"/>
    <cellStyle name="Note 3 2 2 4 2 5" xfId="18253"/>
    <cellStyle name="Output 2 2 4 4 2 5" xfId="18254"/>
    <cellStyle name="Output 2 2 3 4 2 5" xfId="18255"/>
    <cellStyle name="Input 2 2 3 4 2 5" xfId="18256"/>
    <cellStyle name="Output 2 4 3 4 5" xfId="18257"/>
    <cellStyle name="Output 2 2 4 3 4 5" xfId="18258"/>
    <cellStyle name="Output 2 2 2 3 4 5" xfId="18259"/>
    <cellStyle name="Output 2 11 4 5" xfId="18260"/>
    <cellStyle name="Note 3 2 8 4 5" xfId="18261"/>
    <cellStyle name="Note 2 3 4 4 5" xfId="18262"/>
    <cellStyle name="Note 2 10 4 5" xfId="18263"/>
    <cellStyle name="Input 5 8 5" xfId="18264"/>
    <cellStyle name="Input 2 3 5 5" xfId="18265"/>
    <cellStyle name="Input 2 2 8 5" xfId="18266"/>
    <cellStyle name="Note 4 2 5 4 5" xfId="18267"/>
    <cellStyle name="Style 21 5 5" xfId="18268"/>
    <cellStyle name="Style 21 2 5 5" xfId="18269"/>
    <cellStyle name="Style 22 5 5" xfId="18270"/>
    <cellStyle name="Style 22 2 5 5" xfId="18271"/>
    <cellStyle name="Style 23 5 5" xfId="18272"/>
    <cellStyle name="Style 23 2 5 5" xfId="18273"/>
    <cellStyle name="Style 24 5 5" xfId="18274"/>
    <cellStyle name="Style 24 2 5 5" xfId="18275"/>
    <cellStyle name="Style 25 5 5" xfId="18276"/>
    <cellStyle name="Style 25 2 5 5" xfId="18277"/>
    <cellStyle name="Style 26 5 5" xfId="18278"/>
    <cellStyle name="Style 26 2 5 5" xfId="18279"/>
    <cellStyle name="styleColumnTitles 5 5" xfId="18280"/>
    <cellStyle name="styleColumnTitles 2 5 5" xfId="18281"/>
    <cellStyle name="styleDateRange 5 5" xfId="18282"/>
    <cellStyle name="styleDateRange 2 5 5" xfId="18283"/>
    <cellStyle name="styleSeriesAttributes 5 5" xfId="18284"/>
    <cellStyle name="styleSeriesAttributes 2 5 5" xfId="18285"/>
    <cellStyle name="styleSeriesData 5 5" xfId="18286"/>
    <cellStyle name="styleSeriesData 2 5 5" xfId="18287"/>
    <cellStyle name="styleSeriesDataForecast 5 5" xfId="18288"/>
    <cellStyle name="styleSeriesDataForecast 2 5 5" xfId="18289"/>
    <cellStyle name="styleSeriesDataForecastNA 5 5" xfId="18290"/>
    <cellStyle name="styleSeriesDataForecastNA 2 5 5" xfId="18291"/>
    <cellStyle name="styleSeriesDataNA 5 5" xfId="18292"/>
    <cellStyle name="styleSeriesDataNA 2 5 5" xfId="18293"/>
    <cellStyle name="Style 21 2 2 4 5" xfId="18294"/>
    <cellStyle name="Style 22 2 2 4 5" xfId="18295"/>
    <cellStyle name="Style 23 2 2 4 5" xfId="18296"/>
    <cellStyle name="Style 24 2 2 4 5" xfId="18297"/>
    <cellStyle name="Style 25 2 2 4 5" xfId="18298"/>
    <cellStyle name="Style 26 2 2 4 5" xfId="18299"/>
    <cellStyle name="styleColumnTitles 2 2 4 5" xfId="18300"/>
    <cellStyle name="styleDateRange 2 2 4 5" xfId="18301"/>
    <cellStyle name="styleSeriesAttributes 2 2 4 5" xfId="18302"/>
    <cellStyle name="styleSeriesData 2 2 4 5" xfId="18303"/>
    <cellStyle name="styleSeriesDataForecast 2 2 4 5" xfId="18304"/>
    <cellStyle name="styleSeriesDataForecastNA 2 2 4 5" xfId="18305"/>
    <cellStyle name="styleSeriesDataNA 2 2 4 5" xfId="18306"/>
    <cellStyle name="Calculation 3 7 2 5" xfId="18307"/>
    <cellStyle name="Calculation 2 3 4 2 5" xfId="18308"/>
    <cellStyle name="Calculation 2 2 3 4 2 5" xfId="18309"/>
    <cellStyle name="Calculation 2 2 2 4 2 5" xfId="18310"/>
    <cellStyle name="Note 2 3 6 5" xfId="18311"/>
    <cellStyle name="Total 2 6 3 4 5" xfId="18312"/>
    <cellStyle name="Calculation 7 2 4 5" xfId="18313"/>
    <cellStyle name="Calculation 2 6 2 4 5" xfId="18314"/>
    <cellStyle name="Calculation 3 2 2 4 5" xfId="18315"/>
    <cellStyle name="Calculation 4 2 2 4 5" xfId="18316"/>
    <cellStyle name="Calculation 5 4 4 5" xfId="18317"/>
    <cellStyle name="Output 9 2 4 5" xfId="18318"/>
    <cellStyle name="Input 10 2 4 5" xfId="18319"/>
    <cellStyle name="Input 2 6 2 4 5" xfId="18320"/>
    <cellStyle name="Input 3 2 2 4 5" xfId="18321"/>
    <cellStyle name="Input 4 2 2 4 5" xfId="18322"/>
    <cellStyle name="Input 5 2 2 4 5" xfId="18323"/>
    <cellStyle name="Note 11 2 4 5" xfId="18324"/>
    <cellStyle name="Note 2 6 2 4 5" xfId="18325"/>
    <cellStyle name="Note 2 2 3 2 4 5" xfId="18326"/>
    <cellStyle name="Note 3 4 2 4 5" xfId="18327"/>
    <cellStyle name="Note 3 2 4 2 4 5" xfId="18328"/>
    <cellStyle name="Note 4 3 2 4 5" xfId="18329"/>
    <cellStyle name="Note 4 2 2 2 4 5" xfId="18330"/>
    <cellStyle name="Note 5 5 4 5" xfId="18331"/>
    <cellStyle name="Note 5 2 4 4 5" xfId="18332"/>
    <cellStyle name="Note 6 5 4 5" xfId="18333"/>
    <cellStyle name="Note 6 2 4 4 5" xfId="18334"/>
    <cellStyle name="Note 7 5 4 5" xfId="18335"/>
    <cellStyle name="Note 7 2 4 4 5" xfId="18336"/>
    <cellStyle name="Note 8 4 4 5" xfId="18337"/>
    <cellStyle name="Note 9 3 4 5" xfId="18338"/>
    <cellStyle name="Output 7 2 4 5" xfId="18339"/>
    <cellStyle name="Output 2 6 2 4 5" xfId="18340"/>
    <cellStyle name="Output 3 2 2 4 5" xfId="18341"/>
    <cellStyle name="Output 4 2 2 4 5" xfId="18342"/>
    <cellStyle name="Output 5 5 4 5" xfId="18343"/>
    <cellStyle name="Input 5 7 2 5" xfId="18344"/>
    <cellStyle name="Input 6 5 2 5" xfId="18345"/>
    <cellStyle name="Total 7 2 4 5" xfId="18346"/>
    <cellStyle name="Total 2 7 2 4 5" xfId="18347"/>
    <cellStyle name="Total 3 2 2 4 5" xfId="18348"/>
    <cellStyle name="Total 4 2 2 4 5" xfId="18349"/>
    <cellStyle name="Total 5 5 4 5" xfId="18350"/>
    <cellStyle name="Calculation 8 2 4 5" xfId="18351"/>
    <cellStyle name="Input 12 2 4 5" xfId="18352"/>
    <cellStyle name="Input 11 2 4 5" xfId="18353"/>
    <cellStyle name="Calculation 9 2 4 5" xfId="18354"/>
    <cellStyle name="Output 8 2 4 5" xfId="18355"/>
    <cellStyle name="Total 8 2 4 5" xfId="18356"/>
    <cellStyle name="Total 9 2 4 5" xfId="18357"/>
    <cellStyle name="Output 5 2 2 4 5" xfId="18358"/>
    <cellStyle name="Output 4 3 2 4 5" xfId="18359"/>
    <cellStyle name="Output 3 3 2 4 5" xfId="18360"/>
    <cellStyle name="Output 2 7 2 4 5" xfId="18361"/>
    <cellStyle name="Output 11 2 4 5" xfId="18362"/>
    <cellStyle name="Input 5 3 2 4 5" xfId="18363"/>
    <cellStyle name="Input 4 3 2 4 5" xfId="18364"/>
    <cellStyle name="Input 3 3 2 4 5" xfId="18365"/>
    <cellStyle name="Input 2 7 2 4 5" xfId="18366"/>
    <cellStyle name="Calculation 10 2 4 5" xfId="18367"/>
    <cellStyle name="Input 14 2 4 5" xfId="18368"/>
    <cellStyle name="Input 16 2 4 5" xfId="18369"/>
    <cellStyle name="Input 17 2 4 5" xfId="18370"/>
    <cellStyle name="Input 15 2 4 5" xfId="18371"/>
    <cellStyle name="Input 13 2 4 5" xfId="18372"/>
    <cellStyle name="Calculation 5 2 2 4 5" xfId="18373"/>
    <cellStyle name="Calculation 4 3 2 4 5" xfId="18374"/>
    <cellStyle name="Calculation 3 3 2 4 5" xfId="18375"/>
    <cellStyle name="Calculation 2 7 2 4 5" xfId="18376"/>
    <cellStyle name="Calculation 11 2 4 5" xfId="18377"/>
    <cellStyle name="Output 10 2 4 5" xfId="18378"/>
    <cellStyle name="Note 12 2 4 5" xfId="18379"/>
    <cellStyle name="Note 2 7 2 4 5" xfId="18380"/>
    <cellStyle name="Note 2 2 4 2 4 5" xfId="18381"/>
    <cellStyle name="Note 3 5 2 4 5" xfId="18382"/>
    <cellStyle name="Note 3 2 5 2 4 5" xfId="18383"/>
    <cellStyle name="Note 4 4 2 4 5" xfId="18384"/>
    <cellStyle name="Note 4 2 3 2 4 5" xfId="18385"/>
    <cellStyle name="Note 5 3 2 4 5" xfId="18386"/>
    <cellStyle name="Note 5 2 2 2 4 5" xfId="18387"/>
    <cellStyle name="Note 6 3 2 4 5" xfId="18388"/>
    <cellStyle name="Note 6 2 2 2 4 5" xfId="18389"/>
    <cellStyle name="Note 7 3 2 4 5" xfId="18390"/>
    <cellStyle name="Note 7 2 2 2 4 5" xfId="18391"/>
    <cellStyle name="Note 8 2 2 4 5" xfId="18392"/>
    <cellStyle name="Note 9 2 2 4 5" xfId="18393"/>
    <cellStyle name="Output 12 2 4 5" xfId="18394"/>
    <cellStyle name="Output 2 8 2 4 5" xfId="18395"/>
    <cellStyle name="Output 3 4 2 4 5" xfId="18396"/>
    <cellStyle name="Output 4 4 2 4 5" xfId="18397"/>
    <cellStyle name="Output 5 3 2 4 5" xfId="18398"/>
    <cellStyle name="Total 10 2 4 5" xfId="18399"/>
    <cellStyle name="Total 11 2 4 5" xfId="18400"/>
    <cellStyle name="Total 2 8 2 4 5" xfId="18401"/>
    <cellStyle name="Total 3 3 2 4 5" xfId="18402"/>
    <cellStyle name="Total 4 3 2 4 5" xfId="18403"/>
    <cellStyle name="Total 5 2 2 4 5" xfId="18404"/>
    <cellStyle name="Total 12 2 4 5" xfId="18405"/>
    <cellStyle name="Total 2 9 2 4 5" xfId="18406"/>
    <cellStyle name="Total 3 4 2 4 5" xfId="18407"/>
    <cellStyle name="Total 4 4 2 4 5" xfId="18408"/>
    <cellStyle name="Total 5 3 2 4 5" xfId="18409"/>
    <cellStyle name="Input 18 2 4 5" xfId="18410"/>
    <cellStyle name="Calculation 12 2 4 5" xfId="18411"/>
    <cellStyle name="Input 19 2 4 5" xfId="18412"/>
    <cellStyle name="Note 13 2 4 5" xfId="18413"/>
    <cellStyle name="Output 13 2 4 5" xfId="18414"/>
    <cellStyle name="Total 13 2 4 5" xfId="18415"/>
    <cellStyle name="Calculation 2 8 2 4 5" xfId="18416"/>
    <cellStyle name="Calculation 3 4 2 4 5" xfId="18417"/>
    <cellStyle name="Calculation 4 4 2 4 5" xfId="18418"/>
    <cellStyle name="Calculation 5 3 2 4 5" xfId="18419"/>
    <cellStyle name="Input 2 8 2 4 5" xfId="18420"/>
    <cellStyle name="Input 3 4 2 4 5" xfId="18421"/>
    <cellStyle name="Input 4 4 2 4 5" xfId="18422"/>
    <cellStyle name="Input 5 4 2 4 5" xfId="18423"/>
    <cellStyle name="Note 2 8 2 4 5" xfId="18424"/>
    <cellStyle name="Note 2 2 5 2 4 5" xfId="18425"/>
    <cellStyle name="Note 3 6 2 4 5" xfId="18426"/>
    <cellStyle name="Note 3 2 6 2 4 5" xfId="18427"/>
    <cellStyle name="Note 4 5 2 4 5" xfId="18428"/>
    <cellStyle name="Note 4 2 4 2 4 5" xfId="18429"/>
    <cellStyle name="Note 5 4 2 4 5" xfId="18430"/>
    <cellStyle name="Note 5 2 3 2 4 5" xfId="18431"/>
    <cellStyle name="Note 6 4 2 4 5" xfId="18432"/>
    <cellStyle name="Note 6 2 3 2 4 5" xfId="18433"/>
    <cellStyle name="Note 7 4 2 4 5" xfId="18434"/>
    <cellStyle name="Note 7 2 3 2 4 5" xfId="18435"/>
    <cellStyle name="Note 8 3 2 4 5" xfId="18436"/>
    <cellStyle name="Output 2 9 2 4 5" xfId="18437"/>
    <cellStyle name="Output 3 5 2 4 5" xfId="18438"/>
    <cellStyle name="Output 4 5 2 4 5" xfId="18439"/>
    <cellStyle name="Output 5 4 2 4 5" xfId="18440"/>
    <cellStyle name="Total 2 10 2 4 5" xfId="18441"/>
    <cellStyle name="Total 3 5 2 4 5" xfId="18442"/>
    <cellStyle name="Total 4 5 2 4 5" xfId="18443"/>
    <cellStyle name="Total 5 4 2 4 5" xfId="18444"/>
    <cellStyle name="Input 20 2 4 5" xfId="18445"/>
    <cellStyle name="Input 21 2 4 5" xfId="18446"/>
    <cellStyle name="Calculation 2 13 4" xfId="18447"/>
    <cellStyle name="Calculation 2 2 9 4" xfId="18448"/>
    <cellStyle name="Calculation 2 2 2 6 4" xfId="18449"/>
    <cellStyle name="Calculation 2 2 3 6 4" xfId="18450"/>
    <cellStyle name="Calculation 2 2 4 6 4" xfId="18451"/>
    <cellStyle name="Calculation 2 3 6 4" xfId="18452"/>
    <cellStyle name="Calculation 2 4 6 4" xfId="18453"/>
    <cellStyle name="Calculation 3 9 4" xfId="18454"/>
    <cellStyle name="Input 2 13 4" xfId="18455"/>
    <cellStyle name="Input 2 2 9 4" xfId="18456"/>
    <cellStyle name="Input 2 2 2 6 4" xfId="18457"/>
    <cellStyle name="Input 2 2 3 6 4" xfId="18458"/>
    <cellStyle name="Input 2 2 4 6 4" xfId="18459"/>
    <cellStyle name="Input 2 3 6 4" xfId="18460"/>
    <cellStyle name="Input 2 4 6 4" xfId="18461"/>
    <cellStyle name="Input 3 8 4" xfId="18462"/>
    <cellStyle name="Input 4 8 4" xfId="18463"/>
    <cellStyle name="Input 5 9 4" xfId="18464"/>
    <cellStyle name="Input 6 7 4" xfId="18465"/>
    <cellStyle name="Input 7 6 4" xfId="18466"/>
    <cellStyle name="Input 8 6 4" xfId="18467"/>
    <cellStyle name="Note 2 12 4" xfId="18468"/>
    <cellStyle name="Note 2 2 9 4" xfId="18469"/>
    <cellStyle name="Note 2 3 7 4" xfId="18470"/>
    <cellStyle name="Note 2 4 7 4" xfId="18471"/>
    <cellStyle name="Note 3 10 4" xfId="18472"/>
    <cellStyle name="Note 3 2 11 4" xfId="18473"/>
    <cellStyle name="Note 3 2 2 6 4" xfId="18474"/>
    <cellStyle name="Note 4 9 4" xfId="18475"/>
    <cellStyle name="Output 2 13 4" xfId="18476"/>
    <cellStyle name="Output 2 2 8 4" xfId="18477"/>
    <cellStyle name="Output 2 2 2 5 4" xfId="18478"/>
    <cellStyle name="Output 2 2 3 5 4" xfId="18479"/>
    <cellStyle name="Output 2 2 4 5 4" xfId="18480"/>
    <cellStyle name="Output 2 3 5 4" xfId="18481"/>
    <cellStyle name="Output 2 4 5 4" xfId="18482"/>
    <cellStyle name="Output 3 9 4" xfId="18483"/>
    <cellStyle name="StmtTtl2 5 4" xfId="18484"/>
    <cellStyle name="Total 2 14 4" xfId="18485"/>
    <cellStyle name="Total 2 2 8 4" xfId="18486"/>
    <cellStyle name="Total 2 2 2 5 4" xfId="18487"/>
    <cellStyle name="Total 2 2 3 5 4" xfId="18488"/>
    <cellStyle name="Total 2 2 4 5 4" xfId="18489"/>
    <cellStyle name="Total 2 3 5 4" xfId="18490"/>
    <cellStyle name="Total 2 4 5 4" xfId="18491"/>
    <cellStyle name="Total 2 5 5 4" xfId="18492"/>
    <cellStyle name="Total 3 9 4" xfId="18493"/>
    <cellStyle name="Calculation 2 5 5 4" xfId="18494"/>
    <cellStyle name="Input 2 5 5 4" xfId="18495"/>
    <cellStyle name="Input [yellow] 2 2 4" xfId="18496"/>
    <cellStyle name="Note 2 2 2 5 4" xfId="18497"/>
    <cellStyle name="Note 2 3 2 5 4" xfId="18498"/>
    <cellStyle name="Note 2 4 2 5 4" xfId="18499"/>
    <cellStyle name="Note 2 5 5 4" xfId="18500"/>
    <cellStyle name="Note 3 3 5 4" xfId="18501"/>
    <cellStyle name="Note 4 2 7 4" xfId="18502"/>
    <cellStyle name="Output 2 5 5 4" xfId="18503"/>
    <cellStyle name="Total 2 6 5 4" xfId="18504"/>
    <cellStyle name="Calculation 7 7 4" xfId="18505"/>
    <cellStyle name="Calculation 2 6 7 4" xfId="18506"/>
    <cellStyle name="Calculation 3 2 7 4" xfId="18507"/>
    <cellStyle name="Calculation 4 2 7 4" xfId="18508"/>
    <cellStyle name="Calculation 5 8 4" xfId="18509"/>
    <cellStyle name="Output 9 6 4" xfId="18510"/>
    <cellStyle name="Input 10 7 4" xfId="18511"/>
    <cellStyle name="Input 2 6 7 4" xfId="18512"/>
    <cellStyle name="Input 3 2 7 4" xfId="18513"/>
    <cellStyle name="Input 4 2 7 4" xfId="18514"/>
    <cellStyle name="Input 5 2 7 4" xfId="18515"/>
    <cellStyle name="Note 11 6 4" xfId="18516"/>
    <cellStyle name="Note 2 6 6 4" xfId="18517"/>
    <cellStyle name="Note 2 2 3 6 4" xfId="18518"/>
    <cellStyle name="Note 3 4 6 4" xfId="18519"/>
    <cellStyle name="Note 3 2 4 6 4" xfId="18520"/>
    <cellStyle name="Note 4 3 6 4" xfId="18521"/>
    <cellStyle name="Note 4 2 2 6 4" xfId="18522"/>
    <cellStyle name="Note 5 9 4" xfId="18523"/>
    <cellStyle name="Note 5 2 8 4" xfId="18524"/>
    <cellStyle name="Note 6 9 4" xfId="18525"/>
    <cellStyle name="Note 6 2 8 4" xfId="18526"/>
    <cellStyle name="Note 7 9 4" xfId="18527"/>
    <cellStyle name="Note 7 2 8 4" xfId="18528"/>
    <cellStyle name="Note 8 8 4" xfId="18529"/>
    <cellStyle name="Note 9 7 4" xfId="18530"/>
    <cellStyle name="Output 7 6 4" xfId="18531"/>
    <cellStyle name="Output 2 6 6 4" xfId="18532"/>
    <cellStyle name="Output 3 2 6 4" xfId="18533"/>
    <cellStyle name="Output 4 2 6 4" xfId="18534"/>
    <cellStyle name="Output 5 9 4" xfId="18535"/>
    <cellStyle name="Total 7 6 4" xfId="18536"/>
    <cellStyle name="Total 2 7 6 4" xfId="18537"/>
    <cellStyle name="Total 3 2 6 4" xfId="18538"/>
    <cellStyle name="Total 4 2 6 4" xfId="18539"/>
    <cellStyle name="Total 5 9 4" xfId="18540"/>
    <cellStyle name="Calculation 8 7 4" xfId="18541"/>
    <cellStyle name="Input 12 7 4" xfId="18542"/>
    <cellStyle name="Input 11 7 4" xfId="18543"/>
    <cellStyle name="Calculation 9 7 4" xfId="18544"/>
    <cellStyle name="Output 8 6 4" xfId="18545"/>
    <cellStyle name="Total 8 6 4" xfId="18546"/>
    <cellStyle name="Total 9 6 4" xfId="18547"/>
    <cellStyle name="Output 5 2 6 4" xfId="18548"/>
    <cellStyle name="Output 4 3 6 4" xfId="18549"/>
    <cellStyle name="Output 3 3 6 4" xfId="18550"/>
    <cellStyle name="Output 2 7 6 4" xfId="18551"/>
    <cellStyle name="Output 11 6 4" xfId="18552"/>
    <cellStyle name="Input 5 3 7 4" xfId="18553"/>
    <cellStyle name="Input 4 3 7 4" xfId="18554"/>
    <cellStyle name="Input 3 3 7 4" xfId="18555"/>
    <cellStyle name="Input 2 7 7 4" xfId="18556"/>
    <cellStyle name="Calculation 10 7 4" xfId="18557"/>
    <cellStyle name="Input 14 7 4" xfId="18558"/>
    <cellStyle name="Input 16 7 4" xfId="18559"/>
    <cellStyle name="Input 17 7 4" xfId="18560"/>
    <cellStyle name="Input 15 7 4" xfId="18561"/>
    <cellStyle name="Input 13 7 4" xfId="18562"/>
    <cellStyle name="Calculation 5 2 7 4" xfId="18563"/>
    <cellStyle name="Calculation 4 3 7 4" xfId="18564"/>
    <cellStyle name="Calculation 3 3 7 4" xfId="18565"/>
    <cellStyle name="Calculation 2 7 7 4" xfId="18566"/>
    <cellStyle name="Calculation 11 7 4" xfId="18567"/>
    <cellStyle name="Output 10 6 4" xfId="18568"/>
    <cellStyle name="Note 12 6 4" xfId="18569"/>
    <cellStyle name="Note 2 7 6 4" xfId="18570"/>
    <cellStyle name="Note 2 2 4 6 4" xfId="18571"/>
    <cellStyle name="Note 3 5 6 4" xfId="18572"/>
    <cellStyle name="Note 3 2 5 6 4" xfId="18573"/>
    <cellStyle name="Note 4 4 6 4" xfId="18574"/>
    <cellStyle name="Note 4 2 3 6 4" xfId="18575"/>
    <cellStyle name="Note 5 3 6 4" xfId="18576"/>
    <cellStyle name="Note 5 2 2 6 4" xfId="18577"/>
    <cellStyle name="Note 6 3 6 4" xfId="18578"/>
    <cellStyle name="Note 6 2 2 6 4" xfId="18579"/>
    <cellStyle name="Note 7 3 6 4" xfId="18580"/>
    <cellStyle name="Note 7 2 2 6 4" xfId="18581"/>
    <cellStyle name="Note 8 2 6 4" xfId="18582"/>
    <cellStyle name="Note 9 2 6 4" xfId="18583"/>
    <cellStyle name="Output 12 6 4" xfId="18584"/>
    <cellStyle name="Output 2 8 6 4" xfId="18585"/>
    <cellStyle name="Output 3 4 6 4" xfId="18586"/>
    <cellStyle name="Output 4 4 6 4" xfId="18587"/>
    <cellStyle name="Output 5 3 6 4" xfId="18588"/>
    <cellStyle name="Total 10 6 4" xfId="18589"/>
    <cellStyle name="Total 11 6 4" xfId="18590"/>
    <cellStyle name="Total 2 8 6 4" xfId="18591"/>
    <cellStyle name="Total 3 3 6 4" xfId="18592"/>
    <cellStyle name="Total 4 3 6 4" xfId="18593"/>
    <cellStyle name="Total 5 2 6 4" xfId="18594"/>
    <cellStyle name="Total 12 6 4" xfId="18595"/>
    <cellStyle name="Total 2 9 6 4" xfId="18596"/>
    <cellStyle name="Total 3 4 6 4" xfId="18597"/>
    <cellStyle name="Total 4 4 6 4" xfId="18598"/>
    <cellStyle name="Total 5 3 6 4" xfId="18599"/>
    <cellStyle name="Input 18 7 4" xfId="18600"/>
    <cellStyle name="Calculation 12 7 4" xfId="18601"/>
    <cellStyle name="Input 19 7 4" xfId="18602"/>
    <cellStyle name="Note 13 7 4" xfId="18603"/>
    <cellStyle name="Output 13 7 4" xfId="18604"/>
    <cellStyle name="Total 13 7 4" xfId="18605"/>
    <cellStyle name="Calculation 2 8 7 4" xfId="18606"/>
    <cellStyle name="Calculation 3 4 7 4" xfId="18607"/>
    <cellStyle name="Calculation 4 4 7 4" xfId="18608"/>
    <cellStyle name="Calculation 5 3 7 4" xfId="18609"/>
    <cellStyle name="Input 2 8 7 4" xfId="18610"/>
    <cellStyle name="Input 3 4 7 4" xfId="18611"/>
    <cellStyle name="Input 4 4 7 4" xfId="18612"/>
    <cellStyle name="Input 5 4 7 4" xfId="18613"/>
    <cellStyle name="Note 2 8 7 4" xfId="18614"/>
    <cellStyle name="Note 2 2 5 7 4" xfId="18615"/>
    <cellStyle name="Note 3 6 7 4" xfId="18616"/>
    <cellStyle name="Note 3 2 6 7 4" xfId="18617"/>
    <cellStyle name="Note 4 5 7 4" xfId="18618"/>
    <cellStyle name="Note 4 2 4 7 4" xfId="18619"/>
    <cellStyle name="Note 5 4 7 4" xfId="18620"/>
    <cellStyle name="Note 5 2 3 7 4" xfId="18621"/>
    <cellStyle name="Note 6 4 7 4" xfId="18622"/>
    <cellStyle name="Note 6 2 3 7 4" xfId="18623"/>
    <cellStyle name="Note 7 4 7 4" xfId="18624"/>
    <cellStyle name="Note 7 2 3 7 4" xfId="18625"/>
    <cellStyle name="Note 8 3 7 4" xfId="18626"/>
    <cellStyle name="Output 2 9 7 4" xfId="18627"/>
    <cellStyle name="Output 3 5 7 4" xfId="18628"/>
    <cellStyle name="Output 4 5 7 4" xfId="18629"/>
    <cellStyle name="Output 5 4 7 4" xfId="18630"/>
    <cellStyle name="Total 2 10 7 4" xfId="18631"/>
    <cellStyle name="Total 3 5 7 4" xfId="18632"/>
    <cellStyle name="Total 4 5 7 4" xfId="18633"/>
    <cellStyle name="Total 5 4 7 4" xfId="18634"/>
    <cellStyle name="Input 20 7 4" xfId="18635"/>
    <cellStyle name="Input 21 7 4" xfId="18636"/>
    <cellStyle name="Note 6 7 2 4" xfId="18637"/>
    <cellStyle name="Note 5 7 2 4" xfId="18638"/>
    <cellStyle name="Note 4 3 4 2 4" xfId="18639"/>
    <cellStyle name="Note 3 4 4 2 4" xfId="18640"/>
    <cellStyle name="Note 2 6 4 2 4" xfId="18641"/>
    <cellStyle name="Input 5 2 4 2 4" xfId="18642"/>
    <cellStyle name="Input 4 2 4 2 4" xfId="18643"/>
    <cellStyle name="Input 3 2 4 2 4" xfId="18644"/>
    <cellStyle name="Calculation 5 6 2 4" xfId="18645"/>
    <cellStyle name="Calculation 4 2 4 2 4" xfId="18646"/>
    <cellStyle name="Calculation 3 2 4 2 4" xfId="18647"/>
    <cellStyle name="Calculation 2 6 4 2 4" xfId="18648"/>
    <cellStyle name="Calculation 7 4 2 4" xfId="18649"/>
    <cellStyle name="Calculation 3 2 5 2 4" xfId="18650"/>
    <cellStyle name="Calculation 4 2 5 2 4" xfId="18651"/>
    <cellStyle name="Input 10 5 2 4" xfId="18652"/>
    <cellStyle name="Calculation 8 5 2 4" xfId="18653"/>
    <cellStyle name="Input 16 5 2 4" xfId="18654"/>
    <cellStyle name="Total 13 5 2 4" xfId="18655"/>
    <cellStyle name="Calculation 3 4 5 2 4" xfId="18656"/>
    <cellStyle name="Calculation 2 9 3 2 4" xfId="18657"/>
    <cellStyle name="Calculation 2 2 5 3 2 4" xfId="18658"/>
    <cellStyle name="Calculation 2 2 3 2 3 2 4" xfId="18659"/>
    <cellStyle name="Calculation 2 3 2 3 2 4" xfId="18660"/>
    <cellStyle name="Total 2 4 3 3 2 4" xfId="18661"/>
    <cellStyle name="Calculation 2 11 3 4" xfId="18662"/>
    <cellStyle name="Calculation 2 2 7 3 4" xfId="18663"/>
    <cellStyle name="Calculation 2 2 2 4 3 4" xfId="18664"/>
    <cellStyle name="Calculation 2 2 3 4 3 4" xfId="18665"/>
    <cellStyle name="Calculation 2 2 4 4 3 4" xfId="18666"/>
    <cellStyle name="Calculation 2 3 4 3 4" xfId="18667"/>
    <cellStyle name="Calculation 2 4 4 3 4" xfId="18668"/>
    <cellStyle name="Calculation 3 7 3 4" xfId="18669"/>
    <cellStyle name="Header2 3 3 4" xfId="18670"/>
    <cellStyle name="Input 2 11 3 4" xfId="18671"/>
    <cellStyle name="Input 2 2 7 3 4" xfId="18672"/>
    <cellStyle name="Input 2 2 2 4 3 4" xfId="18673"/>
    <cellStyle name="Input 2 2 3 4 3 4" xfId="18674"/>
    <cellStyle name="Input 2 2 4 4 3 4" xfId="18675"/>
    <cellStyle name="Input 2 3 4 3 4" xfId="18676"/>
    <cellStyle name="Input 2 4 4 3 4" xfId="18677"/>
    <cellStyle name="Input 5 7 3 4" xfId="18678"/>
    <cellStyle name="Input 6 5 3 4" xfId="18679"/>
    <cellStyle name="Input 7 4 3 4" xfId="18680"/>
    <cellStyle name="Input 8 4 3 4" xfId="18681"/>
    <cellStyle name="Calculation 5 2 5 2 4" xfId="18682"/>
    <cellStyle name="Input 18 5 2 4" xfId="18683"/>
    <cellStyle name="Calculation 3 5 3 2 4" xfId="18684"/>
    <cellStyle name="Input 7 2 3 2 4" xfId="18685"/>
    <cellStyle name="Note 2 3 5 3 4" xfId="18686"/>
    <cellStyle name="Note 2 4 5 3 4" xfId="18687"/>
    <cellStyle name="Note 3 2 9 3 4" xfId="18688"/>
    <cellStyle name="Note 3 2 2 4 3 4" xfId="18689"/>
    <cellStyle name="Output 2 12 3 4" xfId="18690"/>
    <cellStyle name="Output 2 2 7 3 4" xfId="18691"/>
    <cellStyle name="Output 2 2 2 4 3 4" xfId="18692"/>
    <cellStyle name="Output 2 2 3 4 3 4" xfId="18693"/>
    <cellStyle name="Output 2 2 4 4 3 4" xfId="18694"/>
    <cellStyle name="Output 2 3 4 3 4" xfId="18695"/>
    <cellStyle name="Output 2 4 4 3 4" xfId="18696"/>
    <cellStyle name="Output 3 8 3 4" xfId="18697"/>
    <cellStyle name="Header2 4 3 4" xfId="18698"/>
    <cellStyle name="Calculation 7 5 2 4" xfId="18699"/>
    <cellStyle name="Input 2 6 5 2 4" xfId="18700"/>
    <cellStyle name="Input 11 5 2 4" xfId="18701"/>
    <cellStyle name="Input 17 5 2 4" xfId="18702"/>
    <cellStyle name="Calculation 11 5 2 4" xfId="18703"/>
    <cellStyle name="Input 5 4 5 2 4" xfId="18704"/>
    <cellStyle name="Note 2 8 5 2 4" xfId="18705"/>
    <cellStyle name="Note 3 6 5 2 4" xfId="18706"/>
    <cellStyle name="StmtTtl2 4 3 4" xfId="18707"/>
    <cellStyle name="Input 21 5 2 4" xfId="18708"/>
    <cellStyle name="Calculation 2 2 4 2 3 2 4" xfId="18709"/>
    <cellStyle name="Calculation 2 4 2 3 2 4" xfId="18710"/>
    <cellStyle name="Header2 2 3 2 4" xfId="18711"/>
    <cellStyle name="Input 2 5 3 3 2 4" xfId="18712"/>
    <cellStyle name="Input 2 2 2 2 3 2 4" xfId="18713"/>
    <cellStyle name="Input 2 2 3 2 3 2 4" xfId="18714"/>
    <cellStyle name="Input 2 3 2 3 2 4" xfId="18715"/>
    <cellStyle name="Input 2 4 2 3 2 4" xfId="18716"/>
    <cellStyle name="Input 2 5 2 3 2 4" xfId="18717"/>
    <cellStyle name="Input 3 5 3 2 4" xfId="18718"/>
    <cellStyle name="Total 2 13 3 4" xfId="18719"/>
    <cellStyle name="Total 2 2 7 3 4" xfId="18720"/>
    <cellStyle name="Total 2 2 2 4 3 4" xfId="18721"/>
    <cellStyle name="Total 2 2 3 4 3 4" xfId="18722"/>
    <cellStyle name="Total 2 2 4 4 3 4" xfId="18723"/>
    <cellStyle name="Total 2 3 4 3 4" xfId="18724"/>
    <cellStyle name="Total 2 4 4 3 4" xfId="18725"/>
    <cellStyle name="Total 2 5 4 3 4" xfId="18726"/>
    <cellStyle name="Total 3 8 3 4" xfId="18727"/>
    <cellStyle name="Input 4 5 3 2 4" xfId="18728"/>
    <cellStyle name="Input 8 2 3 2 4" xfId="18729"/>
    <cellStyle name="Total 2 2 4 3 3 2 4" xfId="18730"/>
    <cellStyle name="Total 2 2 3 3 3 2 4" xfId="18731"/>
    <cellStyle name="Note 3 2 4 4 2 4" xfId="18732"/>
    <cellStyle name="Note 11 4 2 4" xfId="18733"/>
    <cellStyle name="Input 2 6 4 2 4" xfId="18734"/>
    <cellStyle name="Input 3 2 5 2 4" xfId="18735"/>
    <cellStyle name="Note 4 2 6 3 2 4" xfId="18736"/>
    <cellStyle name="Calculation 2 5 4 2 4" xfId="18737"/>
    <cellStyle name="Input 2 5 4 2 4" xfId="18738"/>
    <cellStyle name="Total 3 5 5 2 4" xfId="18739"/>
    <cellStyle name="Input 2 2 5 3 2 4" xfId="18740"/>
    <cellStyle name="Input 5 5 3 2 4" xfId="18741"/>
    <cellStyle name="Total 2 12 3 2 4" xfId="18742"/>
    <cellStyle name="Note 2 2 2 4 2 4" xfId="18743"/>
    <cellStyle name="Note 2 3 2 4 2 4" xfId="18744"/>
    <cellStyle name="Note 2 4 2 4 2 4" xfId="18745"/>
    <cellStyle name="Note 2 5 4 2 4" xfId="18746"/>
    <cellStyle name="Note 3 3 4 2 4" xfId="18747"/>
    <cellStyle name="Output 2 5 4 2 4" xfId="18748"/>
    <cellStyle name="Calculation 2 6 5 2 4" xfId="18749"/>
    <cellStyle name="Input 4 2 5 2 4" xfId="18750"/>
    <cellStyle name="Input 5 2 5 2 4" xfId="18751"/>
    <cellStyle name="Calculation 9 5 2 4" xfId="18752"/>
    <cellStyle name="Note 2 2 5 5 2 4" xfId="18753"/>
    <cellStyle name="Input 20 5 2 4" xfId="18754"/>
    <cellStyle name="Input 2 2 4 2 3 2 4" xfId="18755"/>
    <cellStyle name="Total 2 6 4 2 4" xfId="18756"/>
    <cellStyle name="Note 5 2 6 2 4" xfId="18757"/>
    <cellStyle name="Note 4 2 2 4 2 4" xfId="18758"/>
    <cellStyle name="Note 2 2 3 4 2 4" xfId="18759"/>
    <cellStyle name="Output 9 4 2 4" xfId="18760"/>
    <cellStyle name="Note 8 3 5 2 4" xfId="18761"/>
    <cellStyle name="Output 2 9 5 2 4" xfId="18762"/>
    <cellStyle name="Output 4 5 5 2 4" xfId="18763"/>
    <cellStyle name="Calculation 2 5 3 3 2 4" xfId="18764"/>
    <cellStyle name="Calculation 7 3 2 4" xfId="18765"/>
    <cellStyle name="Calculation 2 6 3 2 4" xfId="18766"/>
    <cellStyle name="Calculation 3 2 3 2 4" xfId="18767"/>
    <cellStyle name="Calculation 4 2 3 2 4" xfId="18768"/>
    <cellStyle name="Calculation 5 5 2 4" xfId="18769"/>
    <cellStyle name="Output 9 3 2 4" xfId="18770"/>
    <cellStyle name="Note 5 4 5 2 4" xfId="18771"/>
    <cellStyle name="Input 10 3 3 4" xfId="18772"/>
    <cellStyle name="Input 2 6 3 2 4" xfId="18773"/>
    <cellStyle name="Input 3 2 3 2 4" xfId="18774"/>
    <cellStyle name="Input 4 2 3 2 4" xfId="18775"/>
    <cellStyle name="Input 5 2 3 2 4" xfId="18776"/>
    <cellStyle name="Note 11 3 2 4" xfId="18777"/>
    <cellStyle name="Note 2 6 3 2 4" xfId="18778"/>
    <cellStyle name="Note 2 2 3 3 2 4" xfId="18779"/>
    <cellStyle name="Note 3 4 3 2 4" xfId="18780"/>
    <cellStyle name="Note 3 2 4 3 2 4" xfId="18781"/>
    <cellStyle name="Note 4 3 3 2 4" xfId="18782"/>
    <cellStyle name="Note 4 2 2 3 2 4" xfId="18783"/>
    <cellStyle name="Note 5 6 2 4" xfId="18784"/>
    <cellStyle name="Note 5 2 5 2 4" xfId="18785"/>
    <cellStyle name="Note 6 6 2 4" xfId="18786"/>
    <cellStyle name="Note 6 2 5 2 4" xfId="18787"/>
    <cellStyle name="Note 7 6 2 4" xfId="18788"/>
    <cellStyle name="Note 7 2 5 2 4" xfId="18789"/>
    <cellStyle name="Note 8 5 2 4" xfId="18790"/>
    <cellStyle name="Note 9 4 2 4" xfId="18791"/>
    <cellStyle name="Output 7 3 2 4" xfId="18792"/>
    <cellStyle name="Output 2 6 3 2 4" xfId="18793"/>
    <cellStyle name="Output 3 2 3 2 4" xfId="18794"/>
    <cellStyle name="Output 4 2 3 2 4" xfId="18795"/>
    <cellStyle name="Output 5 6 2 4" xfId="18796"/>
    <cellStyle name="Input 15 5 2 4" xfId="18797"/>
    <cellStyle name="Input 13 5 2 4" xfId="18798"/>
    <cellStyle name="Calculation 4 3 5 2 4" xfId="18799"/>
    <cellStyle name="Calculation 3 3 5 2 4" xfId="18800"/>
    <cellStyle name="Calculation 2 7 5 2 4" xfId="18801"/>
    <cellStyle name="Calculation 2 8 5 2 4" xfId="18802"/>
    <cellStyle name="Input 2 8 5 2 4" xfId="18803"/>
    <cellStyle name="Output 5 4 5 2 4" xfId="18804"/>
    <cellStyle name="Total 2 10 5 2 4" xfId="18805"/>
    <cellStyle name="Total 4 5 5 2 4" xfId="18806"/>
    <cellStyle name="Total 5 4 5 2 4" xfId="18807"/>
    <cellStyle name="Calculation 2 5 2 3 2 4" xfId="18808"/>
    <cellStyle name="Total 7 3 2 4" xfId="18809"/>
    <cellStyle name="Total 2 7 3 2 4" xfId="18810"/>
    <cellStyle name="Total 3 2 3 2 4" xfId="18811"/>
    <cellStyle name="Total 4 2 3 2 4" xfId="18812"/>
    <cellStyle name="Total 5 6 2 4" xfId="18813"/>
    <cellStyle name="Input 6 3 3 2 4" xfId="18814"/>
    <cellStyle name="Calculation 8 3 2 4" xfId="18815"/>
    <cellStyle name="Input 12 3 2 4" xfId="18816"/>
    <cellStyle name="Input 11 3 2 4" xfId="18817"/>
    <cellStyle name="Calculation 9 3 2 4" xfId="18818"/>
    <cellStyle name="Output 8 3 2 4" xfId="18819"/>
    <cellStyle name="Total 8 3 2 4" xfId="18820"/>
    <cellStyle name="Total 9 3 2 4" xfId="18821"/>
    <cellStyle name="Input 10 4 2 4" xfId="18822"/>
    <cellStyle name="Output 5 2 3 2 4" xfId="18823"/>
    <cellStyle name="Output 4 3 3 2 4" xfId="18824"/>
    <cellStyle name="Output 3 3 3 2 4" xfId="18825"/>
    <cellStyle name="Output 2 7 3 2 4" xfId="18826"/>
    <cellStyle name="Output 11 3 2 4" xfId="18827"/>
    <cellStyle name="Input 5 3 3 2 4" xfId="18828"/>
    <cellStyle name="Input 4 3 3 2 4" xfId="18829"/>
    <cellStyle name="Input 3 3 3 2 4" xfId="18830"/>
    <cellStyle name="Input 2 7 3 2 4" xfId="18831"/>
    <cellStyle name="Calculation 10 3 2 4" xfId="18832"/>
    <cellStyle name="Input 14 3 2 4" xfId="18833"/>
    <cellStyle name="Input 16 3 2 4" xfId="18834"/>
    <cellStyle name="Input 17 3 2 4" xfId="18835"/>
    <cellStyle name="Input 15 3 2 4" xfId="18836"/>
    <cellStyle name="Input 13 3 2 4" xfId="18837"/>
    <cellStyle name="Calculation 5 2 3 2 4" xfId="18838"/>
    <cellStyle name="Calculation 4 3 3 2 4" xfId="18839"/>
    <cellStyle name="Calculation 3 3 3 2 4" xfId="18840"/>
    <cellStyle name="Calculation 2 7 3 2 4" xfId="18841"/>
    <cellStyle name="Calculation 11 3 2 4" xfId="18842"/>
    <cellStyle name="Output 10 3 2 4" xfId="18843"/>
    <cellStyle name="Note 12 3 2 4" xfId="18844"/>
    <cellStyle name="Note 2 7 3 2 4" xfId="18845"/>
    <cellStyle name="Note 2 2 4 3 2 4" xfId="18846"/>
    <cellStyle name="Note 3 5 3 2 4" xfId="18847"/>
    <cellStyle name="Note 3 2 5 3 2 4" xfId="18848"/>
    <cellStyle name="Note 4 4 3 2 4" xfId="18849"/>
    <cellStyle name="Note 4 2 3 3 2 4" xfId="18850"/>
    <cellStyle name="Note 5 3 3 2 4" xfId="18851"/>
    <cellStyle name="Note 5 2 2 3 2 4" xfId="18852"/>
    <cellStyle name="Note 6 3 3 2 4" xfId="18853"/>
    <cellStyle name="Note 6 2 2 3 2 4" xfId="18854"/>
    <cellStyle name="Note 7 3 3 2 4" xfId="18855"/>
    <cellStyle name="Note 7 2 2 3 2 4" xfId="18856"/>
    <cellStyle name="Note 8 2 3 2 4" xfId="18857"/>
    <cellStyle name="Note 9 2 3 2 4" xfId="18858"/>
    <cellStyle name="Output 12 3 2 4" xfId="18859"/>
    <cellStyle name="Output 2 8 3 2 4" xfId="18860"/>
    <cellStyle name="Output 3 4 3 2 4" xfId="18861"/>
    <cellStyle name="Output 4 4 3 2 4" xfId="18862"/>
    <cellStyle name="Output 5 3 3 2 4" xfId="18863"/>
    <cellStyle name="Total 10 3 2 4" xfId="18864"/>
    <cellStyle name="Total 11 3 2 4" xfId="18865"/>
    <cellStyle name="Total 2 8 3 2 4" xfId="18866"/>
    <cellStyle name="Total 3 3 3 2 4" xfId="18867"/>
    <cellStyle name="Total 4 3 3 2 4" xfId="18868"/>
    <cellStyle name="Total 5 2 3 2 4" xfId="18869"/>
    <cellStyle name="Total 12 3 2 4" xfId="18870"/>
    <cellStyle name="Total 2 9 3 2 4" xfId="18871"/>
    <cellStyle name="Total 3 4 3 2 4" xfId="18872"/>
    <cellStyle name="Total 4 4 3 2 4" xfId="18873"/>
    <cellStyle name="Total 5 3 3 2 4" xfId="18874"/>
    <cellStyle name="Input 18 3 2 4" xfId="18875"/>
    <cellStyle name="Calculation 12 3 2 4" xfId="18876"/>
    <cellStyle name="Input 19 3 2 4" xfId="18877"/>
    <cellStyle name="Note 13 3 2 4" xfId="18878"/>
    <cellStyle name="Output 13 3 2 4" xfId="18879"/>
    <cellStyle name="Total 13 3 2 4" xfId="18880"/>
    <cellStyle name="Calculation 2 8 3 2 4" xfId="18881"/>
    <cellStyle name="Calculation 3 4 3 2 4" xfId="18882"/>
    <cellStyle name="Calculation 4 4 3 2 4" xfId="18883"/>
    <cellStyle name="Calculation 5 3 3 2 4" xfId="18884"/>
    <cellStyle name="Input 2 8 3 2 4" xfId="18885"/>
    <cellStyle name="Input 3 4 3 2 4" xfId="18886"/>
    <cellStyle name="Input 4 4 3 2 4" xfId="18887"/>
    <cellStyle name="Input 5 4 3 2 4" xfId="18888"/>
    <cellStyle name="Note 2 8 3 2 4" xfId="18889"/>
    <cellStyle name="Note 2 2 5 3 2 4" xfId="18890"/>
    <cellStyle name="Note 3 6 3 2 4" xfId="18891"/>
    <cellStyle name="Note 3 2 6 3 2 4" xfId="18892"/>
    <cellStyle name="Note 4 5 3 2 4" xfId="18893"/>
    <cellStyle name="Note 4 2 4 3 2 4" xfId="18894"/>
    <cellStyle name="Note 5 4 3 2 4" xfId="18895"/>
    <cellStyle name="Note 5 2 3 3 2 4" xfId="18896"/>
    <cellStyle name="Note 6 4 3 2 4" xfId="18897"/>
    <cellStyle name="Note 6 2 3 3 2 4" xfId="18898"/>
    <cellStyle name="Note 7 4 3 2 4" xfId="18899"/>
    <cellStyle name="Note 7 2 3 3 2 4" xfId="18900"/>
    <cellStyle name="Note 8 3 3 2 4" xfId="18901"/>
    <cellStyle name="Output 2 9 3 2 4" xfId="18902"/>
    <cellStyle name="Output 3 5 3 2 4" xfId="18903"/>
    <cellStyle name="Output 4 5 3 2 4" xfId="18904"/>
    <cellStyle name="Output 5 4 3 2 4" xfId="18905"/>
    <cellStyle name="Total 2 10 3 2 4" xfId="18906"/>
    <cellStyle name="Total 3 5 3 2 4" xfId="18907"/>
    <cellStyle name="Total 4 5 3 2 4" xfId="18908"/>
    <cellStyle name="Total 5 4 3 2 4" xfId="18909"/>
    <cellStyle name="Input 20 3 2 4" xfId="18910"/>
    <cellStyle name="Input 4 4 5 2 4" xfId="18911"/>
    <cellStyle name="Calculation 5 3 5 2 4" xfId="18912"/>
    <cellStyle name="Calculation 4 4 5 2 4" xfId="18913"/>
    <cellStyle name="Input 3 4 5 2 4" xfId="18914"/>
    <cellStyle name="Input 21 3 2 4" xfId="18915"/>
    <cellStyle name="Note 4 2 6 5 4" xfId="18916"/>
    <cellStyle name="Note 3 3 3 5 4" xfId="18917"/>
    <cellStyle name="Note 2 5 3 5 4" xfId="18918"/>
    <cellStyle name="Note 2 4 2 3 5 4" xfId="18919"/>
    <cellStyle name="Note 2 3 2 3 5 4" xfId="18920"/>
    <cellStyle name="Note 2 2 2 3 5 4" xfId="18921"/>
    <cellStyle name="Calculation 2 9 5 4" xfId="18922"/>
    <cellStyle name="Calculation 2 2 5 5 4" xfId="18923"/>
    <cellStyle name="Calculation 2 2 2 2 5 4" xfId="18924"/>
    <cellStyle name="Calculation 2 2 3 2 5 4" xfId="18925"/>
    <cellStyle name="Calculation 2 2 4 2 5 4" xfId="18926"/>
    <cellStyle name="Calculation 2 3 2 5 4" xfId="18927"/>
    <cellStyle name="Calculation 2 4 2 5 4" xfId="18928"/>
    <cellStyle name="Calculation 2 5 2 5 4" xfId="18929"/>
    <cellStyle name="Calculation 3 5 5 4" xfId="18930"/>
    <cellStyle name="Header2 2 5 4" xfId="18931"/>
    <cellStyle name="Input 2 5 3 5 4" xfId="18932"/>
    <cellStyle name="Input 2 9 5 4" xfId="18933"/>
    <cellStyle name="Input 2 2 5 5 4" xfId="18934"/>
    <cellStyle name="Input 2 2 2 2 5 4" xfId="18935"/>
    <cellStyle name="Input 2 2 3 2 5 4" xfId="18936"/>
    <cellStyle name="Input 2 2 4 2 5 4" xfId="18937"/>
    <cellStyle name="Input 2 3 2 5 4" xfId="18938"/>
    <cellStyle name="Input 2 4 2 5 4" xfId="18939"/>
    <cellStyle name="Input 2 5 2 5 4" xfId="18940"/>
    <cellStyle name="Input 3 5 5 4" xfId="18941"/>
    <cellStyle name="Input 4 5 5 4" xfId="18942"/>
    <cellStyle name="Input 5 5 5 4" xfId="18943"/>
    <cellStyle name="Input 6 3 5 4" xfId="18944"/>
    <cellStyle name="Input 7 2 5 4" xfId="18945"/>
    <cellStyle name="Input 8 2 5 4" xfId="18946"/>
    <cellStyle name="Calculation 2 5 3 5 4" xfId="18947"/>
    <cellStyle name="Total 2 4 3 5 4" xfId="18948"/>
    <cellStyle name="Total 2 2 4 3 5 4" xfId="18949"/>
    <cellStyle name="Total 2 2 3 3 5 4" xfId="18950"/>
    <cellStyle name="Total 2 12 5 4" xfId="18951"/>
    <cellStyle name="Note 2 9 5 4" xfId="18952"/>
    <cellStyle name="Note 2 2 6 5 4" xfId="18953"/>
    <cellStyle name="Note 2 3 3 5 4" xfId="18954"/>
    <cellStyle name="Note 2 4 3 5 4" xfId="18955"/>
    <cellStyle name="Note 3 7 5 4" xfId="18956"/>
    <cellStyle name="Note 3 2 7 5 4" xfId="18957"/>
    <cellStyle name="Output 2 10 5 4" xfId="18958"/>
    <cellStyle name="Output 2 2 5 5 4" xfId="18959"/>
    <cellStyle name="Output 2 2 2 2 5 4" xfId="18960"/>
    <cellStyle name="Output 2 2 3 2 5 4" xfId="18961"/>
    <cellStyle name="Output 2 2 4 2 5 4" xfId="18962"/>
    <cellStyle name="Output 2 3 2 5 4" xfId="18963"/>
    <cellStyle name="Output 2 4 2 5 4" xfId="18964"/>
    <cellStyle name="Output 2 5 2 5 4" xfId="18965"/>
    <cellStyle name="Output 3 6 5 4" xfId="18966"/>
    <cellStyle name="Input 7 3 5 4" xfId="18967"/>
    <cellStyle name="Input 5 6 5 4" xfId="18968"/>
    <cellStyle name="Input 3 6 5 4" xfId="18969"/>
    <cellStyle name="Input 2 4 3 5 4" xfId="18970"/>
    <cellStyle name="Input 2 2 4 3 5 4" xfId="18971"/>
    <cellStyle name="Input 2 2 2 3 5 4" xfId="18972"/>
    <cellStyle name="Input 2 10 5 4" xfId="18973"/>
    <cellStyle name="Calculation 3 6 5 4" xfId="18974"/>
    <cellStyle name="Calculation 2 4 3 5 4" xfId="18975"/>
    <cellStyle name="Calculation 2 2 4 3 5 4" xfId="18976"/>
    <cellStyle name="Calculation 2 2 2 3 5 4" xfId="18977"/>
    <cellStyle name="Calculation 2 10 5 4" xfId="18978"/>
    <cellStyle name="StmtTtl2 2 5 4" xfId="18979"/>
    <cellStyle name="Total 2 11 5 4" xfId="18980"/>
    <cellStyle name="Total 2 2 5 5 4" xfId="18981"/>
    <cellStyle name="Total 2 2 2 2 5 4" xfId="18982"/>
    <cellStyle name="Total 2 2 3 2 5 4" xfId="18983"/>
    <cellStyle name="Total 2 2 4 2 5 4" xfId="18984"/>
    <cellStyle name="Total 2 3 2 5 4" xfId="18985"/>
    <cellStyle name="Total 2 4 2 5 4" xfId="18986"/>
    <cellStyle name="Total 2 5 2 5 4" xfId="18987"/>
    <cellStyle name="Total 2 6 2 5 4" xfId="18988"/>
    <cellStyle name="Total 3 6 5 4" xfId="18989"/>
    <cellStyle name="Output 2 5 3 5 4" xfId="18990"/>
    <cellStyle name="Output 2 3 3 5 4" xfId="18991"/>
    <cellStyle name="Output 2 2 3 3 5 4" xfId="18992"/>
    <cellStyle name="Output 2 2 6 5 4" xfId="18993"/>
    <cellStyle name="Note 4 7 5 4" xfId="18994"/>
    <cellStyle name="Note 3 2 2 3 5 4" xfId="18995"/>
    <cellStyle name="Note 3 8 5 4" xfId="18996"/>
    <cellStyle name="Note 2 4 4 5 4" xfId="18997"/>
    <cellStyle name="Note 2 2 7 5 4" xfId="18998"/>
    <cellStyle name="Note 3 2 2 2 5 4" xfId="18999"/>
    <cellStyle name="Note 4 6 5 4" xfId="19000"/>
    <cellStyle name="Total 3 7 5 4" xfId="19001"/>
    <cellStyle name="Total 2 5 3 5 4" xfId="19002"/>
    <cellStyle name="Total 2 3 3 5 4" xfId="19003"/>
    <cellStyle name="Total 2 2 6 5 4" xfId="19004"/>
    <cellStyle name="Total 2 2 2 3 5 4" xfId="19005"/>
    <cellStyle name="StmtTtl2 3 5 4" xfId="19006"/>
    <cellStyle name="Output 3 7 5 4" xfId="19007"/>
    <cellStyle name="Note 2 5 2 5 4" xfId="19008"/>
    <cellStyle name="Note 2 2 2 2 5 4" xfId="19009"/>
    <cellStyle name="Note 2 3 2 2 5 4" xfId="19010"/>
    <cellStyle name="Note 2 4 2 2 5 4" xfId="19011"/>
    <cellStyle name="Note 3 3 2 5 4" xfId="19012"/>
    <cellStyle name="Input 8 3 5 4" xfId="19013"/>
    <cellStyle name="Input 6 4 5 4" xfId="19014"/>
    <cellStyle name="Input 4 6 5 4" xfId="19015"/>
    <cellStyle name="Input 2 3 3 5 4" xfId="19016"/>
    <cellStyle name="Input 2 2 3 3 5 4" xfId="19017"/>
    <cellStyle name="Input 2 2 6 5 4" xfId="19018"/>
    <cellStyle name="Calculation 2 3 3 5 4" xfId="19019"/>
    <cellStyle name="Calculation 2 2 3 3 5 4" xfId="19020"/>
    <cellStyle name="Calculation 2 2 6 5 4" xfId="19021"/>
    <cellStyle name="Output 2 4 3 5 4" xfId="19022"/>
    <cellStyle name="Output 2 2 4 3 5 4" xfId="19023"/>
    <cellStyle name="Output 2 2 2 3 5 4" xfId="19024"/>
    <cellStyle name="Output 2 11 5 4" xfId="19025"/>
    <cellStyle name="Note 3 2 8 5 4" xfId="19026"/>
    <cellStyle name="Note 2 3 4 5 4" xfId="19027"/>
    <cellStyle name="Note 2 10 5 4" xfId="19028"/>
    <cellStyle name="Note 4 2 5 5 4" xfId="19029"/>
    <cellStyle name="Style 21 6 4" xfId="19030"/>
    <cellStyle name="Style 21 2 6 4" xfId="19031"/>
    <cellStyle name="Style 22 6 4" xfId="19032"/>
    <cellStyle name="Style 22 2 6 4" xfId="19033"/>
    <cellStyle name="Style 23 6 4" xfId="19034"/>
    <cellStyle name="Style 23 2 6 4" xfId="19035"/>
    <cellStyle name="Style 24 6 4" xfId="19036"/>
    <cellStyle name="Style 24 2 6 4" xfId="19037"/>
    <cellStyle name="Style 25 6 4" xfId="19038"/>
    <cellStyle name="Style 25 2 6 4" xfId="19039"/>
    <cellStyle name="Style 26 6 4" xfId="19040"/>
    <cellStyle name="Style 26 2 6 4" xfId="19041"/>
    <cellStyle name="styleColumnTitles 6 4" xfId="19042"/>
    <cellStyle name="styleColumnTitles 2 6 4" xfId="19043"/>
    <cellStyle name="styleDateRange 6 4" xfId="19044"/>
    <cellStyle name="styleDateRange 2 6 4" xfId="19045"/>
    <cellStyle name="styleSeriesAttributes 6 4" xfId="19046"/>
    <cellStyle name="styleSeriesAttributes 2 6 4" xfId="19047"/>
    <cellStyle name="styleSeriesData 6 4" xfId="19048"/>
    <cellStyle name="styleSeriesData 2 6 4" xfId="19049"/>
    <cellStyle name="styleSeriesDataForecast 6 4" xfId="19050"/>
    <cellStyle name="styleSeriesDataForecast 2 6 4" xfId="19051"/>
    <cellStyle name="styleSeriesDataForecastNA 6 4" xfId="19052"/>
    <cellStyle name="styleSeriesDataForecastNA 2 6 4" xfId="19053"/>
    <cellStyle name="styleSeriesDataNA 6 4" xfId="19054"/>
    <cellStyle name="styleSeriesDataNA 2 6 4" xfId="19055"/>
    <cellStyle name="Style 21 2 2 5 4" xfId="19056"/>
    <cellStyle name="Style 22 2 2 5 4" xfId="19057"/>
    <cellStyle name="Style 23 2 2 5 4" xfId="19058"/>
    <cellStyle name="Style 24 2 2 5 4" xfId="19059"/>
    <cellStyle name="Style 25 2 2 5 4" xfId="19060"/>
    <cellStyle name="Style 26 2 2 5 4" xfId="19061"/>
    <cellStyle name="styleColumnTitles 2 2 5 4" xfId="19062"/>
    <cellStyle name="styleDateRange 2 2 5 4" xfId="19063"/>
    <cellStyle name="styleSeriesAttributes 2 2 5 4" xfId="19064"/>
    <cellStyle name="styleSeriesData 2 2 5 4" xfId="19065"/>
    <cellStyle name="styleSeriesDataForecast 2 2 5 4" xfId="19066"/>
    <cellStyle name="styleSeriesDataForecastNA 2 2 5 4" xfId="19067"/>
    <cellStyle name="styleSeriesDataNA 2 2 5 4" xfId="19068"/>
    <cellStyle name="Total 2 6 3 5 4" xfId="19069"/>
    <cellStyle name="Calculation 7 2 5 4" xfId="19070"/>
    <cellStyle name="Calculation 2 6 2 5 4" xfId="19071"/>
    <cellStyle name="Calculation 3 2 2 5 4" xfId="19072"/>
    <cellStyle name="Calculation 4 2 2 5 4" xfId="19073"/>
    <cellStyle name="Calculation 5 4 5 4" xfId="19074"/>
    <cellStyle name="Output 9 2 5 4" xfId="19075"/>
    <cellStyle name="Input 10 2 5 4" xfId="19076"/>
    <cellStyle name="Input 2 6 2 5 4" xfId="19077"/>
    <cellStyle name="Input 3 2 2 5 4" xfId="19078"/>
    <cellStyle name="Input 4 2 2 5 4" xfId="19079"/>
    <cellStyle name="Input 5 2 2 5 4" xfId="19080"/>
    <cellStyle name="Note 11 2 5 4" xfId="19081"/>
    <cellStyle name="Note 2 6 2 5 4" xfId="19082"/>
    <cellStyle name="Note 2 2 3 2 5 4" xfId="19083"/>
    <cellStyle name="Note 3 4 2 5 4" xfId="19084"/>
    <cellStyle name="Note 3 2 4 2 5 4" xfId="19085"/>
    <cellStyle name="Note 4 3 2 5 4" xfId="19086"/>
    <cellStyle name="Note 4 2 2 2 5 4" xfId="19087"/>
    <cellStyle name="Note 5 5 5 4" xfId="19088"/>
    <cellStyle name="Note 5 2 4 5 4" xfId="19089"/>
    <cellStyle name="Note 6 5 5 4" xfId="19090"/>
    <cellStyle name="Note 6 2 4 5 4" xfId="19091"/>
    <cellStyle name="Note 7 5 5 4" xfId="19092"/>
    <cellStyle name="Note 7 2 4 5 4" xfId="19093"/>
    <cellStyle name="Note 8 4 5 4" xfId="19094"/>
    <cellStyle name="Note 9 3 5 4" xfId="19095"/>
    <cellStyle name="Output 7 2 5 4" xfId="19096"/>
    <cellStyle name="Output 2 6 2 5 4" xfId="19097"/>
    <cellStyle name="Output 3 2 2 5 4" xfId="19098"/>
    <cellStyle name="Output 4 2 2 5 4" xfId="19099"/>
    <cellStyle name="Output 5 5 5 4" xfId="19100"/>
    <cellStyle name="Total 7 2 5 4" xfId="19101"/>
    <cellStyle name="Total 2 7 2 5 4" xfId="19102"/>
    <cellStyle name="Total 3 2 2 5 4" xfId="19103"/>
    <cellStyle name="Total 4 2 2 5 4" xfId="19104"/>
    <cellStyle name="Total 5 5 5 4" xfId="19105"/>
    <cellStyle name="Calculation 8 2 5 4" xfId="19106"/>
    <cellStyle name="Input 12 2 5 4" xfId="19107"/>
    <cellStyle name="Input 11 2 5 4" xfId="19108"/>
    <cellStyle name="Calculation 9 2 5 4" xfId="19109"/>
    <cellStyle name="Output 8 2 5 4" xfId="19110"/>
    <cellStyle name="Total 8 2 5 4" xfId="19111"/>
    <cellStyle name="Total 9 2 5 4" xfId="19112"/>
    <cellStyle name="Output 5 2 2 5 4" xfId="19113"/>
    <cellStyle name="Output 4 3 2 5 4" xfId="19114"/>
    <cellStyle name="Output 3 3 2 5 4" xfId="19115"/>
    <cellStyle name="Output 2 7 2 5 4" xfId="19116"/>
    <cellStyle name="Output 11 2 5 4" xfId="19117"/>
    <cellStyle name="Input 5 3 2 5 4" xfId="19118"/>
    <cellStyle name="Input 4 3 2 5 4" xfId="19119"/>
    <cellStyle name="Input 3 3 2 5 4" xfId="19120"/>
    <cellStyle name="Input 2 7 2 5 4" xfId="19121"/>
    <cellStyle name="Calculation 10 2 5 4" xfId="19122"/>
    <cellStyle name="Input 14 2 5 4" xfId="19123"/>
    <cellStyle name="Input 16 2 5 4" xfId="19124"/>
    <cellStyle name="Input 17 2 5 4" xfId="19125"/>
    <cellStyle name="Input 15 2 5 4" xfId="19126"/>
    <cellStyle name="Input 13 2 5 4" xfId="19127"/>
    <cellStyle name="Calculation 5 2 2 5 4" xfId="19128"/>
    <cellStyle name="Calculation 4 3 2 5 4" xfId="19129"/>
    <cellStyle name="Calculation 3 3 2 5 4" xfId="19130"/>
    <cellStyle name="Calculation 2 7 2 5 4" xfId="19131"/>
    <cellStyle name="Calculation 11 2 5 4" xfId="19132"/>
    <cellStyle name="Output 10 2 5 4" xfId="19133"/>
    <cellStyle name="Note 12 2 5 4" xfId="19134"/>
    <cellStyle name="Note 2 7 2 5 4" xfId="19135"/>
    <cellStyle name="Note 2 2 4 2 5 4" xfId="19136"/>
    <cellStyle name="Note 3 5 2 5 4" xfId="19137"/>
    <cellStyle name="Note 3 2 5 2 5 4" xfId="19138"/>
    <cellStyle name="Note 4 4 2 5 4" xfId="19139"/>
    <cellStyle name="Note 4 2 3 2 5 4" xfId="19140"/>
    <cellStyle name="Note 5 3 2 5 4" xfId="19141"/>
    <cellStyle name="Note 5 2 2 2 5 4" xfId="19142"/>
    <cellStyle name="Note 6 3 2 5 4" xfId="19143"/>
    <cellStyle name="Note 6 2 2 2 5 4" xfId="19144"/>
    <cellStyle name="Note 7 3 2 5 4" xfId="19145"/>
    <cellStyle name="Note 7 2 2 2 5 4" xfId="19146"/>
    <cellStyle name="Note 8 2 2 5 4" xfId="19147"/>
    <cellStyle name="Note 9 2 2 5 4" xfId="19148"/>
    <cellStyle name="Output 12 2 5 4" xfId="19149"/>
    <cellStyle name="Output 2 8 2 5 4" xfId="19150"/>
    <cellStyle name="Output 3 4 2 5 4" xfId="19151"/>
    <cellStyle name="Output 4 4 2 5 4" xfId="19152"/>
    <cellStyle name="Output 5 3 2 5 4" xfId="19153"/>
    <cellStyle name="Total 10 2 5 4" xfId="19154"/>
    <cellStyle name="Total 11 2 5 4" xfId="19155"/>
    <cellStyle name="Total 2 8 2 5 4" xfId="19156"/>
    <cellStyle name="Total 3 3 2 5 4" xfId="19157"/>
    <cellStyle name="Total 4 3 2 5 4" xfId="19158"/>
    <cellStyle name="Total 5 2 2 5 4" xfId="19159"/>
    <cellStyle name="Total 12 2 5 4" xfId="19160"/>
    <cellStyle name="Total 2 9 2 5 4" xfId="19161"/>
    <cellStyle name="Total 3 4 2 5 4" xfId="19162"/>
    <cellStyle name="Total 4 4 2 5 4" xfId="19163"/>
    <cellStyle name="Total 5 3 2 5 4" xfId="19164"/>
    <cellStyle name="Input 18 2 5 4" xfId="19165"/>
    <cellStyle name="Calculation 12 2 5 4" xfId="19166"/>
    <cellStyle name="Input 19 2 5 4" xfId="19167"/>
    <cellStyle name="Note 13 2 5 4" xfId="19168"/>
    <cellStyle name="Output 13 2 5 4" xfId="19169"/>
    <cellStyle name="Total 13 2 5 4" xfId="19170"/>
    <cellStyle name="Calculation 2 8 2 5 4" xfId="19171"/>
    <cellStyle name="Calculation 3 4 2 5 4" xfId="19172"/>
    <cellStyle name="Calculation 4 4 2 5 4" xfId="19173"/>
    <cellStyle name="Calculation 5 3 2 5 4" xfId="19174"/>
    <cellStyle name="Input 2 8 2 5 4" xfId="19175"/>
    <cellStyle name="Input 3 4 2 5 4" xfId="19176"/>
    <cellStyle name="Input 4 4 2 5 4" xfId="19177"/>
    <cellStyle name="Input 5 4 2 5 4" xfId="19178"/>
    <cellStyle name="Note 2 8 2 5 4" xfId="19179"/>
    <cellStyle name="Note 2 2 5 2 5 4" xfId="19180"/>
    <cellStyle name="Note 3 6 2 5 4" xfId="19181"/>
    <cellStyle name="Note 3 2 6 2 5 4" xfId="19182"/>
    <cellStyle name="Note 4 5 2 5 4" xfId="19183"/>
    <cellStyle name="Note 4 2 4 2 5 4" xfId="19184"/>
    <cellStyle name="Note 5 4 2 5 4" xfId="19185"/>
    <cellStyle name="Note 5 2 3 2 5 4" xfId="19186"/>
    <cellStyle name="Note 6 4 2 5 4" xfId="19187"/>
    <cellStyle name="Note 6 2 3 2 5 4" xfId="19188"/>
    <cellStyle name="Note 7 4 2 5 4" xfId="19189"/>
    <cellStyle name="Note 7 2 3 2 5 4" xfId="19190"/>
    <cellStyle name="Note 8 3 2 5 4" xfId="19191"/>
    <cellStyle name="Output 2 9 2 5 4" xfId="19192"/>
    <cellStyle name="Output 3 5 2 5 4" xfId="19193"/>
    <cellStyle name="Output 4 5 2 5 4" xfId="19194"/>
    <cellStyle name="Output 5 4 2 5 4" xfId="19195"/>
    <cellStyle name="Total 2 10 2 5 4" xfId="19196"/>
    <cellStyle name="Total 3 5 2 5 4" xfId="19197"/>
    <cellStyle name="Total 4 5 2 5 4" xfId="19198"/>
    <cellStyle name="Total 5 4 2 5 4" xfId="19199"/>
    <cellStyle name="Input 20 2 5 4" xfId="19200"/>
    <cellStyle name="Input 21 2 5 4" xfId="19201"/>
    <cellStyle name="Note 6 2 6 2 4" xfId="19202"/>
    <cellStyle name="Note 7 7 2 4" xfId="19203"/>
    <cellStyle name="Note 7 2 6 2 4" xfId="19204"/>
    <cellStyle name="Note 8 6 2 4" xfId="19205"/>
    <cellStyle name="Note 9 5 2 4" xfId="19206"/>
    <cellStyle name="Output 7 4 2 4" xfId="19207"/>
    <cellStyle name="Output 2 6 4 2 4" xfId="19208"/>
    <cellStyle name="Output 3 2 4 2 4" xfId="19209"/>
    <cellStyle name="Output 4 2 4 2 4" xfId="19210"/>
    <cellStyle name="Output 5 7 2 4" xfId="19211"/>
    <cellStyle name="Note 4 2 4 5 2 4" xfId="19212"/>
    <cellStyle name="Total 7 4 2 4" xfId="19213"/>
    <cellStyle name="Total 2 7 4 2 4" xfId="19214"/>
    <cellStyle name="Total 3 2 4 2 4" xfId="19215"/>
    <cellStyle name="Total 4 2 4 2 4" xfId="19216"/>
    <cellStyle name="Total 5 7 2 4" xfId="19217"/>
    <cellStyle name="Calculation 8 4 2 4" xfId="19218"/>
    <cellStyle name="Input 12 4 2 4" xfId="19219"/>
    <cellStyle name="Input 11 4 2 4" xfId="19220"/>
    <cellStyle name="Calculation 9 4 2 4" xfId="19221"/>
    <cellStyle name="Output 8 4 2 4" xfId="19222"/>
    <cellStyle name="Note 4 5 5 2 4" xfId="19223"/>
    <cellStyle name="Total 8 4 2 4" xfId="19224"/>
    <cellStyle name="Total 9 4 2 4" xfId="19225"/>
    <cellStyle name="Input 2 9 3 2 4" xfId="19226"/>
    <cellStyle name="Note 2 2 2 3 3 2 4" xfId="19227"/>
    <cellStyle name="Note 7 2 3 5 2 4" xfId="19228"/>
    <cellStyle name="Note 3 2 6 5 2 4" xfId="19229"/>
    <cellStyle name="Output 13 5 2 4" xfId="19230"/>
    <cellStyle name="Input 14 5 2 4" xfId="19231"/>
    <cellStyle name="Input 5 3 5 2 4" xfId="19232"/>
    <cellStyle name="Output 5 2 4 2 4" xfId="19233"/>
    <cellStyle name="Output 4 3 4 2 4" xfId="19234"/>
    <cellStyle name="Output 3 3 4 2 4" xfId="19235"/>
    <cellStyle name="Output 2 7 4 2 4" xfId="19236"/>
    <cellStyle name="Output 11 4 2 4" xfId="19237"/>
    <cellStyle name="Input 5 3 4 2 4" xfId="19238"/>
    <cellStyle name="Input 4 3 4 2 4" xfId="19239"/>
    <cellStyle name="Input 3 3 4 2 4" xfId="19240"/>
    <cellStyle name="Input 2 7 4 2 4" xfId="19241"/>
    <cellStyle name="Calculation 10 4 2 4" xfId="19242"/>
    <cellStyle name="Input 14 4 2 4" xfId="19243"/>
    <cellStyle name="Input 16 4 2 4" xfId="19244"/>
    <cellStyle name="Input 17 4 2 4" xfId="19245"/>
    <cellStyle name="Input 15 4 2 4" xfId="19246"/>
    <cellStyle name="Input 13 4 2 4" xfId="19247"/>
    <cellStyle name="Calculation 5 2 4 2 4" xfId="19248"/>
    <cellStyle name="Calculation 4 3 4 2 4" xfId="19249"/>
    <cellStyle name="Calculation 3 3 4 2 4" xfId="19250"/>
    <cellStyle name="Calculation 2 7 4 2 4" xfId="19251"/>
    <cellStyle name="Calculation 11 4 2 4" xfId="19252"/>
    <cellStyle name="Output 10 4 2 4" xfId="19253"/>
    <cellStyle name="Note 12 4 2 4" xfId="19254"/>
    <cellStyle name="Note 2 7 4 2 4" xfId="19255"/>
    <cellStyle name="Note 2 2 4 4 2 4" xfId="19256"/>
    <cellStyle name="Note 3 5 4 2 4" xfId="19257"/>
    <cellStyle name="Note 3 2 5 4 2 4" xfId="19258"/>
    <cellStyle name="Note 4 4 4 2 4" xfId="19259"/>
    <cellStyle name="Note 4 2 3 4 2 4" xfId="19260"/>
    <cellStyle name="Note 5 3 4 2 4" xfId="19261"/>
    <cellStyle name="Note 5 2 2 4 2 4" xfId="19262"/>
    <cellStyle name="Note 6 3 4 2 4" xfId="19263"/>
    <cellStyle name="Note 6 2 2 4 2 4" xfId="19264"/>
    <cellStyle name="Note 7 3 4 2 4" xfId="19265"/>
    <cellStyle name="Note 7 2 2 4 2 4" xfId="19266"/>
    <cellStyle name="Note 8 2 4 2 4" xfId="19267"/>
    <cellStyle name="Note 9 2 4 2 4" xfId="19268"/>
    <cellStyle name="Output 12 4 2 4" xfId="19269"/>
    <cellStyle name="Output 2 8 4 2 4" xfId="19270"/>
    <cellStyle name="Output 3 4 4 2 4" xfId="19271"/>
    <cellStyle name="Output 4 4 4 2 4" xfId="19272"/>
    <cellStyle name="Output 5 3 4 2 4" xfId="19273"/>
    <cellStyle name="Total 10 4 2 4" xfId="19274"/>
    <cellStyle name="Total 11 4 2 4" xfId="19275"/>
    <cellStyle name="Total 2 8 4 2 4" xfId="19276"/>
    <cellStyle name="Total 3 3 4 2 4" xfId="19277"/>
    <cellStyle name="Total 4 3 4 2 4" xfId="19278"/>
    <cellStyle name="Total 5 2 4 2 4" xfId="19279"/>
    <cellStyle name="Total 12 4 2 4" xfId="19280"/>
    <cellStyle name="Total 2 9 4 2 4" xfId="19281"/>
    <cellStyle name="Total 3 4 4 2 4" xfId="19282"/>
    <cellStyle name="Total 4 4 4 2 4" xfId="19283"/>
    <cellStyle name="Total 5 3 4 2 4" xfId="19284"/>
    <cellStyle name="Note 2 4 2 3 3 2 4" xfId="19285"/>
    <cellStyle name="Note 6 2 3 5 2 4" xfId="19286"/>
    <cellStyle name="Input 19 5 2 4" xfId="19287"/>
    <cellStyle name="Input 2 7 5 2 4" xfId="19288"/>
    <cellStyle name="Input 18 4 2 4" xfId="19289"/>
    <cellStyle name="Calculation 12 4 2 4" xfId="19290"/>
    <cellStyle name="Input 19 4 2 4" xfId="19291"/>
    <cellStyle name="Note 13 4 2 4" xfId="19292"/>
    <cellStyle name="Output 13 4 2 4" xfId="19293"/>
    <cellStyle name="Total 13 4 2 4" xfId="19294"/>
    <cellStyle name="Calculation 2 8 4 2 4" xfId="19295"/>
    <cellStyle name="Calculation 3 4 4 2 4" xfId="19296"/>
    <cellStyle name="Calculation 4 4 4 2 4" xfId="19297"/>
    <cellStyle name="Calculation 5 3 4 2 4" xfId="19298"/>
    <cellStyle name="Input 2 8 4 2 4" xfId="19299"/>
    <cellStyle name="Input 3 4 4 2 4" xfId="19300"/>
    <cellStyle name="Input 4 4 4 2 4" xfId="19301"/>
    <cellStyle name="Input 5 4 4 2 4" xfId="19302"/>
    <cellStyle name="Note 2 8 4 2 4" xfId="19303"/>
    <cellStyle name="Note 2 2 5 4 2 4" xfId="19304"/>
    <cellStyle name="Note 3 6 4 2 4" xfId="19305"/>
    <cellStyle name="Note 3 2 6 4 2 4" xfId="19306"/>
    <cellStyle name="Note 4 5 4 2 4" xfId="19307"/>
    <cellStyle name="Note 4 2 4 4 2 4" xfId="19308"/>
    <cellStyle name="Note 5 4 4 2 4" xfId="19309"/>
    <cellStyle name="Note 5 2 3 4 2 4" xfId="19310"/>
    <cellStyle name="Note 6 4 4 2 4" xfId="19311"/>
    <cellStyle name="Note 6 2 3 4 2 4" xfId="19312"/>
    <cellStyle name="Note 7 4 4 2 4" xfId="19313"/>
    <cellStyle name="Note 7 2 3 4 2 4" xfId="19314"/>
    <cellStyle name="Note 8 3 4 2 4" xfId="19315"/>
    <cellStyle name="Output 2 9 4 2 4" xfId="19316"/>
    <cellStyle name="Output 3 5 4 2 4" xfId="19317"/>
    <cellStyle name="Output 4 5 4 2 4" xfId="19318"/>
    <cellStyle name="Output 5 4 4 2 4" xfId="19319"/>
    <cellStyle name="Total 2 10 4 2 4" xfId="19320"/>
    <cellStyle name="Total 3 5 4 2 4" xfId="19321"/>
    <cellStyle name="Total 4 5 4 2 4" xfId="19322"/>
    <cellStyle name="Total 5 4 4 2 4" xfId="19323"/>
    <cellStyle name="Input 20 4 2 4" xfId="19324"/>
    <cellStyle name="Input 21 4 2 4" xfId="19325"/>
    <cellStyle name="Note 4 2 6 2 2 4" xfId="19326"/>
    <cellStyle name="Note 3 3 3 2 2 4" xfId="19327"/>
    <cellStyle name="Note 2 5 3 2 2 4" xfId="19328"/>
    <cellStyle name="Note 2 4 2 3 2 2 4" xfId="19329"/>
    <cellStyle name="Note 2 3 2 3 2 2 4" xfId="19330"/>
    <cellStyle name="Note 2 2 2 3 2 2 4" xfId="19331"/>
    <cellStyle name="Calculation 2 9 2 2 4" xfId="19332"/>
    <cellStyle name="Calculation 2 2 5 2 2 4" xfId="19333"/>
    <cellStyle name="Calculation 2 2 2 2 2 2 4" xfId="19334"/>
    <cellStyle name="Calculation 2 2 3 2 2 2 4" xfId="19335"/>
    <cellStyle name="Calculation 2 2 4 2 2 2 4" xfId="19336"/>
    <cellStyle name="Calculation 2 3 2 2 2 4" xfId="19337"/>
    <cellStyle name="Calculation 2 4 2 2 2 4" xfId="19338"/>
    <cellStyle name="Calculation 2 5 2 2 2 4" xfId="19339"/>
    <cellStyle name="Calculation 3 5 2 2 4" xfId="19340"/>
    <cellStyle name="Input 2 5 3 2 2 4" xfId="19341"/>
    <cellStyle name="Input 2 9 2 2 4" xfId="19342"/>
    <cellStyle name="Input 2 2 5 2 2 4" xfId="19343"/>
    <cellStyle name="Input 2 2 2 2 2 2 4" xfId="19344"/>
    <cellStyle name="Input 2 2 3 2 2 2 4" xfId="19345"/>
    <cellStyle name="Input 2 2 4 2 2 2 4" xfId="19346"/>
    <cellStyle name="Input 2 3 2 2 2 4" xfId="19347"/>
    <cellStyle name="Input 2 4 2 2 2 4" xfId="19348"/>
    <cellStyle name="Input 2 5 2 2 2 4" xfId="19349"/>
    <cellStyle name="Input 3 5 2 2 4" xfId="19350"/>
    <cellStyle name="Input 4 5 2 2 4" xfId="19351"/>
    <cellStyle name="Input 5 5 2 2 4" xfId="19352"/>
    <cellStyle name="Input 6 3 2 2 4" xfId="19353"/>
    <cellStyle name="Input 7 2 2 2 4" xfId="19354"/>
    <cellStyle name="Input 8 2 2 2 4" xfId="19355"/>
    <cellStyle name="Calculation 2 5 3 2 2 4" xfId="19356"/>
    <cellStyle name="Total 2 4 3 2 2 4" xfId="19357"/>
    <cellStyle name="Total 2 2 4 3 2 2 4" xfId="19358"/>
    <cellStyle name="Total 2 2 3 3 2 2 4" xfId="19359"/>
    <cellStyle name="Total 2 12 2 2 4" xfId="19360"/>
    <cellStyle name="Note 2 9 2 2 4" xfId="19361"/>
    <cellStyle name="Note 2 2 6 2 2 4" xfId="19362"/>
    <cellStyle name="Note 2 3 3 2 2 4" xfId="19363"/>
    <cellStyle name="Note 2 4 3 2 2 4" xfId="19364"/>
    <cellStyle name="Note 3 7 2 2 4" xfId="19365"/>
    <cellStyle name="Note 3 2 7 2 2 4" xfId="19366"/>
    <cellStyle name="Output 2 10 2 2 4" xfId="19367"/>
    <cellStyle name="Output 2 2 5 2 2 4" xfId="19368"/>
    <cellStyle name="Output 2 2 2 2 2 2 4" xfId="19369"/>
    <cellStyle name="Output 2 2 3 2 2 2 4" xfId="19370"/>
    <cellStyle name="Output 2 2 4 2 2 2 4" xfId="19371"/>
    <cellStyle name="Output 2 3 2 2 2 4" xfId="19372"/>
    <cellStyle name="Output 2 4 2 2 2 4" xfId="19373"/>
    <cellStyle name="Output 2 5 2 2 2 4" xfId="19374"/>
    <cellStyle name="Output 3 6 2 2 4" xfId="19375"/>
    <cellStyle name="Input 7 3 2 2 4" xfId="19376"/>
    <cellStyle name="Input 5 6 2 2 4" xfId="19377"/>
    <cellStyle name="Input 3 6 2 2 4" xfId="19378"/>
    <cellStyle name="Input 2 4 3 2 2 4" xfId="19379"/>
    <cellStyle name="Input 2 2 4 3 2 2 4" xfId="19380"/>
    <cellStyle name="Input 2 2 2 3 2 2 4" xfId="19381"/>
    <cellStyle name="Input 2 10 2 2 4" xfId="19382"/>
    <cellStyle name="Calculation 3 6 2 2 4" xfId="19383"/>
    <cellStyle name="Calculation 2 4 3 2 2 4" xfId="19384"/>
    <cellStyle name="Calculation 2 2 4 3 2 2 4" xfId="19385"/>
    <cellStyle name="Calculation 2 2 2 3 2 2 4" xfId="19386"/>
    <cellStyle name="Calculation 2 10 2 2 4" xfId="19387"/>
    <cellStyle name="StmtTtl2 2 2 2 4" xfId="19388"/>
    <cellStyle name="Total 2 11 2 2 4" xfId="19389"/>
    <cellStyle name="Total 2 2 5 2 2 4" xfId="19390"/>
    <cellStyle name="Total 2 2 2 2 2 2 4" xfId="19391"/>
    <cellStyle name="Total 2 2 3 2 2 2 4" xfId="19392"/>
    <cellStyle name="Total 2 2 4 2 2 2 4" xfId="19393"/>
    <cellStyle name="Total 2 3 2 2 2 4" xfId="19394"/>
    <cellStyle name="Total 2 4 2 2 2 4" xfId="19395"/>
    <cellStyle name="Total 2 5 2 2 2 4" xfId="19396"/>
    <cellStyle name="Total 2 6 2 2 2 4" xfId="19397"/>
    <cellStyle name="Total 3 6 2 2 4" xfId="19398"/>
    <cellStyle name="Calculation 2 2 2 2 3 2 4" xfId="19399"/>
    <cellStyle name="Output 3 5 5 2 4" xfId="19400"/>
    <cellStyle name="Input 12 5 2 4" xfId="19401"/>
    <cellStyle name="Output 2 5 3 2 2 4" xfId="19402"/>
    <cellStyle name="Output 2 3 3 2 2 4" xfId="19403"/>
    <cellStyle name="Output 2 2 3 3 2 2 4" xfId="19404"/>
    <cellStyle name="Output 2 2 6 2 2 4" xfId="19405"/>
    <cellStyle name="Note 4 7 2 2 4" xfId="19406"/>
    <cellStyle name="Note 3 2 2 3 2 2 4" xfId="19407"/>
    <cellStyle name="Note 3 8 2 2 4" xfId="19408"/>
    <cellStyle name="Note 2 4 4 2 2 4" xfId="19409"/>
    <cellStyle name="Note 2 2 7 2 2 4" xfId="19410"/>
    <cellStyle name="Note 3 2 2 2 2 2 4" xfId="19411"/>
    <cellStyle name="Note 4 6 2 2 4" xfId="19412"/>
    <cellStyle name="Total 3 7 2 2 4" xfId="19413"/>
    <cellStyle name="Total 2 5 3 2 2 4" xfId="19414"/>
    <cellStyle name="Total 2 3 3 2 2 4" xfId="19415"/>
    <cellStyle name="Total 2 2 6 2 2 4" xfId="19416"/>
    <cellStyle name="Total 2 2 2 3 2 2 4" xfId="19417"/>
    <cellStyle name="StmtTtl2 3 2 2 4" xfId="19418"/>
    <cellStyle name="Output 3 7 2 2 4" xfId="19419"/>
    <cellStyle name="Note 2 5 2 2 2 4" xfId="19420"/>
    <cellStyle name="Note 2 2 2 2 2 2 4" xfId="19421"/>
    <cellStyle name="Note 2 3 2 2 2 2 4" xfId="19422"/>
    <cellStyle name="Note 2 4 2 2 2 2 4" xfId="19423"/>
    <cellStyle name="Note 3 3 2 2 2 4" xfId="19424"/>
    <cellStyle name="Input 8 3 2 2 4" xfId="19425"/>
    <cellStyle name="Input 6 4 2 2 4" xfId="19426"/>
    <cellStyle name="Input 4 6 2 2 4" xfId="19427"/>
    <cellStyle name="Input 2 3 3 2 2 4" xfId="19428"/>
    <cellStyle name="Input 2 2 3 3 2 2 4" xfId="19429"/>
    <cellStyle name="Input 2 2 6 2 2 4" xfId="19430"/>
    <cellStyle name="Calculation 2 3 3 2 2 4" xfId="19431"/>
    <cellStyle name="Calculation 2 2 3 3 2 2 4" xfId="19432"/>
    <cellStyle name="Calculation 2 2 6 2 2 4" xfId="19433"/>
    <cellStyle name="Output 2 4 3 2 2 4" xfId="19434"/>
    <cellStyle name="Output 2 2 4 3 2 2 4" xfId="19435"/>
    <cellStyle name="Output 2 2 2 3 2 2 4" xfId="19436"/>
    <cellStyle name="Output 2 11 2 2 4" xfId="19437"/>
    <cellStyle name="Note 3 2 8 2 2 4" xfId="19438"/>
    <cellStyle name="Note 2 3 4 2 2 4" xfId="19439"/>
    <cellStyle name="Note 2 10 2 2 4" xfId="19440"/>
    <cellStyle name="Note 4 2 5 2 2 4" xfId="19441"/>
    <cellStyle name="Style 21 3 2 4" xfId="19442"/>
    <cellStyle name="Style 21 2 3 2 4" xfId="19443"/>
    <cellStyle name="Style 22 3 2 4" xfId="19444"/>
    <cellStyle name="Style 22 2 3 2 4" xfId="19445"/>
    <cellStyle name="Style 23 3 2 4" xfId="19446"/>
    <cellStyle name="Style 23 2 3 2 4" xfId="19447"/>
    <cellStyle name="Style 24 3 2 4" xfId="19448"/>
    <cellStyle name="Style 24 2 3 2 4" xfId="19449"/>
    <cellStyle name="Style 25 3 2 4" xfId="19450"/>
    <cellStyle name="Style 25 2 3 2 4" xfId="19451"/>
    <cellStyle name="Style 26 3 2 4" xfId="19452"/>
    <cellStyle name="Style 26 2 3 2 4" xfId="19453"/>
    <cellStyle name="styleColumnTitles 3 2 4" xfId="19454"/>
    <cellStyle name="styleColumnTitles 2 3 2 4" xfId="19455"/>
    <cellStyle name="styleDateRange 3 2 4" xfId="19456"/>
    <cellStyle name="styleDateRange 2 3 2 4" xfId="19457"/>
    <cellStyle name="styleSeriesAttributes 3 2 4" xfId="19458"/>
    <cellStyle name="styleSeriesAttributes 2 3 2 4" xfId="19459"/>
    <cellStyle name="styleSeriesData 3 2 4" xfId="19460"/>
    <cellStyle name="styleSeriesData 2 3 2 4" xfId="19461"/>
    <cellStyle name="styleSeriesDataForecast 3 2 4" xfId="19462"/>
    <cellStyle name="styleSeriesDataForecast 2 3 2 4" xfId="19463"/>
    <cellStyle name="styleSeriesDataForecastNA 3 2 4" xfId="19464"/>
    <cellStyle name="styleSeriesDataForecastNA 2 3 2 4" xfId="19465"/>
    <cellStyle name="styleSeriesDataNA 3 2 4" xfId="19466"/>
    <cellStyle name="styleSeriesDataNA 2 3 2 4" xfId="19467"/>
    <cellStyle name="Style 21 2 2 2 2 4" xfId="19468"/>
    <cellStyle name="Style 22 2 2 2 2 4" xfId="19469"/>
    <cellStyle name="Style 23 2 2 2 2 4" xfId="19470"/>
    <cellStyle name="Style 24 2 2 2 2 4" xfId="19471"/>
    <cellStyle name="Style 25 2 2 2 2 4" xfId="19472"/>
    <cellStyle name="Style 26 2 2 2 2 4" xfId="19473"/>
    <cellStyle name="styleColumnTitles 2 2 2 2 4" xfId="19474"/>
    <cellStyle name="styleDateRange 2 2 2 2 4" xfId="19475"/>
    <cellStyle name="styleSeriesAttributes 2 2 2 2 4" xfId="19476"/>
    <cellStyle name="styleSeriesData 2 2 2 2 4" xfId="19477"/>
    <cellStyle name="styleSeriesDataForecast 2 2 2 2 4" xfId="19478"/>
    <cellStyle name="styleSeriesDataForecastNA 2 2 2 2 4" xfId="19479"/>
    <cellStyle name="styleSeriesDataNA 2 2 2 2 4" xfId="19480"/>
    <cellStyle name="Total 2 6 3 2 2 4" xfId="19481"/>
    <cellStyle name="Note 3 3 3 3 2 4" xfId="19482"/>
    <cellStyle name="Note 5 2 3 5 2 4" xfId="19483"/>
    <cellStyle name="Input 4 3 5 2 4" xfId="19484"/>
    <cellStyle name="Calculation 7 2 2 2 4" xfId="19485"/>
    <cellStyle name="Calculation 2 6 2 2 2 4" xfId="19486"/>
    <cellStyle name="Calculation 3 2 2 2 2 4" xfId="19487"/>
    <cellStyle name="Calculation 4 2 2 2 2 4" xfId="19488"/>
    <cellStyle name="Calculation 5 4 2 2 4" xfId="19489"/>
    <cellStyle name="Output 9 2 2 2 4" xfId="19490"/>
    <cellStyle name="Input 10 2 2 2 4" xfId="19491"/>
    <cellStyle name="Input 2 6 2 2 2 4" xfId="19492"/>
    <cellStyle name="Input 3 2 2 2 2 4" xfId="19493"/>
    <cellStyle name="Input 4 2 2 2 2 4" xfId="19494"/>
    <cellStyle name="Input 5 2 2 2 2 4" xfId="19495"/>
    <cellStyle name="Note 11 2 2 2 4" xfId="19496"/>
    <cellStyle name="Note 2 6 2 2 2 4" xfId="19497"/>
    <cellStyle name="Note 2 2 3 2 2 2 4" xfId="19498"/>
    <cellStyle name="Note 3 4 2 2 2 4" xfId="19499"/>
    <cellStyle name="Note 3 2 4 2 2 2 4" xfId="19500"/>
    <cellStyle name="Note 4 3 2 2 2 4" xfId="19501"/>
    <cellStyle name="Note 4 2 2 2 2 2 4" xfId="19502"/>
    <cellStyle name="Note 5 5 2 2 4" xfId="19503"/>
    <cellStyle name="Note 5 2 4 2 2 4" xfId="19504"/>
    <cellStyle name="Note 6 5 2 2 4" xfId="19505"/>
    <cellStyle name="Note 6 2 4 2 2 4" xfId="19506"/>
    <cellStyle name="Note 7 5 2 2 4" xfId="19507"/>
    <cellStyle name="Note 7 2 4 2 2 4" xfId="19508"/>
    <cellStyle name="Note 8 4 2 2 4" xfId="19509"/>
    <cellStyle name="Note 9 3 2 2 4" xfId="19510"/>
    <cellStyle name="Output 7 2 2 2 4" xfId="19511"/>
    <cellStyle name="Output 2 6 2 2 2 4" xfId="19512"/>
    <cellStyle name="Output 3 2 2 2 2 4" xfId="19513"/>
    <cellStyle name="Output 4 2 2 2 2 4" xfId="19514"/>
    <cellStyle name="Output 5 5 2 2 4" xfId="19515"/>
    <cellStyle name="Total 7 2 2 2 4" xfId="19516"/>
    <cellStyle name="Total 2 7 2 2 2 4" xfId="19517"/>
    <cellStyle name="Total 3 2 2 2 2 4" xfId="19518"/>
    <cellStyle name="Total 4 2 2 2 2 4" xfId="19519"/>
    <cellStyle name="Total 5 5 2 2 4" xfId="19520"/>
    <cellStyle name="Calculation 8 2 2 2 4" xfId="19521"/>
    <cellStyle name="Input 12 2 2 2 4" xfId="19522"/>
    <cellStyle name="Input 11 2 2 2 4" xfId="19523"/>
    <cellStyle name="Calculation 9 2 2 2 4" xfId="19524"/>
    <cellStyle name="Output 8 2 2 2 4" xfId="19525"/>
    <cellStyle name="Total 8 2 2 2 4" xfId="19526"/>
    <cellStyle name="Total 9 2 2 2 4" xfId="19527"/>
    <cellStyle name="Note 2 3 2 3 3 2 4" xfId="19528"/>
    <cellStyle name="Note 7 4 5 2 4" xfId="19529"/>
    <cellStyle name="Note 13 5 2 4" xfId="19530"/>
    <cellStyle name="Calculation 10 5 2 4" xfId="19531"/>
    <cellStyle name="Output 5 2 2 2 2 4" xfId="19532"/>
    <cellStyle name="Output 4 3 2 2 2 4" xfId="19533"/>
    <cellStyle name="Output 3 3 2 2 2 4" xfId="19534"/>
    <cellStyle name="Output 2 7 2 2 2 4" xfId="19535"/>
    <cellStyle name="Output 11 2 2 2 4" xfId="19536"/>
    <cellStyle name="Input 5 3 2 2 2 4" xfId="19537"/>
    <cellStyle name="Input 4 3 2 2 2 4" xfId="19538"/>
    <cellStyle name="Input 3 3 2 2 2 4" xfId="19539"/>
    <cellStyle name="Input 2 7 2 2 2 4" xfId="19540"/>
    <cellStyle name="Calculation 10 2 2 2 4" xfId="19541"/>
    <cellStyle name="Input 14 2 2 2 4" xfId="19542"/>
    <cellStyle name="Input 16 2 2 2 4" xfId="19543"/>
    <cellStyle name="Input 17 2 2 2 4" xfId="19544"/>
    <cellStyle name="Input 15 2 2 2 4" xfId="19545"/>
    <cellStyle name="Input 13 2 2 2 4" xfId="19546"/>
    <cellStyle name="Calculation 5 2 2 2 2 4" xfId="19547"/>
    <cellStyle name="Calculation 4 3 2 2 2 4" xfId="19548"/>
    <cellStyle name="Calculation 3 3 2 2 2 4" xfId="19549"/>
    <cellStyle name="Calculation 2 7 2 2 2 4" xfId="19550"/>
    <cellStyle name="Calculation 11 2 2 2 4" xfId="19551"/>
    <cellStyle name="Output 10 2 2 2 4" xfId="19552"/>
    <cellStyle name="Note 12 2 2 2 4" xfId="19553"/>
    <cellStyle name="Note 2 7 2 2 2 4" xfId="19554"/>
    <cellStyle name="Note 2 2 4 2 2 2 4" xfId="19555"/>
    <cellStyle name="Note 3 5 2 2 2 4" xfId="19556"/>
    <cellStyle name="Note 3 2 5 2 2 2 4" xfId="19557"/>
    <cellStyle name="Note 4 4 2 2 2 4" xfId="19558"/>
    <cellStyle name="Note 4 2 3 2 2 2 4" xfId="19559"/>
    <cellStyle name="Note 5 3 2 2 2 4" xfId="19560"/>
    <cellStyle name="Note 5 2 2 2 2 2 4" xfId="19561"/>
    <cellStyle name="Note 6 3 2 2 2 4" xfId="19562"/>
    <cellStyle name="Note 6 2 2 2 2 2 4" xfId="19563"/>
    <cellStyle name="Note 7 3 2 2 2 4" xfId="19564"/>
    <cellStyle name="Note 7 2 2 2 2 2 4" xfId="19565"/>
    <cellStyle name="Note 8 2 2 2 2 4" xfId="19566"/>
    <cellStyle name="Note 9 2 2 2 2 4" xfId="19567"/>
    <cellStyle name="Output 12 2 2 2 4" xfId="19568"/>
    <cellStyle name="Output 2 8 2 2 2 4" xfId="19569"/>
    <cellStyle name="Output 3 4 2 2 2 4" xfId="19570"/>
    <cellStyle name="Output 4 4 2 2 2 4" xfId="19571"/>
    <cellStyle name="Output 5 3 2 2 2 4" xfId="19572"/>
    <cellStyle name="Total 10 2 2 2 4" xfId="19573"/>
    <cellStyle name="Total 11 2 2 2 4" xfId="19574"/>
    <cellStyle name="Total 2 8 2 2 2 4" xfId="19575"/>
    <cellStyle name="Total 3 3 2 2 2 4" xfId="19576"/>
    <cellStyle name="Total 4 3 2 2 2 4" xfId="19577"/>
    <cellStyle name="Total 5 2 2 2 2 4" xfId="19578"/>
    <cellStyle name="Total 12 2 2 2 4" xfId="19579"/>
    <cellStyle name="Total 2 9 2 2 2 4" xfId="19580"/>
    <cellStyle name="Total 3 4 2 2 2 4" xfId="19581"/>
    <cellStyle name="Total 4 4 2 2 2 4" xfId="19582"/>
    <cellStyle name="Total 5 3 2 2 2 4" xfId="19583"/>
    <cellStyle name="Note 2 5 3 3 2 4" xfId="19584"/>
    <cellStyle name="Note 6 4 5 2 4" xfId="19585"/>
    <cellStyle name="Calculation 12 5 2 4" xfId="19586"/>
    <cellStyle name="Input 3 3 5 2 4" xfId="19587"/>
    <cellStyle name="Input 18 2 2 2 4" xfId="19588"/>
    <cellStyle name="Calculation 12 2 2 2 4" xfId="19589"/>
    <cellStyle name="Input 19 2 2 2 4" xfId="19590"/>
    <cellStyle name="Note 13 2 2 2 4" xfId="19591"/>
    <cellStyle name="Output 13 2 2 2 4" xfId="19592"/>
    <cellStyle name="Total 13 2 2 2 4" xfId="19593"/>
    <cellStyle name="Calculation 2 8 2 2 2 4" xfId="19594"/>
    <cellStyle name="Calculation 3 4 2 2 2 4" xfId="19595"/>
    <cellStyle name="Calculation 4 4 2 2 2 4" xfId="19596"/>
    <cellStyle name="Calculation 5 3 2 2 2 4" xfId="19597"/>
    <cellStyle name="Input 2 8 2 2 2 4" xfId="19598"/>
    <cellStyle name="Input 3 4 2 2 2 4" xfId="19599"/>
    <cellStyle name="Input 4 4 2 2 2 4" xfId="19600"/>
    <cellStyle name="Input 5 4 2 2 2 4" xfId="19601"/>
    <cellStyle name="Note 2 8 2 2 2 4" xfId="19602"/>
    <cellStyle name="Note 2 2 5 2 2 2 4" xfId="19603"/>
    <cellStyle name="Note 3 6 2 2 2 4" xfId="19604"/>
    <cellStyle name="Note 3 2 6 2 2 2 4" xfId="19605"/>
    <cellStyle name="Note 4 5 2 2 2 4" xfId="19606"/>
    <cellStyle name="Note 4 2 4 2 2 2 4" xfId="19607"/>
    <cellStyle name="Note 5 4 2 2 2 4" xfId="19608"/>
    <cellStyle name="Note 5 2 3 2 2 2 4" xfId="19609"/>
    <cellStyle name="Note 6 4 2 2 2 4" xfId="19610"/>
    <cellStyle name="Note 6 2 3 2 2 2 4" xfId="19611"/>
    <cellStyle name="Note 7 4 2 2 2 4" xfId="19612"/>
    <cellStyle name="Note 7 2 3 2 2 2 4" xfId="19613"/>
    <cellStyle name="Note 8 3 2 2 2 4" xfId="19614"/>
    <cellStyle name="Output 2 9 2 2 2 4" xfId="19615"/>
    <cellStyle name="Output 3 5 2 2 2 4" xfId="19616"/>
    <cellStyle name="Output 4 5 2 2 2 4" xfId="19617"/>
    <cellStyle name="Output 5 4 2 2 2 4" xfId="19618"/>
    <cellStyle name="Total 2 10 2 2 2 4" xfId="19619"/>
    <cellStyle name="Total 3 5 2 2 2 4" xfId="19620"/>
    <cellStyle name="Total 4 5 2 2 2 4" xfId="19621"/>
    <cellStyle name="Total 5 4 2 2 2 4" xfId="19622"/>
    <cellStyle name="Input 20 2 2 2 4" xfId="19623"/>
    <cellStyle name="Input 21 2 2 2 4" xfId="19624"/>
    <cellStyle name="Note 2 9 3 2 4" xfId="19625"/>
    <cellStyle name="Note 2 2 6 3 2 4" xfId="19626"/>
    <cellStyle name="Note 2 3 3 3 2 4" xfId="19627"/>
    <cellStyle name="Note 2 4 3 3 2 4" xfId="19628"/>
    <cellStyle name="Note 3 7 3 2 4" xfId="19629"/>
    <cellStyle name="Note 3 2 7 3 2 4" xfId="19630"/>
    <cellStyle name="Output 2 10 3 2 4" xfId="19631"/>
    <cellStyle name="Output 2 2 5 3 2 4" xfId="19632"/>
    <cellStyle name="Output 2 2 2 2 3 2 4" xfId="19633"/>
    <cellStyle name="Output 2 2 3 2 3 2 4" xfId="19634"/>
    <cellStyle name="Output 2 2 4 2 3 2 4" xfId="19635"/>
    <cellStyle name="Output 2 3 2 3 2 4" xfId="19636"/>
    <cellStyle name="Output 2 4 2 3 2 4" xfId="19637"/>
    <cellStyle name="Output 2 5 2 3 2 4" xfId="19638"/>
    <cellStyle name="Output 3 6 3 2 4" xfId="19639"/>
    <cellStyle name="Input 7 3 3 2 4" xfId="19640"/>
    <cellStyle name="Input 5 6 3 2 4" xfId="19641"/>
    <cellStyle name="Input 3 6 3 2 4" xfId="19642"/>
    <cellStyle name="Input 2 4 3 3 2 4" xfId="19643"/>
    <cellStyle name="Input 2 2 4 3 3 2 4" xfId="19644"/>
    <cellStyle name="Input 2 2 2 3 3 2 4" xfId="19645"/>
    <cellStyle name="Input 2 10 3 2 4" xfId="19646"/>
    <cellStyle name="Calculation 3 6 3 2 4" xfId="19647"/>
    <cellStyle name="Calculation 2 4 3 3 2 4" xfId="19648"/>
    <cellStyle name="Calculation 2 2 4 3 3 2 4" xfId="19649"/>
    <cellStyle name="Calculation 2 2 2 3 3 2 4" xfId="19650"/>
    <cellStyle name="Calculation 2 10 3 2 4" xfId="19651"/>
    <cellStyle name="StmtTtl2 2 3 2 4" xfId="19652"/>
    <cellStyle name="Total 2 11 3 2 4" xfId="19653"/>
    <cellStyle name="Total 2 2 5 3 2 4" xfId="19654"/>
    <cellStyle name="Total 2 2 2 2 3 2 4" xfId="19655"/>
    <cellStyle name="Total 2 2 3 2 3 2 4" xfId="19656"/>
    <cellStyle name="Total 2 2 4 2 3 2 4" xfId="19657"/>
    <cellStyle name="Total 2 3 2 3 2 4" xfId="19658"/>
    <cellStyle name="Total 2 4 2 3 2 4" xfId="19659"/>
    <cellStyle name="Total 2 5 2 3 2 4" xfId="19660"/>
    <cellStyle name="Total 2 6 2 3 2 4" xfId="19661"/>
    <cellStyle name="Total 3 6 3 2 4" xfId="19662"/>
    <cellStyle name="Output 2 5 3 3 2 4" xfId="19663"/>
    <cellStyle name="Output 2 3 3 3 2 4" xfId="19664"/>
    <cellStyle name="Output 2 2 3 3 3 2 4" xfId="19665"/>
    <cellStyle name="Output 2 2 6 3 2 4" xfId="19666"/>
    <cellStyle name="Note 4 7 3 2 4" xfId="19667"/>
    <cellStyle name="Note 3 2 2 3 3 2 4" xfId="19668"/>
    <cellStyle name="Note 3 8 3 2 4" xfId="19669"/>
    <cellStyle name="Note 2 4 4 3 2 4" xfId="19670"/>
    <cellStyle name="Note 2 2 7 3 2 4" xfId="19671"/>
    <cellStyle name="Note 3 2 2 2 3 2 4" xfId="19672"/>
    <cellStyle name="Note 4 6 3 2 4" xfId="19673"/>
    <cellStyle name="Total 3 7 3 2 4" xfId="19674"/>
    <cellStyle name="Total 2 5 3 3 2 4" xfId="19675"/>
    <cellStyle name="Total 2 3 3 3 2 4" xfId="19676"/>
    <cellStyle name="Total 2 2 6 3 2 4" xfId="19677"/>
    <cellStyle name="Total 2 2 2 3 3 2 4" xfId="19678"/>
    <cellStyle name="StmtTtl2 3 3 2 4" xfId="19679"/>
    <cellStyle name="Output 3 7 3 2 4" xfId="19680"/>
    <cellStyle name="Note 2 5 2 3 2 4" xfId="19681"/>
    <cellStyle name="Note 2 2 2 2 3 2 4" xfId="19682"/>
    <cellStyle name="Note 2 3 2 2 3 2 4" xfId="19683"/>
    <cellStyle name="Note 2 4 2 2 3 2 4" xfId="19684"/>
    <cellStyle name="Note 3 3 2 3 2 4" xfId="19685"/>
    <cellStyle name="Input 8 3 3 2 4" xfId="19686"/>
    <cellStyle name="Input 6 4 3 2 4" xfId="19687"/>
    <cellStyle name="Input 4 6 3 2 4" xfId="19688"/>
    <cellStyle name="Input 2 3 3 3 2 4" xfId="19689"/>
    <cellStyle name="Input 2 2 3 3 3 2 4" xfId="19690"/>
    <cellStyle name="Input 2 2 6 3 2 4" xfId="19691"/>
    <cellStyle name="Calculation 2 3 3 3 2 4" xfId="19692"/>
    <cellStyle name="Calculation 2 2 3 3 3 2 4" xfId="19693"/>
    <cellStyle name="Calculation 2 2 6 3 2 4" xfId="19694"/>
    <cellStyle name="Output 2 4 3 3 2 4" xfId="19695"/>
    <cellStyle name="Output 2 2 4 3 3 2 4" xfId="19696"/>
    <cellStyle name="Output 2 2 2 3 3 2 4" xfId="19697"/>
    <cellStyle name="Output 2 11 3 2 4" xfId="19698"/>
    <cellStyle name="Note 3 2 8 3 2 4" xfId="19699"/>
    <cellStyle name="Note 2 3 4 3 2 4" xfId="19700"/>
    <cellStyle name="Note 2 10 3 2 4" xfId="19701"/>
    <cellStyle name="Note 4 2 5 3 2 4" xfId="19702"/>
    <cellStyle name="Style 21 4 2 4" xfId="19703"/>
    <cellStyle name="Style 21 2 4 2 4" xfId="19704"/>
    <cellStyle name="Style 22 4 2 4" xfId="19705"/>
    <cellStyle name="Style 22 2 4 2 4" xfId="19706"/>
    <cellStyle name="Style 23 4 2 4" xfId="19707"/>
    <cellStyle name="Style 23 2 4 2 4" xfId="19708"/>
    <cellStyle name="Style 24 4 2 4" xfId="19709"/>
    <cellStyle name="Style 24 2 4 2 4" xfId="19710"/>
    <cellStyle name="Style 25 4 2 4" xfId="19711"/>
    <cellStyle name="Style 25 2 4 2 4" xfId="19712"/>
    <cellStyle name="Style 26 4 2 4" xfId="19713"/>
    <cellStyle name="Style 26 2 4 2 4" xfId="19714"/>
    <cellStyle name="styleColumnTitles 4 2 4" xfId="19715"/>
    <cellStyle name="styleColumnTitles 2 4 2 4" xfId="19716"/>
    <cellStyle name="styleDateRange 4 2 4" xfId="19717"/>
    <cellStyle name="styleDateRange 2 4 2 4" xfId="19718"/>
    <cellStyle name="styleSeriesAttributes 4 2 4" xfId="19719"/>
    <cellStyle name="styleSeriesAttributes 2 4 2 4" xfId="19720"/>
    <cellStyle name="styleSeriesData 4 2 4" xfId="19721"/>
    <cellStyle name="styleSeriesData 2 4 2 4" xfId="19722"/>
    <cellStyle name="styleSeriesDataForecast 4 2 4" xfId="19723"/>
    <cellStyle name="styleSeriesDataForecast 2 4 2 4" xfId="19724"/>
    <cellStyle name="styleSeriesDataForecastNA 4 2 4" xfId="19725"/>
    <cellStyle name="styleSeriesDataForecastNA 2 4 2 4" xfId="19726"/>
    <cellStyle name="styleSeriesDataNA 4 2 4" xfId="19727"/>
    <cellStyle name="styleSeriesDataNA 2 4 2 4" xfId="19728"/>
    <cellStyle name="Style 21 2 2 3 2 4" xfId="19729"/>
    <cellStyle name="Style 22 2 2 3 2 4" xfId="19730"/>
    <cellStyle name="Style 23 2 2 3 2 4" xfId="19731"/>
    <cellStyle name="Style 24 2 2 3 2 4" xfId="19732"/>
    <cellStyle name="Style 25 2 2 3 2 4" xfId="19733"/>
    <cellStyle name="Style 26 2 2 3 2 4" xfId="19734"/>
    <cellStyle name="styleColumnTitles 2 2 3 2 4" xfId="19735"/>
    <cellStyle name="styleDateRange 2 2 3 2 4" xfId="19736"/>
    <cellStyle name="styleSeriesAttributes 2 2 3 2 4" xfId="19737"/>
    <cellStyle name="styleSeriesData 2 2 3 2 4" xfId="19738"/>
    <cellStyle name="styleSeriesDataForecast 2 2 3 2 4" xfId="19739"/>
    <cellStyle name="styleSeriesDataForecastNA 2 2 3 2 4" xfId="19740"/>
    <cellStyle name="styleSeriesDataNA 2 2 3 2 4" xfId="19741"/>
    <cellStyle name="Total 2 6 3 3 2 4" xfId="19742"/>
    <cellStyle name="Calculation 7 2 3 2 4" xfId="19743"/>
    <cellStyle name="Calculation 2 6 2 3 2 4" xfId="19744"/>
    <cellStyle name="Calculation 3 2 2 3 2 4" xfId="19745"/>
    <cellStyle name="Calculation 4 2 2 3 2 4" xfId="19746"/>
    <cellStyle name="Calculation 5 4 3 2 4" xfId="19747"/>
    <cellStyle name="Output 9 2 3 2 4" xfId="19748"/>
    <cellStyle name="Input 10 2 3 2 4" xfId="19749"/>
    <cellStyle name="Input 2 6 2 3 2 4" xfId="19750"/>
    <cellStyle name="Input 3 2 2 3 2 4" xfId="19751"/>
    <cellStyle name="Input 4 2 2 3 2 4" xfId="19752"/>
    <cellStyle name="Input 5 2 2 3 2 4" xfId="19753"/>
    <cellStyle name="Note 11 2 3 2 4" xfId="19754"/>
    <cellStyle name="Note 2 6 2 3 2 4" xfId="19755"/>
    <cellStyle name="Note 2 2 3 2 3 2 4" xfId="19756"/>
    <cellStyle name="Note 3 4 2 3 2 4" xfId="19757"/>
    <cellStyle name="Note 3 2 4 2 3 2 4" xfId="19758"/>
    <cellStyle name="Note 4 3 2 3 2 4" xfId="19759"/>
    <cellStyle name="Note 4 2 2 2 3 2 4" xfId="19760"/>
    <cellStyle name="Note 5 5 3 2 4" xfId="19761"/>
    <cellStyle name="Note 5 2 4 3 2 4" xfId="19762"/>
    <cellStyle name="Note 6 5 3 2 4" xfId="19763"/>
    <cellStyle name="Note 6 2 4 3 2 4" xfId="19764"/>
    <cellStyle name="Note 7 5 3 2 4" xfId="19765"/>
    <cellStyle name="Note 7 2 4 3 2 4" xfId="19766"/>
    <cellStyle name="Note 8 4 3 2 4" xfId="19767"/>
    <cellStyle name="Note 9 3 3 2 4" xfId="19768"/>
    <cellStyle name="Output 7 2 3 2 4" xfId="19769"/>
    <cellStyle name="Output 2 6 2 3 2 4" xfId="19770"/>
    <cellStyle name="Output 3 2 2 3 2 4" xfId="19771"/>
    <cellStyle name="Output 4 2 2 3 2 4" xfId="19772"/>
    <cellStyle name="Output 5 5 3 2 4" xfId="19773"/>
    <cellStyle name="Total 7 2 3 2 4" xfId="19774"/>
    <cellStyle name="Total 2 7 2 3 2 4" xfId="19775"/>
    <cellStyle name="Total 3 2 2 3 2 4" xfId="19776"/>
    <cellStyle name="Total 4 2 2 3 2 4" xfId="19777"/>
    <cellStyle name="Total 5 5 3 2 4" xfId="19778"/>
    <cellStyle name="Calculation 8 2 3 2 4" xfId="19779"/>
    <cellStyle name="Input 12 2 3 2 4" xfId="19780"/>
    <cellStyle name="Input 11 2 3 2 4" xfId="19781"/>
    <cellStyle name="Calculation 9 2 3 2 4" xfId="19782"/>
    <cellStyle name="Output 8 2 3 2 4" xfId="19783"/>
    <cellStyle name="Total 8 2 3 2 4" xfId="19784"/>
    <cellStyle name="Total 9 2 3 2 4" xfId="19785"/>
    <cellStyle name="Output 5 2 2 3 2 4" xfId="19786"/>
    <cellStyle name="Output 4 3 2 3 2 4" xfId="19787"/>
    <cellStyle name="Output 3 3 2 3 2 4" xfId="19788"/>
    <cellStyle name="Output 2 7 2 3 2 4" xfId="19789"/>
    <cellStyle name="Output 11 2 3 2 4" xfId="19790"/>
    <cellStyle name="Input 5 3 2 3 2 4" xfId="19791"/>
    <cellStyle name="Input 4 3 2 3 2 4" xfId="19792"/>
    <cellStyle name="Input 3 3 2 3 2 4" xfId="19793"/>
    <cellStyle name="Input 2 7 2 3 2 4" xfId="19794"/>
    <cellStyle name="Calculation 10 2 3 2 4" xfId="19795"/>
    <cellStyle name="Input 14 2 3 2 4" xfId="19796"/>
    <cellStyle name="Input 16 2 3 2 4" xfId="19797"/>
    <cellStyle name="Input 17 2 3 2 4" xfId="19798"/>
    <cellStyle name="Input 15 2 3 2 4" xfId="19799"/>
    <cellStyle name="Input 13 2 3 2 4" xfId="19800"/>
    <cellStyle name="Calculation 5 2 2 3 2 4" xfId="19801"/>
    <cellStyle name="Calculation 4 3 2 3 2 4" xfId="19802"/>
    <cellStyle name="Calculation 3 3 2 3 2 4" xfId="19803"/>
    <cellStyle name="Calculation 2 7 2 3 2 4" xfId="19804"/>
    <cellStyle name="Calculation 11 2 3 2 4" xfId="19805"/>
    <cellStyle name="Output 10 2 3 2 4" xfId="19806"/>
    <cellStyle name="Note 12 2 3 2 4" xfId="19807"/>
    <cellStyle name="Note 2 7 2 3 2 4" xfId="19808"/>
    <cellStyle name="Note 2 2 4 2 3 2 4" xfId="19809"/>
    <cellStyle name="Note 3 5 2 3 2 4" xfId="19810"/>
    <cellStyle name="Note 3 2 5 2 3 2 4" xfId="19811"/>
    <cellStyle name="Note 4 4 2 3 2 4" xfId="19812"/>
    <cellStyle name="Note 4 2 3 2 3 2 4" xfId="19813"/>
    <cellStyle name="Note 5 3 2 3 2 4" xfId="19814"/>
    <cellStyle name="Note 5 2 2 2 3 2 4" xfId="19815"/>
    <cellStyle name="Note 6 3 2 3 2 4" xfId="19816"/>
    <cellStyle name="Note 6 2 2 2 3 2 4" xfId="19817"/>
    <cellStyle name="Note 7 3 2 3 2 4" xfId="19818"/>
    <cellStyle name="Note 7 2 2 2 3 2 4" xfId="19819"/>
    <cellStyle name="Note 8 2 2 3 2 4" xfId="19820"/>
    <cellStyle name="Note 9 2 2 3 2 4" xfId="19821"/>
    <cellStyle name="Output 12 2 3 2 4" xfId="19822"/>
    <cellStyle name="Output 2 8 2 3 2 4" xfId="19823"/>
    <cellStyle name="Output 3 4 2 3 2 4" xfId="19824"/>
    <cellStyle name="Output 4 4 2 3 2 4" xfId="19825"/>
    <cellStyle name="Output 5 3 2 3 2 4" xfId="19826"/>
    <cellStyle name="Total 10 2 3 2 4" xfId="19827"/>
    <cellStyle name="Total 11 2 3 2 4" xfId="19828"/>
    <cellStyle name="Total 2 8 2 3 2 4" xfId="19829"/>
    <cellStyle name="Total 3 3 2 3 2 4" xfId="19830"/>
    <cellStyle name="Total 4 3 2 3 2 4" xfId="19831"/>
    <cellStyle name="Total 5 2 2 3 2 4" xfId="19832"/>
    <cellStyle name="Total 12 2 3 2 4" xfId="19833"/>
    <cellStyle name="Total 2 9 2 3 2 4" xfId="19834"/>
    <cellStyle name="Total 3 4 2 3 2 4" xfId="19835"/>
    <cellStyle name="Total 4 4 2 3 2 4" xfId="19836"/>
    <cellStyle name="Total 5 3 2 3 2 4" xfId="19837"/>
    <cellStyle name="Input 18 2 3 2 4" xfId="19838"/>
    <cellStyle name="Calculation 12 2 3 2 4" xfId="19839"/>
    <cellStyle name="Input 19 2 3 2 4" xfId="19840"/>
    <cellStyle name="Note 13 2 3 2 4" xfId="19841"/>
    <cellStyle name="Output 13 2 3 2 4" xfId="19842"/>
    <cellStyle name="Total 13 2 3 2 4" xfId="19843"/>
    <cellStyle name="Calculation 2 8 2 3 2 4" xfId="19844"/>
    <cellStyle name="Calculation 3 4 2 3 2 4" xfId="19845"/>
    <cellStyle name="Calculation 4 4 2 3 2 4" xfId="19846"/>
    <cellStyle name="Calculation 5 3 2 3 2 4" xfId="19847"/>
    <cellStyle name="Input 2 8 2 3 2 4" xfId="19848"/>
    <cellStyle name="Input 3 4 2 3 2 4" xfId="19849"/>
    <cellStyle name="Input 4 4 2 3 2 4" xfId="19850"/>
    <cellStyle name="Input 5 4 2 3 2 4" xfId="19851"/>
    <cellStyle name="Note 2 8 2 3 2 4" xfId="19852"/>
    <cellStyle name="Note 2 2 5 2 3 2 4" xfId="19853"/>
    <cellStyle name="Note 3 6 2 3 2 4" xfId="19854"/>
    <cellStyle name="Note 3 2 6 2 3 2 4" xfId="19855"/>
    <cellStyle name="Note 4 5 2 3 2 4" xfId="19856"/>
    <cellStyle name="Note 4 2 4 2 3 2 4" xfId="19857"/>
    <cellStyle name="Note 5 4 2 3 2 4" xfId="19858"/>
    <cellStyle name="Note 5 2 3 2 3 2 4" xfId="19859"/>
    <cellStyle name="Note 6 4 2 3 2 4" xfId="19860"/>
    <cellStyle name="Note 6 2 3 2 3 2 4" xfId="19861"/>
    <cellStyle name="Note 7 4 2 3 2 4" xfId="19862"/>
    <cellStyle name="Note 7 2 3 2 3 2 4" xfId="19863"/>
    <cellStyle name="Note 8 3 2 3 2 4" xfId="19864"/>
    <cellStyle name="Output 2 9 2 3 2 4" xfId="19865"/>
    <cellStyle name="Output 3 5 2 3 2 4" xfId="19866"/>
    <cellStyle name="Output 4 5 2 3 2 4" xfId="19867"/>
    <cellStyle name="Output 5 4 2 3 2 4" xfId="19868"/>
    <cellStyle name="Total 2 10 2 3 2 4" xfId="19869"/>
    <cellStyle name="Total 3 5 2 3 2 4" xfId="19870"/>
    <cellStyle name="Total 4 5 2 3 2 4" xfId="19871"/>
    <cellStyle name="Total 5 4 2 3 2 4" xfId="19872"/>
    <cellStyle name="Input 20 2 3 2 4" xfId="19873"/>
    <cellStyle name="Input 21 2 3 2 4" xfId="19874"/>
    <cellStyle name="Calculation 7 6 2 4" xfId="19875"/>
    <cellStyle name="Calculation 2 6 6 2 4" xfId="19876"/>
    <cellStyle name="Calculation 3 2 6 2 4" xfId="19877"/>
    <cellStyle name="Calculation 4 2 6 2 4" xfId="19878"/>
    <cellStyle name="Calculation 5 7 2 4" xfId="19879"/>
    <cellStyle name="Output 9 5 2 4" xfId="19880"/>
    <cellStyle name="Input 10 6 2 4" xfId="19881"/>
    <cellStyle name="Input 2 6 6 2 4" xfId="19882"/>
    <cellStyle name="Input 3 2 6 2 4" xfId="19883"/>
    <cellStyle name="Input 4 2 6 2 4" xfId="19884"/>
    <cellStyle name="Input 5 2 6 2 4" xfId="19885"/>
    <cellStyle name="Note 11 5 2 4" xfId="19886"/>
    <cellStyle name="Note 2 6 5 2 4" xfId="19887"/>
    <cellStyle name="Note 2 2 3 5 2 4" xfId="19888"/>
    <cellStyle name="Note 3 4 5 2 4" xfId="19889"/>
    <cellStyle name="Note 3 2 4 5 2 4" xfId="19890"/>
    <cellStyle name="Note 4 3 5 2 4" xfId="19891"/>
    <cellStyle name="Note 4 2 2 5 2 4" xfId="19892"/>
    <cellStyle name="Note 5 8 2 4" xfId="19893"/>
    <cellStyle name="Note 5 2 7 2 4" xfId="19894"/>
    <cellStyle name="Note 6 8 2 4" xfId="19895"/>
    <cellStyle name="Note 6 2 7 2 4" xfId="19896"/>
    <cellStyle name="Note 7 8 2 4" xfId="19897"/>
    <cellStyle name="Note 7 2 7 2 4" xfId="19898"/>
    <cellStyle name="Note 8 7 2 4" xfId="19899"/>
    <cellStyle name="Note 9 6 2 4" xfId="19900"/>
    <cellStyle name="Output 7 5 2 4" xfId="19901"/>
    <cellStyle name="Output 2 6 5 2 4" xfId="19902"/>
    <cellStyle name="Output 3 2 5 2 4" xfId="19903"/>
    <cellStyle name="Output 4 2 5 2 4" xfId="19904"/>
    <cellStyle name="Output 5 8 2 4" xfId="19905"/>
    <cellStyle name="Total 7 5 2 4" xfId="19906"/>
    <cellStyle name="Total 2 7 5 2 4" xfId="19907"/>
    <cellStyle name="Total 3 2 5 2 4" xfId="19908"/>
    <cellStyle name="Total 4 2 5 2 4" xfId="19909"/>
    <cellStyle name="Total 5 8 2 4" xfId="19910"/>
    <cellStyle name="Calculation 8 6 2 4" xfId="19911"/>
    <cellStyle name="Input 12 6 2 4" xfId="19912"/>
    <cellStyle name="Input 11 6 2 4" xfId="19913"/>
    <cellStyle name="Calculation 9 6 2 4" xfId="19914"/>
    <cellStyle name="Output 8 5 2 4" xfId="19915"/>
    <cellStyle name="Total 8 5 2 4" xfId="19916"/>
    <cellStyle name="Total 9 5 2 4" xfId="19917"/>
    <cellStyle name="Output 5 2 5 2 4" xfId="19918"/>
    <cellStyle name="Output 4 3 5 2 4" xfId="19919"/>
    <cellStyle name="Output 3 3 5 2 4" xfId="19920"/>
    <cellStyle name="Output 2 7 5 2 4" xfId="19921"/>
    <cellStyle name="Output 11 5 2 4" xfId="19922"/>
    <cellStyle name="Input 5 3 6 2 4" xfId="19923"/>
    <cellStyle name="Input 4 3 6 2 4" xfId="19924"/>
    <cellStyle name="Input 3 3 6 2 4" xfId="19925"/>
    <cellStyle name="Input 2 7 6 2 4" xfId="19926"/>
    <cellStyle name="Calculation 10 6 2 4" xfId="19927"/>
    <cellStyle name="Input 14 6 2 4" xfId="19928"/>
    <cellStyle name="Input 16 6 2 4" xfId="19929"/>
    <cellStyle name="Input 17 6 2 4" xfId="19930"/>
    <cellStyle name="Input 15 6 2 4" xfId="19931"/>
    <cellStyle name="Input 13 6 2 4" xfId="19932"/>
    <cellStyle name="Calculation 5 2 6 2 4" xfId="19933"/>
    <cellStyle name="Calculation 4 3 6 2 4" xfId="19934"/>
    <cellStyle name="Calculation 3 3 6 2 4" xfId="19935"/>
    <cellStyle name="Calculation 2 7 6 2 4" xfId="19936"/>
    <cellStyle name="Calculation 11 6 2 4" xfId="19937"/>
    <cellStyle name="Output 10 5 2 4" xfId="19938"/>
    <cellStyle name="Note 12 5 2 4" xfId="19939"/>
    <cellStyle name="Note 2 7 5 2 4" xfId="19940"/>
    <cellStyle name="Note 2 2 4 5 2 4" xfId="19941"/>
    <cellStyle name="Note 3 5 5 2 4" xfId="19942"/>
    <cellStyle name="Note 3 2 5 5 2 4" xfId="19943"/>
    <cellStyle name="Note 4 4 5 2 4" xfId="19944"/>
    <cellStyle name="Note 4 2 3 5 2 4" xfId="19945"/>
    <cellStyle name="Note 5 3 5 2 4" xfId="19946"/>
    <cellStyle name="Note 5 2 2 5 2 4" xfId="19947"/>
    <cellStyle name="Note 6 3 5 2 4" xfId="19948"/>
    <cellStyle name="Note 6 2 2 5 2 4" xfId="19949"/>
    <cellStyle name="Note 7 3 5 2 4" xfId="19950"/>
    <cellStyle name="Note 7 2 2 5 2 4" xfId="19951"/>
    <cellStyle name="Note 8 2 5 2 4" xfId="19952"/>
    <cellStyle name="Note 9 2 5 2 4" xfId="19953"/>
    <cellStyle name="Output 12 5 2 4" xfId="19954"/>
    <cellStyle name="Output 2 8 5 2 4" xfId="19955"/>
    <cellStyle name="Output 3 4 5 2 4" xfId="19956"/>
    <cellStyle name="Output 4 4 5 2 4" xfId="19957"/>
    <cellStyle name="Output 5 3 5 2 4" xfId="19958"/>
    <cellStyle name="Total 10 5 2 4" xfId="19959"/>
    <cellStyle name="Total 11 5 2 4" xfId="19960"/>
    <cellStyle name="Total 2 8 5 2 4" xfId="19961"/>
    <cellStyle name="Total 3 3 5 2 4" xfId="19962"/>
    <cellStyle name="Total 4 3 5 2 4" xfId="19963"/>
    <cellStyle name="Total 5 2 5 2 4" xfId="19964"/>
    <cellStyle name="Total 12 5 2 4" xfId="19965"/>
    <cellStyle name="Total 2 9 5 2 4" xfId="19966"/>
    <cellStyle name="Total 3 4 5 2 4" xfId="19967"/>
    <cellStyle name="Total 4 4 5 2 4" xfId="19968"/>
    <cellStyle name="Total 5 3 5 2 4" xfId="19969"/>
    <cellStyle name="Input 18 6 2 4" xfId="19970"/>
    <cellStyle name="Calculation 12 6 2 4" xfId="19971"/>
    <cellStyle name="Input 19 6 2 4" xfId="19972"/>
    <cellStyle name="Note 13 6 2 4" xfId="19973"/>
    <cellStyle name="Output 13 6 2 4" xfId="19974"/>
    <cellStyle name="Total 13 6 2 4" xfId="19975"/>
    <cellStyle name="Calculation 2 8 6 2 4" xfId="19976"/>
    <cellStyle name="Calculation 3 4 6 2 4" xfId="19977"/>
    <cellStyle name="Calculation 4 4 6 2 4" xfId="19978"/>
    <cellStyle name="Calculation 5 3 6 2 4" xfId="19979"/>
    <cellStyle name="Input 2 8 6 2 4" xfId="19980"/>
    <cellStyle name="Input 3 4 6 2 4" xfId="19981"/>
    <cellStyle name="Input 4 4 6 2 4" xfId="19982"/>
    <cellStyle name="Input 5 4 6 2 4" xfId="19983"/>
    <cellStyle name="Note 2 8 6 2 4" xfId="19984"/>
    <cellStyle name="Note 2 2 5 6 2 4" xfId="19985"/>
    <cellStyle name="Note 3 6 6 2 4" xfId="19986"/>
    <cellStyle name="Note 3 2 6 6 2 4" xfId="19987"/>
    <cellStyle name="Note 4 5 6 2 4" xfId="19988"/>
    <cellStyle name="Note 4 2 4 6 2 4" xfId="19989"/>
    <cellStyle name="Note 5 4 6 2 4" xfId="19990"/>
    <cellStyle name="Note 5 2 3 6 2 4" xfId="19991"/>
    <cellStyle name="Note 6 4 6 2 4" xfId="19992"/>
    <cellStyle name="Note 6 2 3 6 2 4" xfId="19993"/>
    <cellStyle name="Note 7 4 6 2 4" xfId="19994"/>
    <cellStyle name="Note 7 2 3 6 2 4" xfId="19995"/>
    <cellStyle name="Note 8 3 6 2 4" xfId="19996"/>
    <cellStyle name="Output 2 9 6 2 4" xfId="19997"/>
    <cellStyle name="Output 3 5 6 2 4" xfId="19998"/>
    <cellStyle name="Output 4 5 6 2 4" xfId="19999"/>
    <cellStyle name="Output 5 4 6 2 4" xfId="20000"/>
    <cellStyle name="Total 2 10 6 2 4" xfId="20001"/>
    <cellStyle name="Total 3 5 6 2 4" xfId="20002"/>
    <cellStyle name="Total 4 5 6 2 4" xfId="20003"/>
    <cellStyle name="Total 5 4 6 2 4" xfId="20004"/>
    <cellStyle name="Input 20 6 2 4" xfId="20005"/>
    <cellStyle name="Input 21 6 2 4" xfId="20006"/>
    <cellStyle name="Input 10 3 2 2 4" xfId="20007"/>
    <cellStyle name="Input 2 4 4 2 2 4" xfId="20008"/>
    <cellStyle name="Input 7 4 2 2 4" xfId="20009"/>
    <cellStyle name="Note 4 2 6 4 2 4" xfId="20010"/>
    <cellStyle name="Note 3 3 3 4 2 4" xfId="20011"/>
    <cellStyle name="Note 2 5 3 4 2 4" xfId="20012"/>
    <cellStyle name="Note 2 4 2 3 4 2 4" xfId="20013"/>
    <cellStyle name="Note 2 3 2 3 4 2 4" xfId="20014"/>
    <cellStyle name="Note 2 2 2 3 4 2 4" xfId="20015"/>
    <cellStyle name="Input 6 6 2 4" xfId="20016"/>
    <cellStyle name="Input 4 7 2 4" xfId="20017"/>
    <cellStyle name="Input 2 4 5 2 4" xfId="20018"/>
    <cellStyle name="Input 2 2 4 5 2 4" xfId="20019"/>
    <cellStyle name="Input 2 2 2 5 2 4" xfId="20020"/>
    <cellStyle name="Input 2 12 2 4" xfId="20021"/>
    <cellStyle name="Input 24 2 4" xfId="20022"/>
    <cellStyle name="Note 14 2 4" xfId="20023"/>
    <cellStyle name="Note 2 11 2 4" xfId="20024"/>
    <cellStyle name="Note 2 2 8 2 4" xfId="20025"/>
    <cellStyle name="Calculation 2 9 4 2 4" xfId="20026"/>
    <cellStyle name="Calculation 2 2 5 4 2 4" xfId="20027"/>
    <cellStyle name="Calculation 2 2 2 2 4 2 4" xfId="20028"/>
    <cellStyle name="Calculation 2 2 3 2 4 2 4" xfId="20029"/>
    <cellStyle name="Calculation 2 2 4 2 4 2 4" xfId="20030"/>
    <cellStyle name="Calculation 2 3 2 4 2 4" xfId="20031"/>
    <cellStyle name="Calculation 2 4 2 4 2 4" xfId="20032"/>
    <cellStyle name="Calculation 2 5 2 4 2 4" xfId="20033"/>
    <cellStyle name="Calculation 3 5 4 2 4" xfId="20034"/>
    <cellStyle name="Note 3 2 10 2 4" xfId="20035"/>
    <cellStyle name="Note 3 2 2 5 2 4" xfId="20036"/>
    <cellStyle name="Note 4 8 2 4" xfId="20037"/>
    <cellStyle name="Output 3 8 2 2 4" xfId="20038"/>
    <cellStyle name="Calculation 2 3 5 2 4" xfId="20039"/>
    <cellStyle name="Calculation 2 2 4 5 2 4" xfId="20040"/>
    <cellStyle name="Calculation 2 2 3 5 2 4" xfId="20041"/>
    <cellStyle name="Calculation 2 2 2 5 2 4" xfId="20042"/>
    <cellStyle name="Calculation 2 2 8 2 4" xfId="20043"/>
    <cellStyle name="Calculation 13 2 4" xfId="20044"/>
    <cellStyle name="Total 2 2 2 4 2 2 4" xfId="20045"/>
    <cellStyle name="Total 2 2 4 4 2 2 4" xfId="20046"/>
    <cellStyle name="Total 14 2 4" xfId="20047"/>
    <cellStyle name="Header2 2 4 2 4" xfId="20048"/>
    <cellStyle name="Input 2 5 3 4 2 4" xfId="20049"/>
    <cellStyle name="Input 2 9 4 2 4" xfId="20050"/>
    <cellStyle name="Input 2 2 5 4 2 4" xfId="20051"/>
    <cellStyle name="Input 2 2 2 2 4 2 4" xfId="20052"/>
    <cellStyle name="Input 2 2 3 2 4 2 4" xfId="20053"/>
    <cellStyle name="Input 2 2 4 2 4 2 4" xfId="20054"/>
    <cellStyle name="Input 2 3 2 4 2 4" xfId="20055"/>
    <cellStyle name="Input 2 4 2 4 2 4" xfId="20056"/>
    <cellStyle name="Input 2 5 2 4 2 4" xfId="20057"/>
    <cellStyle name="Input 3 5 4 2 4" xfId="20058"/>
    <cellStyle name="Input 4 5 4 2 4" xfId="20059"/>
    <cellStyle name="Input 5 5 4 2 4" xfId="20060"/>
    <cellStyle name="Input 6 3 4 2 4" xfId="20061"/>
    <cellStyle name="Input 7 2 4 2 4" xfId="20062"/>
    <cellStyle name="Input 8 2 4 2 4" xfId="20063"/>
    <cellStyle name="Calculation 2 5 3 4 2 4" xfId="20064"/>
    <cellStyle name="Total 2 4 3 4 2 4" xfId="20065"/>
    <cellStyle name="Total 2 2 4 3 4 2 4" xfId="20066"/>
    <cellStyle name="Total 2 2 3 3 4 2 4" xfId="20067"/>
    <cellStyle name="Total 2 12 4 2 4" xfId="20068"/>
    <cellStyle name="Output 14 2 4" xfId="20069"/>
    <cellStyle name="Note 2 4 6 2 4" xfId="20070"/>
    <cellStyle name="Calculation 2 2 7 2 2 4" xfId="20071"/>
    <cellStyle name="Calculation 2 2 4 4 2 2 4" xfId="20072"/>
    <cellStyle name="Header2 3 2 2 4" xfId="20073"/>
    <cellStyle name="Input 2 2 7 2 2 4" xfId="20074"/>
    <cellStyle name="Input 2 3 4 2 2 4" xfId="20075"/>
    <cellStyle name="Input [yellow] 3 2 4" xfId="20076"/>
    <cellStyle name="Total 2 2 7 2 2 4" xfId="20077"/>
    <cellStyle name="Total 2 4 4 2 2 4" xfId="20078"/>
    <cellStyle name="Note 2 9 4 2 4" xfId="20079"/>
    <cellStyle name="Note 2 2 6 4 2 4" xfId="20080"/>
    <cellStyle name="Note 2 3 3 4 2 4" xfId="20081"/>
    <cellStyle name="Note 2 4 3 4 2 4" xfId="20082"/>
    <cellStyle name="Note 3 7 4 2 4" xfId="20083"/>
    <cellStyle name="Note 3 2 7 4 2 4" xfId="20084"/>
    <cellStyle name="Output 2 10 4 2 4" xfId="20085"/>
    <cellStyle name="Output 2 2 5 4 2 4" xfId="20086"/>
    <cellStyle name="Output 2 2 2 2 4 2 4" xfId="20087"/>
    <cellStyle name="Output 2 2 3 2 4 2 4" xfId="20088"/>
    <cellStyle name="Output 2 2 4 2 4 2 4" xfId="20089"/>
    <cellStyle name="Output 2 3 2 4 2 4" xfId="20090"/>
    <cellStyle name="Output 2 4 2 4 2 4" xfId="20091"/>
    <cellStyle name="Output 2 5 2 4 2 4" xfId="20092"/>
    <cellStyle name="Output 3 6 4 2 4" xfId="20093"/>
    <cellStyle name="Input 7 3 4 2 4" xfId="20094"/>
    <cellStyle name="Input 5 6 4 2 4" xfId="20095"/>
    <cellStyle name="Input 3 6 4 2 4" xfId="20096"/>
    <cellStyle name="Input 2 4 3 4 2 4" xfId="20097"/>
    <cellStyle name="Input 2 2 4 3 4 2 4" xfId="20098"/>
    <cellStyle name="Input 2 2 2 3 4 2 4" xfId="20099"/>
    <cellStyle name="Input 2 10 4 2 4" xfId="20100"/>
    <cellStyle name="Calculation 3 6 4 2 4" xfId="20101"/>
    <cellStyle name="Calculation 2 4 3 4 2 4" xfId="20102"/>
    <cellStyle name="Calculation 2 2 4 3 4 2 4" xfId="20103"/>
    <cellStyle name="Calculation 2 2 2 3 4 2 4" xfId="20104"/>
    <cellStyle name="Calculation 2 10 4 2 4" xfId="20105"/>
    <cellStyle name="StmtTtl2 2 4 2 4" xfId="20106"/>
    <cellStyle name="Total 2 11 4 2 4" xfId="20107"/>
    <cellStyle name="Total 2 2 5 4 2 4" xfId="20108"/>
    <cellStyle name="Total 2 2 2 2 4 2 4" xfId="20109"/>
    <cellStyle name="Total 2 2 3 2 4 2 4" xfId="20110"/>
    <cellStyle name="Total 2 2 4 2 4 2 4" xfId="20111"/>
    <cellStyle name="Total 2 3 2 4 2 4" xfId="20112"/>
    <cellStyle name="Total 2 4 2 4 2 4" xfId="20113"/>
    <cellStyle name="Total 2 5 2 4 2 4" xfId="20114"/>
    <cellStyle name="Total 2 6 2 4 2 4" xfId="20115"/>
    <cellStyle name="Total 3 6 4 2 4" xfId="20116"/>
    <cellStyle name="Output 2 5 3 4 2 4" xfId="20117"/>
    <cellStyle name="Input 8 5 2 4" xfId="20118"/>
    <cellStyle name="Note 3 9 2 4" xfId="20119"/>
    <cellStyle name="Note 2 3 5 2 2 4" xfId="20120"/>
    <cellStyle name="Note 2 4 5 2 2 4" xfId="20121"/>
    <cellStyle name="Note 3 2 9 2 2 4" xfId="20122"/>
    <cellStyle name="Output 2 12 2 2 4" xfId="20123"/>
    <cellStyle name="Output 2 2 7 2 2 4" xfId="20124"/>
    <cellStyle name="Output 2 2 2 4 2 2 4" xfId="20125"/>
    <cellStyle name="Output 2 3 4 2 2 4" xfId="20126"/>
    <cellStyle name="Output 2 4 4 2 2 4" xfId="20127"/>
    <cellStyle name="Calculation 2 4 4 2 2 4" xfId="20128"/>
    <cellStyle name="Input 2 2 2 4 2 2 4" xfId="20129"/>
    <cellStyle name="Output 2 3 3 4 2 4" xfId="20130"/>
    <cellStyle name="Output 2 2 3 3 4 2 4" xfId="20131"/>
    <cellStyle name="Output 2 2 6 4 2 4" xfId="20132"/>
    <cellStyle name="Note 4 7 4 2 4" xfId="20133"/>
    <cellStyle name="Note 3 2 2 3 4 2 4" xfId="20134"/>
    <cellStyle name="Note 3 8 4 2 4" xfId="20135"/>
    <cellStyle name="Note 2 4 4 4 2 4" xfId="20136"/>
    <cellStyle name="Note 2 2 7 4 2 4" xfId="20137"/>
    <cellStyle name="Input 7 5 2 4" xfId="20138"/>
    <cellStyle name="Input 3 7 2 4" xfId="20139"/>
    <cellStyle name="Input 2 2 3 5 2 4" xfId="20140"/>
    <cellStyle name="Note 3 2 2 2 4 2 4" xfId="20141"/>
    <cellStyle name="Note 4 6 4 2 4" xfId="20142"/>
    <cellStyle name="Calculation 2 12 2 4" xfId="20143"/>
    <cellStyle name="Calculation 2 4 5 2 4" xfId="20144"/>
    <cellStyle name="Total 2 13 2 2 4" xfId="20145"/>
    <cellStyle name="Total 3 8 2 2 4" xfId="20146"/>
    <cellStyle name="Total 2 3 4 2 2 4" xfId="20147"/>
    <cellStyle name="Total 3 7 4 2 4" xfId="20148"/>
    <cellStyle name="Total 2 5 3 4 2 4" xfId="20149"/>
    <cellStyle name="Total 2 3 3 4 2 4" xfId="20150"/>
    <cellStyle name="Total 2 2 6 4 2 4" xfId="20151"/>
    <cellStyle name="Total 2 2 2 3 4 2 4" xfId="20152"/>
    <cellStyle name="StmtTtl2 3 4 2 4" xfId="20153"/>
    <cellStyle name="Calculation 2 11 2 2 4" xfId="20154"/>
    <cellStyle name="Input 23 2 4" xfId="20155"/>
    <cellStyle name="Input 2 11 2 2 4" xfId="20156"/>
    <cellStyle name="Input 2 2 4 4 2 2 4" xfId="20157"/>
    <cellStyle name="Input 8 4 2 2 4" xfId="20158"/>
    <cellStyle name="Output 3 7 4 2 4" xfId="20159"/>
    <cellStyle name="Input 22 2 4" xfId="20160"/>
    <cellStyle name="Header2 4 2 2 4" xfId="20161"/>
    <cellStyle name="StmtTtl2 4 2 2 4" xfId="20162"/>
    <cellStyle name="Total 2 2 3 4 2 2 4" xfId="20163"/>
    <cellStyle name="Total 2 5 4 2 2 4" xfId="20164"/>
    <cellStyle name="Note 2 5 2 4 2 4" xfId="20165"/>
    <cellStyle name="Note 2 2 2 2 4 2 4" xfId="20166"/>
    <cellStyle name="Note 2 3 2 2 4 2 4" xfId="20167"/>
    <cellStyle name="Note 2 4 2 2 4 2 4" xfId="20168"/>
    <cellStyle name="Note 3 3 2 4 2 4" xfId="20169"/>
    <cellStyle name="Input 8 3 4 2 4" xfId="20170"/>
    <cellStyle name="Input 6 4 4 2 4" xfId="20171"/>
    <cellStyle name="Input 4 6 4 2 4" xfId="20172"/>
    <cellStyle name="Input 2 3 3 4 2 4" xfId="20173"/>
    <cellStyle name="Input 2 2 3 3 4 2 4" xfId="20174"/>
    <cellStyle name="Input 2 2 6 4 2 4" xfId="20175"/>
    <cellStyle name="Calculation 2 3 3 4 2 4" xfId="20176"/>
    <cellStyle name="Calculation 2 2 3 3 4 2 4" xfId="20177"/>
    <cellStyle name="Calculation 2 2 6 4 2 4" xfId="20178"/>
    <cellStyle name="Calculation 3 8 2 4" xfId="20179"/>
    <cellStyle name="Note 3 2 2 4 2 2 4" xfId="20180"/>
    <cellStyle name="Output 2 2 4 4 2 2 4" xfId="20181"/>
    <cellStyle name="Output 2 2 3 4 2 2 4" xfId="20182"/>
    <cellStyle name="Input 2 2 3 4 2 2 4" xfId="20183"/>
    <cellStyle name="Output 2 4 3 4 2 4" xfId="20184"/>
    <cellStyle name="Output 2 2 4 3 4 2 4" xfId="20185"/>
    <cellStyle name="Output 2 2 2 3 4 2 4" xfId="20186"/>
    <cellStyle name="Output 2 11 4 2 4" xfId="20187"/>
    <cellStyle name="Note 3 2 8 4 2 4" xfId="20188"/>
    <cellStyle name="Note 2 3 4 4 2 4" xfId="20189"/>
    <cellStyle name="Note 2 10 4 2 4" xfId="20190"/>
    <cellStyle name="Input 5 8 2 4" xfId="20191"/>
    <cellStyle name="Input 2 3 5 2 4" xfId="20192"/>
    <cellStyle name="Input 2 2 8 2 4" xfId="20193"/>
    <cellStyle name="Note 4 2 5 4 2 4" xfId="20194"/>
    <cellStyle name="Style 21 5 2 4" xfId="20195"/>
    <cellStyle name="Style 21 2 5 2 4" xfId="20196"/>
    <cellStyle name="Style 22 5 2 4" xfId="20197"/>
    <cellStyle name="Style 22 2 5 2 4" xfId="20198"/>
    <cellStyle name="Style 23 5 2 4" xfId="20199"/>
    <cellStyle name="Style 23 2 5 2 4" xfId="20200"/>
    <cellStyle name="Style 24 5 2 4" xfId="20201"/>
    <cellStyle name="Style 24 2 5 2 4" xfId="20202"/>
    <cellStyle name="Style 25 5 2 4" xfId="20203"/>
    <cellStyle name="Style 25 2 5 2 4" xfId="20204"/>
    <cellStyle name="Style 26 5 2 4" xfId="20205"/>
    <cellStyle name="Style 26 2 5 2 4" xfId="20206"/>
    <cellStyle name="styleColumnTitles 5 2 4" xfId="20207"/>
    <cellStyle name="styleColumnTitles 2 5 2 4" xfId="20208"/>
    <cellStyle name="styleDateRange 5 2 4" xfId="20209"/>
    <cellStyle name="styleDateRange 2 5 2 4" xfId="20210"/>
    <cellStyle name="styleSeriesAttributes 5 2 4" xfId="20211"/>
    <cellStyle name="styleSeriesAttributes 2 5 2 4" xfId="20212"/>
    <cellStyle name="styleSeriesData 5 2 4" xfId="20213"/>
    <cellStyle name="styleSeriesData 2 5 2 4" xfId="20214"/>
    <cellStyle name="styleSeriesDataForecast 5 2 4" xfId="20215"/>
    <cellStyle name="styleSeriesDataForecast 2 5 2 4" xfId="20216"/>
    <cellStyle name="styleSeriesDataForecastNA 5 2 4" xfId="20217"/>
    <cellStyle name="styleSeriesDataForecastNA 2 5 2 4" xfId="20218"/>
    <cellStyle name="styleSeriesDataNA 5 2 4" xfId="20219"/>
    <cellStyle name="styleSeriesDataNA 2 5 2 4" xfId="20220"/>
    <cellStyle name="Style 21 2 2 4 2 4" xfId="20221"/>
    <cellStyle name="Style 22 2 2 4 2 4" xfId="20222"/>
    <cellStyle name="Style 23 2 2 4 2 4" xfId="20223"/>
    <cellStyle name="Style 24 2 2 4 2 4" xfId="20224"/>
    <cellStyle name="Style 25 2 2 4 2 4" xfId="20225"/>
    <cellStyle name="Style 26 2 2 4 2 4" xfId="20226"/>
    <cellStyle name="styleColumnTitles 2 2 4 2 4" xfId="20227"/>
    <cellStyle name="styleDateRange 2 2 4 2 4" xfId="20228"/>
    <cellStyle name="styleSeriesAttributes 2 2 4 2 4" xfId="20229"/>
    <cellStyle name="styleSeriesData 2 2 4 2 4" xfId="20230"/>
    <cellStyle name="styleSeriesDataForecast 2 2 4 2 4" xfId="20231"/>
    <cellStyle name="styleSeriesDataForecastNA 2 2 4 2 4" xfId="20232"/>
    <cellStyle name="styleSeriesDataNA 2 2 4 2 4" xfId="20233"/>
    <cellStyle name="Calculation 3 7 2 2 4" xfId="20234"/>
    <cellStyle name="Calculation 2 3 4 2 2 4" xfId="20235"/>
    <cellStyle name="Calculation 2 2 3 4 2 2 4" xfId="20236"/>
    <cellStyle name="Calculation 2 2 2 4 2 2 4" xfId="20237"/>
    <cellStyle name="Note 2 3 6 2 4" xfId="20238"/>
    <cellStyle name="Total 2 6 3 4 2 4" xfId="20239"/>
    <cellStyle name="Calculation 7 2 4 2 4" xfId="20240"/>
    <cellStyle name="Calculation 2 6 2 4 2 4" xfId="20241"/>
    <cellStyle name="Calculation 3 2 2 4 2 4" xfId="20242"/>
    <cellStyle name="Calculation 4 2 2 4 2 4" xfId="20243"/>
    <cellStyle name="Calculation 5 4 4 2 4" xfId="20244"/>
    <cellStyle name="Output 9 2 4 2 4" xfId="20245"/>
    <cellStyle name="Input 10 2 4 2 4" xfId="20246"/>
    <cellStyle name="Input 2 6 2 4 2 4" xfId="20247"/>
    <cellStyle name="Input 3 2 2 4 2 4" xfId="20248"/>
    <cellStyle name="Input 4 2 2 4 2 4" xfId="20249"/>
    <cellStyle name="Input 5 2 2 4 2 4" xfId="20250"/>
    <cellStyle name="Note 11 2 4 2 4" xfId="20251"/>
    <cellStyle name="Note 2 6 2 4 2 4" xfId="20252"/>
    <cellStyle name="Note 2 2 3 2 4 2 4" xfId="20253"/>
    <cellStyle name="Note 3 4 2 4 2 4" xfId="20254"/>
    <cellStyle name="Note 3 2 4 2 4 2 4" xfId="20255"/>
    <cellStyle name="Note 4 3 2 4 2 4" xfId="20256"/>
    <cellStyle name="Note 4 2 2 2 4 2 4" xfId="20257"/>
    <cellStyle name="Note 5 5 4 2 4" xfId="20258"/>
    <cellStyle name="Note 5 2 4 4 2 4" xfId="20259"/>
    <cellStyle name="Note 6 5 4 2 4" xfId="20260"/>
    <cellStyle name="Note 6 2 4 4 2 4" xfId="20261"/>
    <cellStyle name="Note 7 5 4 2 4" xfId="20262"/>
    <cellStyle name="Note 7 2 4 4 2 4" xfId="20263"/>
    <cellStyle name="Note 8 4 4 2 4" xfId="20264"/>
    <cellStyle name="Note 9 3 4 2 4" xfId="20265"/>
    <cellStyle name="Output 7 2 4 2 4" xfId="20266"/>
    <cellStyle name="Output 2 6 2 4 2 4" xfId="20267"/>
    <cellStyle name="Output 3 2 2 4 2 4" xfId="20268"/>
    <cellStyle name="Output 4 2 2 4 2 4" xfId="20269"/>
    <cellStyle name="Output 5 5 4 2 4" xfId="20270"/>
    <cellStyle name="Input 5 7 2 2 4" xfId="20271"/>
    <cellStyle name="Input 6 5 2 2 4" xfId="20272"/>
    <cellStyle name="Total 7 2 4 2 4" xfId="20273"/>
    <cellStyle name="Total 2 7 2 4 2 4" xfId="20274"/>
    <cellStyle name="Total 3 2 2 4 2 4" xfId="20275"/>
    <cellStyle name="Total 4 2 2 4 2 4" xfId="20276"/>
    <cellStyle name="Total 5 5 4 2 4" xfId="20277"/>
    <cellStyle name="Calculation 8 2 4 2 4" xfId="20278"/>
    <cellStyle name="Input 12 2 4 2 4" xfId="20279"/>
    <cellStyle name="Input 11 2 4 2 4" xfId="20280"/>
    <cellStyle name="Calculation 9 2 4 2 4" xfId="20281"/>
    <cellStyle name="Output 8 2 4 2 4" xfId="20282"/>
    <cellStyle name="Total 8 2 4 2 4" xfId="20283"/>
    <cellStyle name="Total 9 2 4 2 4" xfId="20284"/>
    <cellStyle name="Output 5 2 2 4 2 4" xfId="20285"/>
    <cellStyle name="Output 4 3 2 4 2 4" xfId="20286"/>
    <cellStyle name="Output 3 3 2 4 2 4" xfId="20287"/>
    <cellStyle name="Output 2 7 2 4 2 4" xfId="20288"/>
    <cellStyle name="Output 11 2 4 2 4" xfId="20289"/>
    <cellStyle name="Input 5 3 2 4 2 4" xfId="20290"/>
    <cellStyle name="Input 4 3 2 4 2 4" xfId="20291"/>
    <cellStyle name="Input 3 3 2 4 2 4" xfId="20292"/>
    <cellStyle name="Input 2 7 2 4 2 4" xfId="20293"/>
    <cellStyle name="Calculation 10 2 4 2 4" xfId="20294"/>
    <cellStyle name="Input 14 2 4 2 4" xfId="20295"/>
    <cellStyle name="Input 16 2 4 2 4" xfId="20296"/>
    <cellStyle name="Input 17 2 4 2 4" xfId="20297"/>
    <cellStyle name="Input 15 2 4 2 4" xfId="20298"/>
    <cellStyle name="Input 13 2 4 2 4" xfId="20299"/>
    <cellStyle name="Calculation 5 2 2 4 2 4" xfId="20300"/>
    <cellStyle name="Calculation 4 3 2 4 2 4" xfId="20301"/>
    <cellStyle name="Calculation 3 3 2 4 2 4" xfId="20302"/>
    <cellStyle name="Calculation 2 7 2 4 2 4" xfId="20303"/>
    <cellStyle name="Calculation 11 2 4 2 4" xfId="20304"/>
    <cellStyle name="Output 10 2 4 2 4" xfId="20305"/>
    <cellStyle name="Note 12 2 4 2 4" xfId="20306"/>
    <cellStyle name="Note 2 7 2 4 2 4" xfId="20307"/>
    <cellStyle name="Note 2 2 4 2 4 2 4" xfId="20308"/>
    <cellStyle name="Note 3 5 2 4 2 4" xfId="20309"/>
    <cellStyle name="Note 3 2 5 2 4 2 4" xfId="20310"/>
    <cellStyle name="Note 4 4 2 4 2 4" xfId="20311"/>
    <cellStyle name="Note 4 2 3 2 4 2 4" xfId="20312"/>
    <cellStyle name="Note 5 3 2 4 2 4" xfId="20313"/>
    <cellStyle name="Note 5 2 2 2 4 2 4" xfId="20314"/>
    <cellStyle name="Note 6 3 2 4 2 4" xfId="20315"/>
    <cellStyle name="Note 6 2 2 2 4 2 4" xfId="20316"/>
    <cellStyle name="Note 7 3 2 4 2 4" xfId="20317"/>
    <cellStyle name="Note 7 2 2 2 4 2 4" xfId="20318"/>
    <cellStyle name="Note 8 2 2 4 2 4" xfId="20319"/>
    <cellStyle name="Note 9 2 2 4 2 4" xfId="20320"/>
    <cellStyle name="Output 12 2 4 2 4" xfId="20321"/>
    <cellStyle name="Output 2 8 2 4 2 4" xfId="20322"/>
    <cellStyle name="Output 3 4 2 4 2 4" xfId="20323"/>
    <cellStyle name="Output 4 4 2 4 2 4" xfId="20324"/>
    <cellStyle name="Output 5 3 2 4 2 4" xfId="20325"/>
    <cellStyle name="Total 10 2 4 2 4" xfId="20326"/>
    <cellStyle name="Total 11 2 4 2 4" xfId="20327"/>
    <cellStyle name="Total 2 8 2 4 2 4" xfId="20328"/>
    <cellStyle name="Total 3 3 2 4 2 4" xfId="20329"/>
    <cellStyle name="Total 4 3 2 4 2 4" xfId="20330"/>
    <cellStyle name="Total 5 2 2 4 2 4" xfId="20331"/>
    <cellStyle name="Total 12 2 4 2 4" xfId="20332"/>
    <cellStyle name="Total 2 9 2 4 2 4" xfId="20333"/>
    <cellStyle name="Total 3 4 2 4 2 4" xfId="20334"/>
    <cellStyle name="Total 4 4 2 4 2 4" xfId="20335"/>
    <cellStyle name="Total 5 3 2 4 2 4" xfId="20336"/>
    <cellStyle name="Input 18 2 4 2 4" xfId="20337"/>
    <cellStyle name="Calculation 12 2 4 2 4" xfId="20338"/>
    <cellStyle name="Input 19 2 4 2 4" xfId="20339"/>
    <cellStyle name="Note 13 2 4 2 4" xfId="20340"/>
    <cellStyle name="Output 13 2 4 2 4" xfId="20341"/>
    <cellStyle name="Total 13 2 4 2 4" xfId="20342"/>
    <cellStyle name="Calculation 2 8 2 4 2 4" xfId="20343"/>
    <cellStyle name="Calculation 3 4 2 4 2 4" xfId="20344"/>
    <cellStyle name="Calculation 4 4 2 4 2 4" xfId="20345"/>
    <cellStyle name="Calculation 5 3 2 4 2 4" xfId="20346"/>
    <cellStyle name="Input 2 8 2 4 2 4" xfId="20347"/>
    <cellStyle name="Input 3 4 2 4 2 4" xfId="20348"/>
    <cellStyle name="Input 4 4 2 4 2 4" xfId="20349"/>
    <cellStyle name="Input 5 4 2 4 2 4" xfId="20350"/>
    <cellStyle name="Note 2 8 2 4 2 4" xfId="20351"/>
    <cellStyle name="Note 2 2 5 2 4 2 4" xfId="20352"/>
    <cellStyle name="Note 3 6 2 4 2 4" xfId="20353"/>
    <cellStyle name="Note 3 2 6 2 4 2 4" xfId="20354"/>
    <cellStyle name="Note 4 5 2 4 2 4" xfId="20355"/>
    <cellStyle name="Note 4 2 4 2 4 2 4" xfId="20356"/>
    <cellStyle name="Note 5 4 2 4 2 4" xfId="20357"/>
    <cellStyle name="Note 5 2 3 2 4 2 4" xfId="20358"/>
    <cellStyle name="Note 6 4 2 4 2 4" xfId="20359"/>
    <cellStyle name="Note 6 2 3 2 4 2 4" xfId="20360"/>
    <cellStyle name="Note 7 4 2 4 2 4" xfId="20361"/>
    <cellStyle name="Note 7 2 3 2 4 2 4" xfId="20362"/>
    <cellStyle name="Note 8 3 2 4 2 4" xfId="20363"/>
    <cellStyle name="Output 2 9 2 4 2 4" xfId="20364"/>
    <cellStyle name="Output 3 5 2 4 2 4" xfId="20365"/>
    <cellStyle name="Output 4 5 2 4 2 4" xfId="20366"/>
    <cellStyle name="Output 5 4 2 4 2 4" xfId="20367"/>
    <cellStyle name="Total 2 10 2 4 2 4" xfId="20368"/>
    <cellStyle name="Total 3 5 2 4 2 4" xfId="20369"/>
    <cellStyle name="Total 4 5 2 4 2 4" xfId="20370"/>
    <cellStyle name="Total 5 4 2 4 2 4" xfId="20371"/>
    <cellStyle name="Input 20 2 4 2 4" xfId="20372"/>
    <cellStyle name="Input 21 2 4 2 4" xfId="20373"/>
    <cellStyle name="Calculation 2 5 4 3 4" xfId="20374"/>
    <cellStyle name="Input 2 5 4 3 4" xfId="20375"/>
    <cellStyle name="Note 2 2 2 4 3 4" xfId="20376"/>
    <cellStyle name="Note 2 3 2 4 3 4" xfId="20377"/>
    <cellStyle name="Note 2 4 2 4 3 4" xfId="20378"/>
    <cellStyle name="Note 2 5 4 3 4" xfId="20379"/>
    <cellStyle name="Note 3 3 4 3 4" xfId="20380"/>
    <cellStyle name="Output 2 5 4 3 4" xfId="20381"/>
    <cellStyle name="Total 2 6 4 3 4" xfId="20382"/>
    <cellStyle name="Normal 366" xfId="20383"/>
    <cellStyle name="Normal 369" xfId="20384"/>
    <cellStyle name="Comma 30" xfId="20385"/>
    <cellStyle name="Normal 2 2 6" xfId="20386"/>
    <cellStyle name="Normal 3 4 9" xfId="20387"/>
    <cellStyle name="20% - Accent1 16" xfId="20388"/>
    <cellStyle name="40% - Accent1 16" xfId="20389"/>
    <cellStyle name="20% - Accent2 16" xfId="20390"/>
    <cellStyle name="40% - Accent2 14" xfId="20391"/>
    <cellStyle name="20% - Accent3 16" xfId="20392"/>
    <cellStyle name="40% - Accent3 16" xfId="20393"/>
    <cellStyle name="20% - Accent4 16" xfId="20394"/>
    <cellStyle name="40% - Accent4 16" xfId="20395"/>
    <cellStyle name="20% - Accent5 14" xfId="20396"/>
    <cellStyle name="40% - Accent5 14" xfId="20397"/>
    <cellStyle name="20% - Accent6 14" xfId="20398"/>
    <cellStyle name="40% - Accent6 16" xfId="20399"/>
    <cellStyle name="Normal 367" xfId="20400"/>
    <cellStyle name="Normal 13 7" xfId="20401"/>
    <cellStyle name="Comma 6 15" xfId="20402"/>
    <cellStyle name="Note 2 17" xfId="20403"/>
    <cellStyle name="Comma 2 10" xfId="20404"/>
    <cellStyle name="Percent 2 7" xfId="20405"/>
    <cellStyle name="Normal 2 2 5" xfId="20406"/>
    <cellStyle name="Normal 2 8 3" xfId="20407"/>
    <cellStyle name="Comma 2 2 7" xfId="20408"/>
    <cellStyle name="Currency 2 8" xfId="20409"/>
    <cellStyle name="Currency 3 6" xfId="20410"/>
    <cellStyle name="Currency 4 8" xfId="20411"/>
    <cellStyle name="Currency 5 5" xfId="20412"/>
    <cellStyle name="Percent 3 8" xfId="20413"/>
    <cellStyle name="Percent 4 8" xfId="20414"/>
    <cellStyle name="Normal 14 10" xfId="20415"/>
    <cellStyle name="Comma 7 7" xfId="20416"/>
    <cellStyle name="Note 3 13" xfId="20417"/>
    <cellStyle name="20% - Accent1 2 8" xfId="20418"/>
    <cellStyle name="40% - Accent1 2 8" xfId="20419"/>
    <cellStyle name="20% - Accent2 2 8" xfId="20420"/>
    <cellStyle name="40% - Accent2 2 8" xfId="20421"/>
    <cellStyle name="20% - Accent3 2 8" xfId="20422"/>
    <cellStyle name="40% - Accent3 2 8" xfId="20423"/>
    <cellStyle name="20% - Accent4 2 8" xfId="20424"/>
    <cellStyle name="40% - Accent4 2 8" xfId="20425"/>
    <cellStyle name="20% - Accent5 2 8" xfId="20426"/>
    <cellStyle name="40% - Accent5 2 8" xfId="20427"/>
    <cellStyle name="20% - Accent6 2 8" xfId="20428"/>
    <cellStyle name="40% - Accent6 2 8" xfId="20429"/>
    <cellStyle name="Normal 3 4 2 3" xfId="20430"/>
    <cellStyle name="Output 4 4 2 2 4 2" xfId="20431"/>
    <cellStyle name="20% - Accent1 4 7" xfId="20432"/>
    <cellStyle name="20% - Accent2 4 7" xfId="20433"/>
    <cellStyle name="20% - Accent3 4 7" xfId="20434"/>
    <cellStyle name="20% - Accent4 4 7" xfId="20435"/>
    <cellStyle name="20% - Accent5 4 7" xfId="20436"/>
    <cellStyle name="20% - Accent6 4 7" xfId="20437"/>
    <cellStyle name="40% - Accent1 4 7" xfId="20438"/>
    <cellStyle name="40% - Accent2 4 7" xfId="20439"/>
    <cellStyle name="40% - Accent3 4 7" xfId="20440"/>
    <cellStyle name="40% - Accent4 4 7" xfId="20441"/>
    <cellStyle name="40% - Accent5 4 7" xfId="20442"/>
    <cellStyle name="40% - Accent6 4 7" xfId="20443"/>
    <cellStyle name="Calculation 2 14" xfId="20444"/>
    <cellStyle name="Calculation 2 2 10" xfId="20445"/>
    <cellStyle name="Calculation 2 2 2 7" xfId="20446"/>
    <cellStyle name="Calculation 2 2 3 7" xfId="20447"/>
    <cellStyle name="Calculation 2 2 4 7" xfId="20448"/>
    <cellStyle name="Calculation 2 3 7" xfId="20449"/>
    <cellStyle name="Calculation 2 4 7" xfId="20450"/>
    <cellStyle name="Calculation 3 10" xfId="20451"/>
    <cellStyle name="Note 9 2 2 2 4 2" xfId="20452"/>
    <cellStyle name="Input [yellow] 5" xfId="20453"/>
    <cellStyle name="Input 2 14" xfId="20454"/>
    <cellStyle name="Input 2 2 10" xfId="20455"/>
    <cellStyle name="Input 2 2 2 7" xfId="20456"/>
    <cellStyle name="Input 2 2 3 7" xfId="20457"/>
    <cellStyle name="Input 2 2 4 7" xfId="20458"/>
    <cellStyle name="Input 2 3 7" xfId="20459"/>
    <cellStyle name="Input 2 4 7" xfId="20460"/>
    <cellStyle name="Input 3 9" xfId="20461"/>
    <cellStyle name="Input 4 9" xfId="20462"/>
    <cellStyle name="Input 5 10" xfId="20463"/>
    <cellStyle name="Input 6 8" xfId="20464"/>
    <cellStyle name="Input 7 7" xfId="20465"/>
    <cellStyle name="Input 8 7" xfId="20466"/>
    <cellStyle name="Normal 10 3 6" xfId="20467"/>
    <cellStyle name="Normal 11 3 3 6" xfId="20468"/>
    <cellStyle name="Normal 18 3 3 6" xfId="20469"/>
    <cellStyle name="Normal 182 3 6" xfId="20470"/>
    <cellStyle name="Normal 183 3 6" xfId="20471"/>
    <cellStyle name="Normal 184 3 6" xfId="20472"/>
    <cellStyle name="Normal 185 2 3 6" xfId="20473"/>
    <cellStyle name="Normal 199 3 6" xfId="20474"/>
    <cellStyle name="Output 5 3 2 2 4 2" xfId="20475"/>
    <cellStyle name="Total 10 2 2 4 2" xfId="20476"/>
    <cellStyle name="Total 5 3 2 2 4 2" xfId="20477"/>
    <cellStyle name="Normal 20 3 3 6" xfId="20478"/>
    <cellStyle name="Normal 221 2 6" xfId="20479"/>
    <cellStyle name="Normal 222 2 6" xfId="20480"/>
    <cellStyle name="Normal 264 6" xfId="20481"/>
    <cellStyle name="Input 3 3 5 4 2" xfId="20482"/>
    <cellStyle name="Normal 3 3 2 3 6" xfId="20483"/>
    <cellStyle name="Input 18 2 2 4 2" xfId="20484"/>
    <cellStyle name="Normal 4 2 2 2 3 6" xfId="20485"/>
    <cellStyle name="Normal 4 2 2 4 6" xfId="20486"/>
    <cellStyle name="Normal 4 2 3 3 6" xfId="20487"/>
    <cellStyle name="Normal 4 2 5 6" xfId="20488"/>
    <cellStyle name="Normal 4 3 2 3 6" xfId="20489"/>
    <cellStyle name="Normal 4 3 5 6" xfId="20490"/>
    <cellStyle name="Normal 4 3 6 6" xfId="20491"/>
    <cellStyle name="Normal 4 4 2 3 6" xfId="20492"/>
    <cellStyle name="Normal 4 4 4 6" xfId="20493"/>
    <cellStyle name="Normal 4 7 6" xfId="20494"/>
    <cellStyle name="Normal 49 3 3 6" xfId="20495"/>
    <cellStyle name="Calculation 12 2 2 4 2" xfId="20496"/>
    <cellStyle name="Normal 5 2 3 6" xfId="20497"/>
    <cellStyle name="Normal 5 4 6" xfId="20498"/>
    <cellStyle name="Note 13 2 2 4 2" xfId="20499"/>
    <cellStyle name="Normal 6 2 3 6" xfId="20500"/>
    <cellStyle name="Normal 6 4 6" xfId="20501"/>
    <cellStyle name="Total 13 2 2 4 2" xfId="20502"/>
    <cellStyle name="Normal 7 2 3 6" xfId="20503"/>
    <cellStyle name="Normal 7 4 6" xfId="20504"/>
    <cellStyle name="Calculation 3 4 2 2 4 2" xfId="20505"/>
    <cellStyle name="Normal 8 2 3 6" xfId="20506"/>
    <cellStyle name="Normal 8 4 6" xfId="20507"/>
    <cellStyle name="Calculation 5 3 2 2 4 2" xfId="20508"/>
    <cellStyle name="Input 3 4 2 2 4 2" xfId="20509"/>
    <cellStyle name="Normal 9 3 6" xfId="20510"/>
    <cellStyle name="Note 2 15 2" xfId="20511"/>
    <cellStyle name="Note 2 2 11" xfId="20512"/>
    <cellStyle name="Note 2 3 8" xfId="20513"/>
    <cellStyle name="Note 2 4 8" xfId="20514"/>
    <cellStyle name="Note 3 11 2" xfId="20515"/>
    <cellStyle name="Note 3 2 13" xfId="20516"/>
    <cellStyle name="Note 3 2 2 8" xfId="20517"/>
    <cellStyle name="Note 4 11" xfId="20518"/>
    <cellStyle name="Output 2 15" xfId="20519"/>
    <cellStyle name="Output 2 2 10" xfId="20520"/>
    <cellStyle name="Output 2 2 2 7" xfId="20521"/>
    <cellStyle name="Output 2 2 3 7" xfId="20522"/>
    <cellStyle name="Output 2 2 4 7" xfId="20523"/>
    <cellStyle name="Output 2 3 7" xfId="20524"/>
    <cellStyle name="Output 2 4 7" xfId="20525"/>
    <cellStyle name="Output 3 11" xfId="20526"/>
    <cellStyle name="Note 4 5 2 2 4 2" xfId="20527"/>
    <cellStyle name="Note 5 4 2 2 4 2" xfId="20528"/>
    <cellStyle name="Note 6 4 2 2 4 2" xfId="20529"/>
    <cellStyle name="Note 7 4 2 2 4 2" xfId="20530"/>
    <cellStyle name="Note 8 3 2 2 4 2" xfId="20531"/>
    <cellStyle name="Output 3 5 2 2 4 2" xfId="20532"/>
    <cellStyle name="StmtTtl2 7" xfId="20533"/>
    <cellStyle name="Total 2 16" xfId="20534"/>
    <cellStyle name="Total 2 2 10" xfId="20535"/>
    <cellStyle name="Total 2 2 2 7" xfId="20536"/>
    <cellStyle name="Total 2 2 3 7" xfId="20537"/>
    <cellStyle name="Total 2 2 4 7" xfId="20538"/>
    <cellStyle name="Total 2 3 7" xfId="20539"/>
    <cellStyle name="Total 2 4 7" xfId="20540"/>
    <cellStyle name="Total 2 5 7" xfId="20541"/>
    <cellStyle name="Total 3 11" xfId="20542"/>
    <cellStyle name="Comma 19 6" xfId="20543"/>
    <cellStyle name="Calculation 2 5 6" xfId="20544"/>
    <cellStyle name="Comma 6 10 6" xfId="20545"/>
    <cellStyle name="Comma 8 6 6" xfId="20546"/>
    <cellStyle name="Input [yellow] 2 4" xfId="20547"/>
    <cellStyle name="Input 2 5 6" xfId="20548"/>
    <cellStyle name="Total 11 2 2 4 2" xfId="20549"/>
    <cellStyle name="Note 2 5 3 3 4 2" xfId="20550"/>
    <cellStyle name="Normal 51 3 6" xfId="20551"/>
    <cellStyle name="Normal 52 3 6" xfId="20552"/>
    <cellStyle name="Note 2 2 2 7" xfId="20553"/>
    <cellStyle name="Note 2 3 2 6" xfId="20554"/>
    <cellStyle name="Note 2 4 2 6" xfId="20555"/>
    <cellStyle name="Note 2 5 7" xfId="20556"/>
    <cellStyle name="Note 3 3 7" xfId="20557"/>
    <cellStyle name="Note 4 2 9" xfId="20558"/>
    <cellStyle name="Output 2 5 7" xfId="20559"/>
    <cellStyle name="Total 2 6 7" xfId="20560"/>
    <cellStyle name="Note 7 5 2 4 2" xfId="20561"/>
    <cellStyle name="Note 7 2 4 2 4 2" xfId="20562"/>
    <cellStyle name="Note 3 6 2 2 4 2" xfId="20563"/>
    <cellStyle name="Input 4 4 2 2 4 2" xfId="20564"/>
    <cellStyle name="Normal 345 8" xfId="20565"/>
    <cellStyle name="Comma 20 6" xfId="20566"/>
    <cellStyle name="20% - Accent1 6 8" xfId="20567"/>
    <cellStyle name="20% - Accent2 6 8" xfId="20568"/>
    <cellStyle name="20% - Accent3 6 8" xfId="20569"/>
    <cellStyle name="20% - Accent4 6 8" xfId="20570"/>
    <cellStyle name="20% - Accent5 6 8" xfId="20571"/>
    <cellStyle name="20% - Accent6 6 8" xfId="20572"/>
    <cellStyle name="40% - Accent1 6 8" xfId="20573"/>
    <cellStyle name="40% - Accent2 6 8" xfId="20574"/>
    <cellStyle name="40% - Accent3 6 8" xfId="20575"/>
    <cellStyle name="40% - Accent4 6 8" xfId="20576"/>
    <cellStyle name="40% - Accent5 6 8" xfId="20577"/>
    <cellStyle name="40% - Accent6 6 8" xfId="20578"/>
    <cellStyle name="Calculation 7 11" xfId="20579"/>
    <cellStyle name="Calculation 2 6 11" xfId="20580"/>
    <cellStyle name="Calculation 3 2 11" xfId="20581"/>
    <cellStyle name="Calculation 4 2 11" xfId="20582"/>
    <cellStyle name="Calculation 5 12" xfId="20583"/>
    <cellStyle name="Output 9 10" xfId="20584"/>
    <cellStyle name="Input 10 11" xfId="20585"/>
    <cellStyle name="Input 2 6 11" xfId="20586"/>
    <cellStyle name="Input 3 2 11" xfId="20587"/>
    <cellStyle name="Input 4 2 11" xfId="20588"/>
    <cellStyle name="Input 5 2 11" xfId="20589"/>
    <cellStyle name="Normal 10 5 6" xfId="20590"/>
    <cellStyle name="Normal 11 5 6" xfId="20591"/>
    <cellStyle name="Normal 14 3 6" xfId="20592"/>
    <cellStyle name="Normal 2 2 2 2 6" xfId="20593"/>
    <cellStyle name="Normal 8 6 6" xfId="20594"/>
    <cellStyle name="Note 11 10" xfId="20595"/>
    <cellStyle name="Note 2 6 10" xfId="20596"/>
    <cellStyle name="Note 2 2 3 10" xfId="20597"/>
    <cellStyle name="Note 3 4 10" xfId="20598"/>
    <cellStyle name="Note 3 2 4 10" xfId="20599"/>
    <cellStyle name="Note 4 3 10" xfId="20600"/>
    <cellStyle name="Note 4 2 2 10" xfId="20601"/>
    <cellStyle name="Note 5 13" xfId="20602"/>
    <cellStyle name="Note 5 2 12" xfId="20603"/>
    <cellStyle name="Note 6 13" xfId="20604"/>
    <cellStyle name="Note 6 2 12" xfId="20605"/>
    <cellStyle name="Note 7 13" xfId="20606"/>
    <cellStyle name="Note 7 2 12" xfId="20607"/>
    <cellStyle name="Note 8 12" xfId="20608"/>
    <cellStyle name="Note 9 11" xfId="20609"/>
    <cellStyle name="Output 7 10" xfId="20610"/>
    <cellStyle name="Output 2 6 10" xfId="20611"/>
    <cellStyle name="Output 3 2 10" xfId="20612"/>
    <cellStyle name="Output 4 2 10" xfId="20613"/>
    <cellStyle name="Output 5 13" xfId="20614"/>
    <cellStyle name="Total 7 10" xfId="20615"/>
    <cellStyle name="Total 2 7 10" xfId="20616"/>
    <cellStyle name="Total 3 2 10" xfId="20617"/>
    <cellStyle name="Total 4 2 10" xfId="20618"/>
    <cellStyle name="Total 5 13" xfId="20619"/>
    <cellStyle name="Calculation 8 11" xfId="20620"/>
    <cellStyle name="Input 12 11" xfId="20621"/>
    <cellStyle name="Input 11 11" xfId="20622"/>
    <cellStyle name="Calculation 9 11" xfId="20623"/>
    <cellStyle name="Output 8 10" xfId="20624"/>
    <cellStyle name="Total 8 10" xfId="20625"/>
    <cellStyle name="Total 9 10" xfId="20626"/>
    <cellStyle name="20% - Accent1 6 2 6" xfId="20627"/>
    <cellStyle name="20% - Accent2 6 2 6" xfId="20628"/>
    <cellStyle name="20% - Accent3 6 2 6" xfId="20629"/>
    <cellStyle name="20% - Accent4 6 2 6" xfId="20630"/>
    <cellStyle name="20% - Accent5 6 2 6" xfId="20631"/>
    <cellStyle name="20% - Accent6 6 2 6" xfId="20632"/>
    <cellStyle name="40% - Accent1 6 2 6" xfId="20633"/>
    <cellStyle name="40% - Accent2 6 2 6" xfId="20634"/>
    <cellStyle name="40% - Accent3 6 2 6" xfId="20635"/>
    <cellStyle name="40% - Accent4 6 2 6" xfId="20636"/>
    <cellStyle name="Output 5 2 10" xfId="20637"/>
    <cellStyle name="Output 4 3 10" xfId="20638"/>
    <cellStyle name="Output 3 3 10" xfId="20639"/>
    <cellStyle name="Output 2 7 10" xfId="20640"/>
    <cellStyle name="Output 11 10" xfId="20641"/>
    <cellStyle name="40% - Accent5 6 2 6" xfId="20642"/>
    <cellStyle name="40% - Accent6 6 2 6" xfId="20643"/>
    <cellStyle name="Input 5 3 11" xfId="20644"/>
    <cellStyle name="Input 4 3 11" xfId="20645"/>
    <cellStyle name="Input 3 3 11" xfId="20646"/>
    <cellStyle name="Input 2 7 11" xfId="20647"/>
    <cellStyle name="Calculation 10 11" xfId="20648"/>
    <cellStyle name="Input 14 11" xfId="20649"/>
    <cellStyle name="Input 16 11" xfId="20650"/>
    <cellStyle name="Input 17 11" xfId="20651"/>
    <cellStyle name="Input 15 11" xfId="20652"/>
    <cellStyle name="Input 13 11" xfId="20653"/>
    <cellStyle name="Calculation 5 2 11" xfId="20654"/>
    <cellStyle name="Calculation 4 3 11" xfId="20655"/>
    <cellStyle name="Calculation 3 3 11" xfId="20656"/>
    <cellStyle name="Calculation 2 7 11" xfId="20657"/>
    <cellStyle name="Calculation 11 11" xfId="20658"/>
    <cellStyle name="Normal 10 6 6" xfId="20659"/>
    <cellStyle name="Normal 11 6 6" xfId="20660"/>
    <cellStyle name="Normal 14 4 6" xfId="20661"/>
    <cellStyle name="Normal 2 2 2 3 6" xfId="20662"/>
    <cellStyle name="Normal 8 7 6" xfId="20663"/>
    <cellStyle name="Output 10 10" xfId="20664"/>
    <cellStyle name="Note 12 10" xfId="20665"/>
    <cellStyle name="Note 2 7 10" xfId="20666"/>
    <cellStyle name="Note 2 2 4 10" xfId="20667"/>
    <cellStyle name="Note 3 5 10" xfId="20668"/>
    <cellStyle name="Note 3 2 5 10" xfId="20669"/>
    <cellStyle name="Note 4 4 10" xfId="20670"/>
    <cellStyle name="Note 4 2 3 10" xfId="20671"/>
    <cellStyle name="Note 5 3 10" xfId="20672"/>
    <cellStyle name="Note 5 2 2 10" xfId="20673"/>
    <cellStyle name="Note 6 3 10" xfId="20674"/>
    <cellStyle name="Note 6 2 2 10" xfId="20675"/>
    <cellStyle name="Note 7 3 10" xfId="20676"/>
    <cellStyle name="Note 7 2 2 10" xfId="20677"/>
    <cellStyle name="Note 8 2 10" xfId="20678"/>
    <cellStyle name="Note 9 2 10" xfId="20679"/>
    <cellStyle name="Output 12 10" xfId="20680"/>
    <cellStyle name="Output 2 8 10" xfId="20681"/>
    <cellStyle name="Output 3 4 10" xfId="20682"/>
    <cellStyle name="Output 4 4 10" xfId="20683"/>
    <cellStyle name="Output 5 3 10" xfId="20684"/>
    <cellStyle name="Total 10 10" xfId="20685"/>
    <cellStyle name="Total 11 10" xfId="20686"/>
    <cellStyle name="Total 2 8 10" xfId="20687"/>
    <cellStyle name="Total 3 3 10" xfId="20688"/>
    <cellStyle name="Total 4 3 10" xfId="20689"/>
    <cellStyle name="Total 5 2 10" xfId="20690"/>
    <cellStyle name="Total 12 10" xfId="20691"/>
    <cellStyle name="Total 2 9 10" xfId="20692"/>
    <cellStyle name="Total 3 4 10" xfId="20693"/>
    <cellStyle name="Total 4 4 10" xfId="20694"/>
    <cellStyle name="Total 5 3 10" xfId="20695"/>
    <cellStyle name="20% - Accent1 6 3 6" xfId="20696"/>
    <cellStyle name="20% - Accent2 6 3 6" xfId="20697"/>
    <cellStyle name="20% - Accent3 6 3 6" xfId="20698"/>
    <cellStyle name="20% - Accent4 6 3 6" xfId="20699"/>
    <cellStyle name="20% - Accent5 6 3 6" xfId="20700"/>
    <cellStyle name="20% - Accent6 6 3 6" xfId="20701"/>
    <cellStyle name="40% - Accent1 6 3 6" xfId="20702"/>
    <cellStyle name="40% - Accent2 6 3 6" xfId="20703"/>
    <cellStyle name="40% - Accent3 6 3 6" xfId="20704"/>
    <cellStyle name="40% - Accent4 6 3 6" xfId="20705"/>
    <cellStyle name="40% - Accent5 6 3 6" xfId="20706"/>
    <cellStyle name="40% - Accent6 6 3 6" xfId="20707"/>
    <cellStyle name="Input 18 11" xfId="20708"/>
    <cellStyle name="Normal 10 7 6" xfId="20709"/>
    <cellStyle name="Normal 11 7 6" xfId="20710"/>
    <cellStyle name="Normal 14 5 6" xfId="20711"/>
    <cellStyle name="Normal 2 2 2 4 6" xfId="20712"/>
    <cellStyle name="Normal 8 8 6" xfId="20713"/>
    <cellStyle name="Calculation 12 11" xfId="20714"/>
    <cellStyle name="Input 19 11" xfId="20715"/>
    <cellStyle name="Note 13 11" xfId="20716"/>
    <cellStyle name="Output 13 11" xfId="20717"/>
    <cellStyle name="Total 13 11" xfId="20718"/>
    <cellStyle name="Normal 8 9 6" xfId="20719"/>
    <cellStyle name="Comma 13 4 6" xfId="20720"/>
    <cellStyle name="Currency 7 5 6" xfId="20721"/>
    <cellStyle name="Calculation 2 8 11" xfId="20722"/>
    <cellStyle name="Calculation 3 4 11" xfId="20723"/>
    <cellStyle name="Calculation 4 4 11" xfId="20724"/>
    <cellStyle name="Calculation 5 3 11" xfId="20725"/>
    <cellStyle name="Input 2 8 11" xfId="20726"/>
    <cellStyle name="Input 3 4 11" xfId="20727"/>
    <cellStyle name="Input 4 4 11" xfId="20728"/>
    <cellStyle name="Input 5 4 11" xfId="20729"/>
    <cellStyle name="Normal 10 8 6" xfId="20730"/>
    <cellStyle name="Note 2 8 11" xfId="20731"/>
    <cellStyle name="Note 2 2 5 11" xfId="20732"/>
    <cellStyle name="Note 3 6 11" xfId="20733"/>
    <cellStyle name="Note 3 2 6 11" xfId="20734"/>
    <cellStyle name="Note 4 5 11" xfId="20735"/>
    <cellStyle name="Note 4 2 4 11" xfId="20736"/>
    <cellStyle name="Note 5 4 11" xfId="20737"/>
    <cellStyle name="Note 5 2 3 11" xfId="20738"/>
    <cellStyle name="Note 6 4 11" xfId="20739"/>
    <cellStyle name="Note 6 2 3 11" xfId="20740"/>
    <cellStyle name="Note 7 4 11" xfId="20741"/>
    <cellStyle name="Note 7 2 3 11" xfId="20742"/>
    <cellStyle name="Note 8 3 11" xfId="20743"/>
    <cellStyle name="Output 2 9 11" xfId="20744"/>
    <cellStyle name="Output 3 5 11" xfId="20745"/>
    <cellStyle name="Output 4 5 11" xfId="20746"/>
    <cellStyle name="Output 5 4 11" xfId="20747"/>
    <cellStyle name="Total 2 10 11" xfId="20748"/>
    <cellStyle name="Total 3 5 11" xfId="20749"/>
    <cellStyle name="Total 4 5 11" xfId="20750"/>
    <cellStyle name="Total 5 4 11" xfId="20751"/>
    <cellStyle name="Normal 11 8 6" xfId="20752"/>
    <cellStyle name="Normal 14 6 6" xfId="20753"/>
    <cellStyle name="Normal 43 3 6" xfId="20754"/>
    <cellStyle name="Normal 44 3 6" xfId="20755"/>
    <cellStyle name="Input 20 11" xfId="20756"/>
    <cellStyle name="Normal 8 10 6" xfId="20757"/>
    <cellStyle name="Comma 13 5 6" xfId="20758"/>
    <cellStyle name="Currency 7 6 6" xfId="20759"/>
    <cellStyle name="Normal 10 9 6" xfId="20760"/>
    <cellStyle name="Normal 11 9 6" xfId="20761"/>
    <cellStyle name="Normal 14 7 6" xfId="20762"/>
    <cellStyle name="Normal 43 4 6" xfId="20763"/>
    <cellStyle name="Normal 44 4 6" xfId="20764"/>
    <cellStyle name="Normal 355 6" xfId="20765"/>
    <cellStyle name="Comma 22 6" xfId="20766"/>
    <cellStyle name="Input 21 11" xfId="20767"/>
    <cellStyle name="Normal 8 11 6" xfId="20768"/>
    <cellStyle name="Comma 13 6 6" xfId="20769"/>
    <cellStyle name="Currency 7 7 6" xfId="20770"/>
    <cellStyle name="Normal 10 10 6" xfId="20771"/>
    <cellStyle name="Normal 11 10 6" xfId="20772"/>
    <cellStyle name="Normal 14 8 6" xfId="20773"/>
    <cellStyle name="Normal 43 5 6" xfId="20774"/>
    <cellStyle name="Normal 44 5 6" xfId="20775"/>
    <cellStyle name="Note 6 7 6" xfId="20776"/>
    <cellStyle name="Note 5 7 6" xfId="20777"/>
    <cellStyle name="Note 4 3 4 6" xfId="20778"/>
    <cellStyle name="Note 3 4 4 6" xfId="20779"/>
    <cellStyle name="Note 2 6 4 6" xfId="20780"/>
    <cellStyle name="Input 5 2 4 6" xfId="20781"/>
    <cellStyle name="Input 4 2 4 6" xfId="20782"/>
    <cellStyle name="Input 3 2 4 6" xfId="20783"/>
    <cellStyle name="20% - Accent1 4 4 3" xfId="20784"/>
    <cellStyle name="20% - Accent2 4 4 3" xfId="20785"/>
    <cellStyle name="20% - Accent3 4 4 3" xfId="20786"/>
    <cellStyle name="20% - Accent4 4 4 3" xfId="20787"/>
    <cellStyle name="20% - Accent5 4 4 3" xfId="20788"/>
    <cellStyle name="Calculation 5 6 6" xfId="20789"/>
    <cellStyle name="Calculation 4 2 4 6" xfId="20790"/>
    <cellStyle name="Calculation 3 2 4 6" xfId="20791"/>
    <cellStyle name="Calculation 2 6 4 6" xfId="20792"/>
    <cellStyle name="Calculation 7 4 6" xfId="20793"/>
    <cellStyle name="20% - Accent6 4 4 3" xfId="20794"/>
    <cellStyle name="Calculation 3 2 5 6" xfId="20795"/>
    <cellStyle name="Calculation 4 2 5 6" xfId="20796"/>
    <cellStyle name="40% - Accent1 4 4 3" xfId="20797"/>
    <cellStyle name="Input 10 5 6" xfId="20798"/>
    <cellStyle name="40% - Accent2 4 4 3" xfId="20799"/>
    <cellStyle name="40% - Accent3 4 4 3" xfId="20800"/>
    <cellStyle name="Calculation 8 5 6" xfId="20801"/>
    <cellStyle name="40% - Accent4 4 4 3" xfId="20802"/>
    <cellStyle name="Input 16 5 6" xfId="20803"/>
    <cellStyle name="40% - Accent5 4 4 3" xfId="20804"/>
    <cellStyle name="Total 13 5 6" xfId="20805"/>
    <cellStyle name="Calculation 3 4 5 6" xfId="20806"/>
    <cellStyle name="40% - Accent6 4 4 3" xfId="20807"/>
    <cellStyle name="Calculation 2 9 3 6" xfId="20808"/>
    <cellStyle name="Calculation 2 2 5 3 6" xfId="20809"/>
    <cellStyle name="Calculation 2 2 3 2 3 6" xfId="20810"/>
    <cellStyle name="Calculation 2 3 2 3 6" xfId="20811"/>
    <cellStyle name="Total 2 4 3 3 6" xfId="20812"/>
    <cellStyle name="Calculation 2 11 7" xfId="20813"/>
    <cellStyle name="Calculation 2 2 7 7" xfId="20814"/>
    <cellStyle name="Calculation 2 2 2 4 7" xfId="20815"/>
    <cellStyle name="Calculation 2 2 3 4 7" xfId="20816"/>
    <cellStyle name="Calculation 2 2 4 4 7" xfId="20817"/>
    <cellStyle name="Calculation 2 3 4 7" xfId="20818"/>
    <cellStyle name="Calculation 2 4 4 7" xfId="20819"/>
    <cellStyle name="Calculation 3 7 7" xfId="20820"/>
    <cellStyle name="Header2 3 7" xfId="20821"/>
    <cellStyle name="Input 2 11 7" xfId="20822"/>
    <cellStyle name="Input 2 2 7 7" xfId="20823"/>
    <cellStyle name="Input 2 2 2 4 7" xfId="20824"/>
    <cellStyle name="Input 2 2 3 4 7" xfId="20825"/>
    <cellStyle name="Input 2 2 4 4 7" xfId="20826"/>
    <cellStyle name="Input 2 3 4 7" xfId="20827"/>
    <cellStyle name="Input 2 4 4 7" xfId="20828"/>
    <cellStyle name="Input 5 7 7" xfId="20829"/>
    <cellStyle name="Input 6 5 7" xfId="20830"/>
    <cellStyle name="Input 7 4 7" xfId="20831"/>
    <cellStyle name="Input 8 4 7" xfId="20832"/>
    <cellStyle name="Normal 10 3 3 3" xfId="20833"/>
    <cellStyle name="Normal 11 3 3 3 3" xfId="20834"/>
    <cellStyle name="Calculation 5 2 5 6" xfId="20835"/>
    <cellStyle name="Input 18 5 6" xfId="20836"/>
    <cellStyle name="Calculation 3 5 3 6" xfId="20837"/>
    <cellStyle name="Input 7 2 3 6" xfId="20838"/>
    <cellStyle name="Normal 18 3 3 3 3" xfId="20839"/>
    <cellStyle name="Normal 182 3 3 3" xfId="20840"/>
    <cellStyle name="Normal 183 3 3 3" xfId="20841"/>
    <cellStyle name="Normal 184 3 3 3" xfId="20842"/>
    <cellStyle name="Normal 185 2 3 3 3" xfId="20843"/>
    <cellStyle name="Normal 199 3 3 3" xfId="20844"/>
    <cellStyle name="Normal 20 3 3 3 3" xfId="20845"/>
    <cellStyle name="Normal 221 2 3 3" xfId="20846"/>
    <cellStyle name="Normal 222 2 3 3" xfId="20847"/>
    <cellStyle name="Normal 264 3 3" xfId="20848"/>
    <cellStyle name="Normal 3 3 2 3 3 3" xfId="20849"/>
    <cellStyle name="Normal 4 2 2 2 3 3 3" xfId="20850"/>
    <cellStyle name="Normal 4 2 2 4 3 3" xfId="20851"/>
    <cellStyle name="Normal 4 2 3 3 3 3" xfId="20852"/>
    <cellStyle name="Normal 4 2 5 3 3" xfId="20853"/>
    <cellStyle name="Normal 4 3 2 3 3 3" xfId="20854"/>
    <cellStyle name="Normal 4 3 5 3 3" xfId="20855"/>
    <cellStyle name="Normal 4 3 6 3 3" xfId="20856"/>
    <cellStyle name="Normal 4 4 2 3 3 3" xfId="20857"/>
    <cellStyle name="Normal 4 4 4 3 3" xfId="20858"/>
    <cellStyle name="Normal 4 7 3 3" xfId="20859"/>
    <cellStyle name="Normal 49 3 3 3 3" xfId="20860"/>
    <cellStyle name="Normal 5 2 3 3 3" xfId="20861"/>
    <cellStyle name="Normal 5 4 3 3" xfId="20862"/>
    <cellStyle name="Normal 6 2 3 3 3" xfId="20863"/>
    <cellStyle name="Normal 6 4 3 3" xfId="20864"/>
    <cellStyle name="Normal 7 2 3 3 3" xfId="20865"/>
    <cellStyle name="Normal 7 4 3 3" xfId="20866"/>
    <cellStyle name="Normal 8 2 3 3 3" xfId="20867"/>
    <cellStyle name="Normal 8 4 3 3" xfId="20868"/>
    <cellStyle name="Normal 9 3 3 3" xfId="20869"/>
    <cellStyle name="Note 2 3 5 7" xfId="20870"/>
    <cellStyle name="Note 2 4 5 7" xfId="20871"/>
    <cellStyle name="Note 3 2 9 7" xfId="20872"/>
    <cellStyle name="Note 3 2 2 4 7" xfId="20873"/>
    <cellStyle name="Output 2 12 7" xfId="20874"/>
    <cellStyle name="Output 2 2 7 7" xfId="20875"/>
    <cellStyle name="Output 2 2 2 4 7" xfId="20876"/>
    <cellStyle name="Output 2 2 3 4 7" xfId="20877"/>
    <cellStyle name="Output 2 2 4 4 7" xfId="20878"/>
    <cellStyle name="Output 2 3 4 7" xfId="20879"/>
    <cellStyle name="Output 2 4 4 7" xfId="20880"/>
    <cellStyle name="Output 3 8 7" xfId="20881"/>
    <cellStyle name="Header2 4 7" xfId="20882"/>
    <cellStyle name="Calculation 7 5 6" xfId="20883"/>
    <cellStyle name="Input 2 6 5 6" xfId="20884"/>
    <cellStyle name="Input 11 5 6" xfId="20885"/>
    <cellStyle name="Input 17 5 6" xfId="20886"/>
    <cellStyle name="Calculation 11 5 6" xfId="20887"/>
    <cellStyle name="Input 5 4 5 6" xfId="20888"/>
    <cellStyle name="Note 2 8 5 6" xfId="20889"/>
    <cellStyle name="Note 3 6 5 6" xfId="20890"/>
    <cellStyle name="StmtTtl2 4 7" xfId="20891"/>
    <cellStyle name="Input 21 5 6" xfId="20892"/>
    <cellStyle name="Calculation 2 2 4 2 3 6" xfId="20893"/>
    <cellStyle name="Calculation 2 4 2 3 6" xfId="20894"/>
    <cellStyle name="Header2 2 3 6" xfId="20895"/>
    <cellStyle name="Input 2 5 3 3 6" xfId="20896"/>
    <cellStyle name="Input 2 2 2 2 3 6" xfId="20897"/>
    <cellStyle name="Input 2 2 3 2 3 6" xfId="20898"/>
    <cellStyle name="Input 2 3 2 3 6" xfId="20899"/>
    <cellStyle name="Input 2 4 2 3 6" xfId="20900"/>
    <cellStyle name="Input 2 5 2 3 6" xfId="20901"/>
    <cellStyle name="Input 3 5 3 6" xfId="20902"/>
    <cellStyle name="Total 2 13 7" xfId="20903"/>
    <cellStyle name="Total 2 2 7 7" xfId="20904"/>
    <cellStyle name="Total 2 2 2 4 7" xfId="20905"/>
    <cellStyle name="Total 2 2 3 4 7" xfId="20906"/>
    <cellStyle name="Total 2 2 4 4 7" xfId="20907"/>
    <cellStyle name="Total 2 3 4 7" xfId="20908"/>
    <cellStyle name="Total 2 4 4 7" xfId="20909"/>
    <cellStyle name="Total 2 5 4 7" xfId="20910"/>
    <cellStyle name="Total 3 8 7" xfId="20911"/>
    <cellStyle name="Input 4 5 3 6" xfId="20912"/>
    <cellStyle name="Input 8 2 3 6" xfId="20913"/>
    <cellStyle name="Total 2 2 4 3 3 6" xfId="20914"/>
    <cellStyle name="Total 2 2 3 3 3 6" xfId="20915"/>
    <cellStyle name="Comma 19 3 4" xfId="20916"/>
    <cellStyle name="Note 3 2 4 4 6" xfId="20917"/>
    <cellStyle name="Note 11 4 6" xfId="20918"/>
    <cellStyle name="Input 2 6 4 6" xfId="20919"/>
    <cellStyle name="Input 3 2 5 6" xfId="20920"/>
    <cellStyle name="Note 4 2 6 3 6" xfId="20921"/>
    <cellStyle name="Calculation 2 5 4 7" xfId="20922"/>
    <cellStyle name="Comma 6 10 3 3" xfId="20923"/>
    <cellStyle name="Comma 8 6 3 3" xfId="20924"/>
    <cellStyle name="Input 2 5 4 7" xfId="20925"/>
    <cellStyle name="Total 3 5 5 6" xfId="20926"/>
    <cellStyle name="Input 2 2 5 3 6" xfId="20927"/>
    <cellStyle name="Input 5 5 3 6" xfId="20928"/>
    <cellStyle name="Total 2 12 3 6" xfId="20929"/>
    <cellStyle name="Normal 51 3 3 3" xfId="20930"/>
    <cellStyle name="Normal 52 3 3 3" xfId="20931"/>
    <cellStyle name="Note 2 2 2 4 7" xfId="20932"/>
    <cellStyle name="Note 2 3 2 4 7" xfId="20933"/>
    <cellStyle name="Note 2 4 2 4 7" xfId="20934"/>
    <cellStyle name="Note 2 5 4 7" xfId="20935"/>
    <cellStyle name="Note 3 3 4 7" xfId="20936"/>
    <cellStyle name="Output 2 5 4 7" xfId="20937"/>
    <cellStyle name="Calculation 2 6 5 6" xfId="20938"/>
    <cellStyle name="Input 4 2 5 6" xfId="20939"/>
    <cellStyle name="Input 5 2 5 6" xfId="20940"/>
    <cellStyle name="Calculation 9 5 6" xfId="20941"/>
    <cellStyle name="Note 2 2 5 5 6" xfId="20942"/>
    <cellStyle name="Input 20 5 6" xfId="20943"/>
    <cellStyle name="Input 2 2 4 2 3 6" xfId="20944"/>
    <cellStyle name="Total 2 6 4 7" xfId="20945"/>
    <cellStyle name="Normal 345 5 3" xfId="20946"/>
    <cellStyle name="Comma 20 3 3" xfId="20947"/>
    <cellStyle name="Note 5 2 6 6" xfId="20948"/>
    <cellStyle name="Note 4 2 2 4 6" xfId="20949"/>
    <cellStyle name="Note 2 2 3 4 6" xfId="20950"/>
    <cellStyle name="20% - Accent1 6 5 3" xfId="20951"/>
    <cellStyle name="20% - Accent2 6 5 3" xfId="20952"/>
    <cellStyle name="20% - Accent3 6 5 3" xfId="20953"/>
    <cellStyle name="20% - Accent4 6 5 3" xfId="20954"/>
    <cellStyle name="Output 9 4 6" xfId="20955"/>
    <cellStyle name="20% - Accent5 6 5 3" xfId="20956"/>
    <cellStyle name="20% - Accent6 6 5 3" xfId="20957"/>
    <cellStyle name="40% - Accent1 6 5 3" xfId="20958"/>
    <cellStyle name="40% - Accent2 6 5 3" xfId="20959"/>
    <cellStyle name="40% - Accent3 6 5 3" xfId="20960"/>
    <cellStyle name="40% - Accent4 6 5 3" xfId="20961"/>
    <cellStyle name="40% - Accent5 6 5 3" xfId="20962"/>
    <cellStyle name="Note 8 3 5 6" xfId="20963"/>
    <cellStyle name="Output 2 9 5 6" xfId="20964"/>
    <cellStyle name="Output 4 5 5 6" xfId="20965"/>
    <cellStyle name="40% - Accent6 6 5 3" xfId="20966"/>
    <cellStyle name="Calculation 2 5 3 3 6" xfId="20967"/>
    <cellStyle name="Calculation 7 3 6" xfId="20968"/>
    <cellStyle name="Calculation 2 6 3 6" xfId="20969"/>
    <cellStyle name="Calculation 3 2 3 6" xfId="20970"/>
    <cellStyle name="Calculation 4 2 3 6" xfId="20971"/>
    <cellStyle name="Calculation 5 5 6" xfId="20972"/>
    <cellStyle name="Output 9 3 6" xfId="20973"/>
    <cellStyle name="Note 5 4 5 6" xfId="20974"/>
    <cellStyle name="Input 10 3 7" xfId="20975"/>
    <cellStyle name="Input 2 6 3 6" xfId="20976"/>
    <cellStyle name="Input 3 2 3 6" xfId="20977"/>
    <cellStyle name="Input 4 2 3 6" xfId="20978"/>
    <cellStyle name="Input 5 2 3 6" xfId="20979"/>
    <cellStyle name="Normal 10 5 3 3" xfId="20980"/>
    <cellStyle name="Normal 11 5 3 3" xfId="20981"/>
    <cellStyle name="Normal 14 3 3 3" xfId="20982"/>
    <cellStyle name="Normal 2 2 2 2 3 3" xfId="20983"/>
    <cellStyle name="Normal 8 6 3 3" xfId="20984"/>
    <cellStyle name="Note 11 3 6" xfId="20985"/>
    <cellStyle name="Note 2 6 3 6" xfId="20986"/>
    <cellStyle name="Note 2 2 3 3 6" xfId="20987"/>
    <cellStyle name="Note 3 4 3 6" xfId="20988"/>
    <cellStyle name="Note 3 2 4 3 6" xfId="20989"/>
    <cellStyle name="Note 4 3 3 6" xfId="20990"/>
    <cellStyle name="Note 4 2 2 3 6" xfId="20991"/>
    <cellStyle name="Note 5 6 6" xfId="20992"/>
    <cellStyle name="Note 5 2 5 6" xfId="20993"/>
    <cellStyle name="Note 6 6 6" xfId="20994"/>
    <cellStyle name="Note 6 2 5 6" xfId="20995"/>
    <cellStyle name="Note 7 6 6" xfId="20996"/>
    <cellStyle name="Note 7 2 5 6" xfId="20997"/>
    <cellStyle name="Note 8 5 6" xfId="20998"/>
    <cellStyle name="Note 9 4 6" xfId="20999"/>
    <cellStyle name="Output 7 3 6" xfId="21000"/>
    <cellStyle name="Output 2 6 3 6" xfId="21001"/>
    <cellStyle name="Output 3 2 3 6" xfId="21002"/>
    <cellStyle name="Output 4 2 3 6" xfId="21003"/>
    <cellStyle name="Output 5 6 6" xfId="21004"/>
    <cellStyle name="Input 15 5 6" xfId="21005"/>
    <cellStyle name="Input 13 5 6" xfId="21006"/>
    <cellStyle name="Calculation 4 3 5 6" xfId="21007"/>
    <cellStyle name="Calculation 3 3 5 6" xfId="21008"/>
    <cellStyle name="Calculation 2 7 5 6" xfId="21009"/>
    <cellStyle name="Calculation 2 8 5 6" xfId="21010"/>
    <cellStyle name="Input 2 8 5 6" xfId="21011"/>
    <cellStyle name="Output 5 4 5 6" xfId="21012"/>
    <cellStyle name="Total 2 10 5 6" xfId="21013"/>
    <cellStyle name="Total 4 5 5 6" xfId="21014"/>
    <cellStyle name="Total 5 4 5 6" xfId="21015"/>
    <cellStyle name="Calculation 2 5 2 3 6" xfId="21016"/>
    <cellStyle name="Total 7 3 6" xfId="21017"/>
    <cellStyle name="Total 2 7 3 6" xfId="21018"/>
    <cellStyle name="Total 3 2 3 6" xfId="21019"/>
    <cellStyle name="Total 4 2 3 6" xfId="21020"/>
    <cellStyle name="Total 5 6 6" xfId="21021"/>
    <cellStyle name="Input 6 3 3 6" xfId="21022"/>
    <cellStyle name="Calculation 8 3 6" xfId="21023"/>
    <cellStyle name="Input 12 3 6" xfId="21024"/>
    <cellStyle name="Input 11 3 6" xfId="21025"/>
    <cellStyle name="Calculation 9 3 6" xfId="21026"/>
    <cellStyle name="Output 8 3 6" xfId="21027"/>
    <cellStyle name="Total 8 3 6" xfId="21028"/>
    <cellStyle name="Total 9 3 6" xfId="21029"/>
    <cellStyle name="Input 10 4 6" xfId="21030"/>
    <cellStyle name="20% - Accent1 6 2 3 3" xfId="21031"/>
    <cellStyle name="20% - Accent2 6 2 3 3" xfId="21032"/>
    <cellStyle name="20% - Accent3 6 2 3 3" xfId="21033"/>
    <cellStyle name="20% - Accent4 6 2 3 3" xfId="21034"/>
    <cellStyle name="20% - Accent5 6 2 3 3" xfId="21035"/>
    <cellStyle name="20% - Accent6 6 2 3 3" xfId="21036"/>
    <cellStyle name="40% - Accent1 6 2 3 3" xfId="21037"/>
    <cellStyle name="40% - Accent2 6 2 3 3" xfId="21038"/>
    <cellStyle name="40% - Accent3 6 2 3 3" xfId="21039"/>
    <cellStyle name="40% - Accent4 6 2 3 3" xfId="21040"/>
    <cellStyle name="Output 5 2 3 6" xfId="21041"/>
    <cellStyle name="Output 4 3 3 6" xfId="21042"/>
    <cellStyle name="Output 3 3 3 6" xfId="21043"/>
    <cellStyle name="Output 2 7 3 6" xfId="21044"/>
    <cellStyle name="Output 11 3 6" xfId="21045"/>
    <cellStyle name="40% - Accent5 6 2 3 3" xfId="21046"/>
    <cellStyle name="40% - Accent6 6 2 3 3" xfId="21047"/>
    <cellStyle name="Input 5 3 3 6" xfId="21048"/>
    <cellStyle name="Input 4 3 3 6" xfId="21049"/>
    <cellStyle name="Input 3 3 3 6" xfId="21050"/>
    <cellStyle name="Input 2 7 3 6" xfId="21051"/>
    <cellStyle name="Calculation 10 3 6" xfId="21052"/>
    <cellStyle name="Input 14 3 6" xfId="21053"/>
    <cellStyle name="Input 16 3 6" xfId="21054"/>
    <cellStyle name="Input 17 3 6" xfId="21055"/>
    <cellStyle name="Input 15 3 6" xfId="21056"/>
    <cellStyle name="Input 13 3 6" xfId="21057"/>
    <cellStyle name="Calculation 5 2 3 6" xfId="21058"/>
    <cellStyle name="Calculation 4 3 3 6" xfId="21059"/>
    <cellStyle name="Calculation 3 3 3 6" xfId="21060"/>
    <cellStyle name="Calculation 2 7 3 6" xfId="21061"/>
    <cellStyle name="Calculation 11 3 6" xfId="21062"/>
    <cellStyle name="Normal 10 6 3 3" xfId="21063"/>
    <cellStyle name="Normal 11 6 3 3" xfId="21064"/>
    <cellStyle name="Normal 14 4 3 3" xfId="21065"/>
    <cellStyle name="Normal 2 2 2 3 3 3" xfId="21066"/>
    <cellStyle name="Normal 8 7 3 3" xfId="21067"/>
    <cellStyle name="Output 10 3 6" xfId="21068"/>
    <cellStyle name="Note 12 3 6" xfId="21069"/>
    <cellStyle name="Note 2 7 3 6" xfId="21070"/>
    <cellStyle name="Note 2 2 4 3 6" xfId="21071"/>
    <cellStyle name="Note 3 5 3 6" xfId="21072"/>
    <cellStyle name="Note 3 2 5 3 6" xfId="21073"/>
    <cellStyle name="Note 4 4 3 6" xfId="21074"/>
    <cellStyle name="Note 4 2 3 3 6" xfId="21075"/>
    <cellStyle name="Note 5 3 3 6" xfId="21076"/>
    <cellStyle name="Note 5 2 2 3 6" xfId="21077"/>
    <cellStyle name="Note 6 3 3 6" xfId="21078"/>
    <cellStyle name="Note 6 2 2 3 6" xfId="21079"/>
    <cellStyle name="Note 7 3 3 6" xfId="21080"/>
    <cellStyle name="Note 7 2 2 3 6" xfId="21081"/>
    <cellStyle name="Note 8 2 3 6" xfId="21082"/>
    <cellStyle name="Note 9 2 3 6" xfId="21083"/>
    <cellStyle name="Output 12 3 6" xfId="21084"/>
    <cellStyle name="Output 2 8 3 6" xfId="21085"/>
    <cellStyle name="Output 3 4 3 6" xfId="21086"/>
    <cellStyle name="Output 4 4 3 6" xfId="21087"/>
    <cellStyle name="Output 5 3 3 6" xfId="21088"/>
    <cellStyle name="Total 10 3 6" xfId="21089"/>
    <cellStyle name="Total 11 3 6" xfId="21090"/>
    <cellStyle name="Total 2 8 3 6" xfId="21091"/>
    <cellStyle name="Total 3 3 3 6" xfId="21092"/>
    <cellStyle name="Total 4 3 3 6" xfId="21093"/>
    <cellStyle name="Total 5 2 3 6" xfId="21094"/>
    <cellStyle name="Total 12 3 6" xfId="21095"/>
    <cellStyle name="Total 2 9 3 6" xfId="21096"/>
    <cellStyle name="Total 3 4 3 6" xfId="21097"/>
    <cellStyle name="Total 4 4 3 6" xfId="21098"/>
    <cellStyle name="Total 5 3 3 6" xfId="21099"/>
    <cellStyle name="20% - Accent1 6 3 3 3" xfId="21100"/>
    <cellStyle name="20% - Accent2 6 3 3 3" xfId="21101"/>
    <cellStyle name="20% - Accent3 6 3 3 3" xfId="21102"/>
    <cellStyle name="20% - Accent4 6 3 3 3" xfId="21103"/>
    <cellStyle name="20% - Accent5 6 3 3 3" xfId="21104"/>
    <cellStyle name="20% - Accent6 6 3 3 3" xfId="21105"/>
    <cellStyle name="40% - Accent1 6 3 3 3" xfId="21106"/>
    <cellStyle name="40% - Accent2 6 3 3 3" xfId="21107"/>
    <cellStyle name="40% - Accent3 6 3 3 3" xfId="21108"/>
    <cellStyle name="40% - Accent4 6 3 3 3" xfId="21109"/>
    <cellStyle name="40% - Accent5 6 3 3 3" xfId="21110"/>
    <cellStyle name="40% - Accent6 6 3 3 3" xfId="21111"/>
    <cellStyle name="Input 18 3 6" xfId="21112"/>
    <cellStyle name="Normal 10 7 3 3" xfId="21113"/>
    <cellStyle name="Normal 11 7 3 3" xfId="21114"/>
    <cellStyle name="Normal 14 5 3 3" xfId="21115"/>
    <cellStyle name="Normal 2 2 2 4 3 3" xfId="21116"/>
    <cellStyle name="Normal 8 8 3 3" xfId="21117"/>
    <cellStyle name="Calculation 12 3 6" xfId="21118"/>
    <cellStyle name="Input 19 3 6" xfId="21119"/>
    <cellStyle name="Note 13 3 6" xfId="21120"/>
    <cellStyle name="Output 13 3 6" xfId="21121"/>
    <cellStyle name="Total 13 3 6" xfId="21122"/>
    <cellStyle name="Normal 8 9 3 3" xfId="21123"/>
    <cellStyle name="Comma 13 4 3 3" xfId="21124"/>
    <cellStyle name="Currency 7 5 3 3" xfId="21125"/>
    <cellStyle name="Calculation 2 8 3 6" xfId="21126"/>
    <cellStyle name="Calculation 3 4 3 6" xfId="21127"/>
    <cellStyle name="Calculation 4 4 3 6" xfId="21128"/>
    <cellStyle name="Calculation 5 3 3 6" xfId="21129"/>
    <cellStyle name="Input 2 8 3 6" xfId="21130"/>
    <cellStyle name="Input 3 4 3 6" xfId="21131"/>
    <cellStyle name="Input 4 4 3 6" xfId="21132"/>
    <cellStyle name="Input 5 4 3 6" xfId="21133"/>
    <cellStyle name="Normal 10 8 3 3" xfId="21134"/>
    <cellStyle name="Note 2 8 3 6" xfId="21135"/>
    <cellStyle name="Note 2 2 5 3 6" xfId="21136"/>
    <cellStyle name="Note 3 6 3 6" xfId="21137"/>
    <cellStyle name="Note 3 2 6 3 6" xfId="21138"/>
    <cellStyle name="Note 4 5 3 6" xfId="21139"/>
    <cellStyle name="Note 4 2 4 3 6" xfId="21140"/>
    <cellStyle name="Note 5 4 3 6" xfId="21141"/>
    <cellStyle name="Note 5 2 3 3 6" xfId="21142"/>
    <cellStyle name="Note 6 4 3 6" xfId="21143"/>
    <cellStyle name="Note 6 2 3 3 6" xfId="21144"/>
    <cellStyle name="Note 7 4 3 6" xfId="21145"/>
    <cellStyle name="Note 7 2 3 3 6" xfId="21146"/>
    <cellStyle name="Note 8 3 3 6" xfId="21147"/>
    <cellStyle name="Output 2 9 3 6" xfId="21148"/>
    <cellStyle name="Output 3 5 3 6" xfId="21149"/>
    <cellStyle name="Output 4 5 3 6" xfId="21150"/>
    <cellStyle name="Output 5 4 3 6" xfId="21151"/>
    <cellStyle name="Total 2 10 3 6" xfId="21152"/>
    <cellStyle name="Total 3 5 3 6" xfId="21153"/>
    <cellStyle name="Total 4 5 3 6" xfId="21154"/>
    <cellStyle name="Total 5 4 3 6" xfId="21155"/>
    <cellStyle name="Normal 11 8 3 3" xfId="21156"/>
    <cellStyle name="Normal 14 6 3 3" xfId="21157"/>
    <cellStyle name="Normal 43 3 3 3" xfId="21158"/>
    <cellStyle name="Normal 44 3 3 3" xfId="21159"/>
    <cellStyle name="Input 20 3 6" xfId="21160"/>
    <cellStyle name="Normal 8 10 3 3" xfId="21161"/>
    <cellStyle name="Comma 13 5 3 3" xfId="21162"/>
    <cellStyle name="Currency 7 6 3 3" xfId="21163"/>
    <cellStyle name="Normal 10 9 3 3" xfId="21164"/>
    <cellStyle name="Input 4 4 5 6" xfId="21165"/>
    <cellStyle name="Calculation 5 3 5 6" xfId="21166"/>
    <cellStyle name="Calculation 4 4 5 6" xfId="21167"/>
    <cellStyle name="Input 3 4 5 6" xfId="21168"/>
    <cellStyle name="Normal 11 9 3 3" xfId="21169"/>
    <cellStyle name="Normal 14 7 3 3" xfId="21170"/>
    <cellStyle name="Normal 43 4 3 3" xfId="21171"/>
    <cellStyle name="Normal 44 4 3 3" xfId="21172"/>
    <cellStyle name="Normal 355 3 3" xfId="21173"/>
    <cellStyle name="Comma 22 3 3" xfId="21174"/>
    <cellStyle name="Input 21 3 6" xfId="21175"/>
    <cellStyle name="Normal 8 11 3 3" xfId="21176"/>
    <cellStyle name="Comma 13 6 3 3" xfId="21177"/>
    <cellStyle name="Currency 7 7 3 3" xfId="21178"/>
    <cellStyle name="Normal 10 10 3 3" xfId="21179"/>
    <cellStyle name="Normal 11 10 3 3" xfId="21180"/>
    <cellStyle name="Normal 14 8 3 3" xfId="21181"/>
    <cellStyle name="Normal 43 5 3 3" xfId="21182"/>
    <cellStyle name="Normal 44 5 3 3" xfId="21183"/>
    <cellStyle name="Normal 356 4" xfId="21184"/>
    <cellStyle name="Note 4 2 6 9" xfId="21185"/>
    <cellStyle name="Note 3 3 3 9" xfId="21186"/>
    <cellStyle name="Note 2 5 3 9" xfId="21187"/>
    <cellStyle name="Note 2 4 2 3 9" xfId="21188"/>
    <cellStyle name="Note 2 3 2 3 9" xfId="21189"/>
    <cellStyle name="Note 2 2 2 3 9" xfId="21190"/>
    <cellStyle name="Calculation 2 9 9" xfId="21191"/>
    <cellStyle name="Calculation 2 2 5 9" xfId="21192"/>
    <cellStyle name="Calculation 2 2 2 2 9" xfId="21193"/>
    <cellStyle name="Calculation 2 2 3 2 9" xfId="21194"/>
    <cellStyle name="Calculation 2 2 4 2 9" xfId="21195"/>
    <cellStyle name="Calculation 2 3 2 9" xfId="21196"/>
    <cellStyle name="Calculation 2 4 2 9" xfId="21197"/>
    <cellStyle name="Calculation 2 5 2 9" xfId="21198"/>
    <cellStyle name="Calculation 3 5 9" xfId="21199"/>
    <cellStyle name="Comma 3 2 2 8 3 4" xfId="21200"/>
    <cellStyle name="Comma 3 4 5 3 4" xfId="21201"/>
    <cellStyle name="Comma 3 5 5 3 4" xfId="21202"/>
    <cellStyle name="Comma 4 2 8 3 4" xfId="21203"/>
    <cellStyle name="Comma 6 10 2 4" xfId="21204"/>
    <cellStyle name="Comma 8 6 2 4" xfId="21205"/>
    <cellStyle name="Header2 2 9" xfId="21206"/>
    <cellStyle name="Input 2 5 3 9" xfId="21207"/>
    <cellStyle name="Input 2 9 9" xfId="21208"/>
    <cellStyle name="Input 2 2 5 9" xfId="21209"/>
    <cellStyle name="Input 2 2 2 2 9" xfId="21210"/>
    <cellStyle name="Input 2 2 3 2 9" xfId="21211"/>
    <cellStyle name="Input 2 2 4 2 9" xfId="21212"/>
    <cellStyle name="Input 2 3 2 9" xfId="21213"/>
    <cellStyle name="Input 2 4 2 9" xfId="21214"/>
    <cellStyle name="Input 2 5 2 9" xfId="21215"/>
    <cellStyle name="Input 3 5 9" xfId="21216"/>
    <cellStyle name="Input 4 5 9" xfId="21217"/>
    <cellStyle name="Input 5 5 9" xfId="21218"/>
    <cellStyle name="Input 6 3 9" xfId="21219"/>
    <cellStyle name="Input 7 2 9" xfId="21220"/>
    <cellStyle name="Input 8 2 9" xfId="21221"/>
    <cellStyle name="Normal 10 3 2 4" xfId="21222"/>
    <cellStyle name="Normal 11 11 4" xfId="21223"/>
    <cellStyle name="Calculation 2 5 3 9" xfId="21224"/>
    <cellStyle name="Comma 19 2 4" xfId="21225"/>
    <cellStyle name="Total 2 4 3 9" xfId="21226"/>
    <cellStyle name="Total 2 2 4 3 9" xfId="21227"/>
    <cellStyle name="Total 2 2 3 3 9" xfId="21228"/>
    <cellStyle name="Total 2 12 9" xfId="21229"/>
    <cellStyle name="Normal 18 5 4" xfId="21230"/>
    <cellStyle name="Normal 20 5 4" xfId="21231"/>
    <cellStyle name="Normal 4 2 7 4" xfId="21232"/>
    <cellStyle name="Normal 4 2 2 5 4" xfId="21233"/>
    <cellStyle name="Normal 4 3 8 4" xfId="21234"/>
    <cellStyle name="Normal 4 4 5 4" xfId="21235"/>
    <cellStyle name="Normal 4 7 2 4" xfId="21236"/>
    <cellStyle name="Normal 49 5 4" xfId="21237"/>
    <cellStyle name="Normal 5 4 2 4" xfId="21238"/>
    <cellStyle name="Normal 51 3 2 4" xfId="21239"/>
    <cellStyle name="Normal 52 3 2 4" xfId="21240"/>
    <cellStyle name="Normal 6 4 2 4" xfId="21241"/>
    <cellStyle name="Normal 7 4 2 4" xfId="21242"/>
    <cellStyle name="Normal 8 4 2 4" xfId="21243"/>
    <cellStyle name="Normal 9 3 2 4" xfId="21244"/>
    <cellStyle name="Note 2 9 9" xfId="21245"/>
    <cellStyle name="Note 2 2 6 9" xfId="21246"/>
    <cellStyle name="Note 2 3 3 9" xfId="21247"/>
    <cellStyle name="Note 2 4 3 9" xfId="21248"/>
    <cellStyle name="Note 3 7 9" xfId="21249"/>
    <cellStyle name="Note 3 2 7 9" xfId="21250"/>
    <cellStyle name="Output 2 10 9" xfId="21251"/>
    <cellStyle name="Output 2 2 5 9" xfId="21252"/>
    <cellStyle name="Output 2 2 2 2 9" xfId="21253"/>
    <cellStyle name="Output 2 2 3 2 9" xfId="21254"/>
    <cellStyle name="Output 2 2 4 2 9" xfId="21255"/>
    <cellStyle name="Output 2 3 2 9" xfId="21256"/>
    <cellStyle name="Output 2 4 2 9" xfId="21257"/>
    <cellStyle name="Output 2 5 2 9" xfId="21258"/>
    <cellStyle name="Output 3 6 9" xfId="21259"/>
    <cellStyle name="Input 7 3 9" xfId="21260"/>
    <cellStyle name="Input 5 6 9" xfId="21261"/>
    <cellStyle name="Input 3 6 9" xfId="21262"/>
    <cellStyle name="Input 2 4 3 9" xfId="21263"/>
    <cellStyle name="Input 2 2 4 3 9" xfId="21264"/>
    <cellStyle name="Input 2 2 2 3 9" xfId="21265"/>
    <cellStyle name="Input 2 10 9" xfId="21266"/>
    <cellStyle name="Percent 18 5 4" xfId="21267"/>
    <cellStyle name="Percent 2 2 2 5 3 4" xfId="21268"/>
    <cellStyle name="Percent 20 5 4" xfId="21269"/>
    <cellStyle name="Calculation 3 6 9" xfId="21270"/>
    <cellStyle name="Calculation 2 4 3 9" xfId="21271"/>
    <cellStyle name="Calculation 2 2 4 3 9" xfId="21272"/>
    <cellStyle name="Calculation 2 2 2 3 9" xfId="21273"/>
    <cellStyle name="Calculation 2 10 9" xfId="21274"/>
    <cellStyle name="StmtTtl2 2 9" xfId="21275"/>
    <cellStyle name="Total 2 11 9" xfId="21276"/>
    <cellStyle name="Total 2 2 5 9" xfId="21277"/>
    <cellStyle name="Total 2 2 2 2 9" xfId="21278"/>
    <cellStyle name="Total 2 2 3 2 9" xfId="21279"/>
    <cellStyle name="Total 2 2 4 2 9" xfId="21280"/>
    <cellStyle name="Total 2 3 2 9" xfId="21281"/>
    <cellStyle name="Total 2 4 2 9" xfId="21282"/>
    <cellStyle name="Total 2 5 2 9" xfId="21283"/>
    <cellStyle name="Total 2 6 2 9" xfId="21284"/>
    <cellStyle name="Total 3 6 9" xfId="21285"/>
    <cellStyle name="20% - Accent1 4 3 4" xfId="21286"/>
    <cellStyle name="20% - Accent2 4 3 4" xfId="21287"/>
    <cellStyle name="20% - Accent3 4 3 4" xfId="21288"/>
    <cellStyle name="20% - Accent4 4 3 4" xfId="21289"/>
    <cellStyle name="20% - Accent5 4 3 4" xfId="21290"/>
    <cellStyle name="20% - Accent6 4 3 4" xfId="21291"/>
    <cellStyle name="40% - Accent1 4 3 4" xfId="21292"/>
    <cellStyle name="40% - Accent2 4 3 4" xfId="21293"/>
    <cellStyle name="40% - Accent3 4 3 4" xfId="21294"/>
    <cellStyle name="40% - Accent4 4 3 4" xfId="21295"/>
    <cellStyle name="40% - Accent5 4 3 4" xfId="21296"/>
    <cellStyle name="40% - Accent6 4 3 4" xfId="21297"/>
    <cellStyle name="Output 2 5 3 9" xfId="21298"/>
    <cellStyle name="Normal 11 3 3 2 4" xfId="21299"/>
    <cellStyle name="Normal 18 3 3 2 4" xfId="21300"/>
    <cellStyle name="Normal 182 3 2 4" xfId="21301"/>
    <cellStyle name="Normal 183 3 2 4" xfId="21302"/>
    <cellStyle name="Normal 184 3 2 4" xfId="21303"/>
    <cellStyle name="Normal 185 2 3 2 4" xfId="21304"/>
    <cellStyle name="Normal 199 3 2 4" xfId="21305"/>
    <cellStyle name="Normal 20 3 3 2 4" xfId="21306"/>
    <cellStyle name="Normal 221 2 2 4" xfId="21307"/>
    <cellStyle name="Normal 222 2 2 4" xfId="21308"/>
    <cellStyle name="Output 2 3 3 9" xfId="21309"/>
    <cellStyle name="Output 2 2 3 3 9" xfId="21310"/>
    <cellStyle name="Output 2 2 6 9" xfId="21311"/>
    <cellStyle name="Note 4 7 9" xfId="21312"/>
    <cellStyle name="Note 3 2 2 3 9" xfId="21313"/>
    <cellStyle name="Note 3 8 9" xfId="21314"/>
    <cellStyle name="Note 2 4 4 9" xfId="21315"/>
    <cellStyle name="Note 2 2 7 9" xfId="21316"/>
    <cellStyle name="Normal 264 2 4" xfId="21317"/>
    <cellStyle name="Normal 3 3 2 3 2 4" xfId="21318"/>
    <cellStyle name="Normal 4 2 2 2 3 2 4" xfId="21319"/>
    <cellStyle name="Normal 4 2 2 4 2 4" xfId="21320"/>
    <cellStyle name="Normal 4 2 3 3 2 4" xfId="21321"/>
    <cellStyle name="Normal 4 2 5 2 4" xfId="21322"/>
    <cellStyle name="Normal 4 3 2 3 2 4" xfId="21323"/>
    <cellStyle name="Normal 4 3 5 2 4" xfId="21324"/>
    <cellStyle name="Normal 4 3 6 2 4" xfId="21325"/>
    <cellStyle name="Normal 4 4 2 3 2 4" xfId="21326"/>
    <cellStyle name="Normal 4 4 4 2 4" xfId="21327"/>
    <cellStyle name="Normal 49 3 3 2 4" xfId="21328"/>
    <cellStyle name="Normal 5 2 3 2 4" xfId="21329"/>
    <cellStyle name="Normal 6 2 3 2 4" xfId="21330"/>
    <cellStyle name="Normal 7 2 3 2 4" xfId="21331"/>
    <cellStyle name="Normal 8 2 3 2 4" xfId="21332"/>
    <cellStyle name="Note 3 2 2 2 9" xfId="21333"/>
    <cellStyle name="Note 4 6 9" xfId="21334"/>
    <cellStyle name="Comma 23 4" xfId="21335"/>
    <cellStyle name="Percent 240 4" xfId="21336"/>
    <cellStyle name="Total 3 7 9" xfId="21337"/>
    <cellStyle name="Total 2 5 3 9" xfId="21338"/>
    <cellStyle name="Total 2 3 3 9" xfId="21339"/>
    <cellStyle name="Total 2 2 6 9" xfId="21340"/>
    <cellStyle name="Total 2 2 2 3 9" xfId="21341"/>
    <cellStyle name="StmtTtl2 3 9" xfId="21342"/>
    <cellStyle name="Output 3 7 9" xfId="21343"/>
    <cellStyle name="Note 2 5 2 9" xfId="21344"/>
    <cellStyle name="Note 2 2 2 2 9" xfId="21345"/>
    <cellStyle name="Note 2 3 2 2 9" xfId="21346"/>
    <cellStyle name="Note 2 4 2 2 9" xfId="21347"/>
    <cellStyle name="Note 3 3 2 9" xfId="21348"/>
    <cellStyle name="Input 8 3 9" xfId="21349"/>
    <cellStyle name="Input 6 4 9" xfId="21350"/>
    <cellStyle name="Input 4 6 9" xfId="21351"/>
    <cellStyle name="Input 2 3 3 9" xfId="21352"/>
    <cellStyle name="Input 2 2 3 3 9" xfId="21353"/>
    <cellStyle name="Input 2 2 6 9" xfId="21354"/>
    <cellStyle name="Calculation 2 3 3 9" xfId="21355"/>
    <cellStyle name="Calculation 2 2 3 3 9" xfId="21356"/>
    <cellStyle name="Calculation 2 2 6 9" xfId="21357"/>
    <cellStyle name="Output 2 4 3 9" xfId="21358"/>
    <cellStyle name="Output 2 2 4 3 9" xfId="21359"/>
    <cellStyle name="Output 2 2 2 3 9" xfId="21360"/>
    <cellStyle name="Output 2 11 9" xfId="21361"/>
    <cellStyle name="Note 3 2 8 9" xfId="21362"/>
    <cellStyle name="Note 2 3 4 9" xfId="21363"/>
    <cellStyle name="Note 2 10 9" xfId="21364"/>
    <cellStyle name="Note 4 2 5 9" xfId="21365"/>
    <cellStyle name="Style 21 10" xfId="21366"/>
    <cellStyle name="Style 21 2 10" xfId="21367"/>
    <cellStyle name="Style 22 10" xfId="21368"/>
    <cellStyle name="Style 22 2 10" xfId="21369"/>
    <cellStyle name="Style 23 10" xfId="21370"/>
    <cellStyle name="Style 23 2 10" xfId="21371"/>
    <cellStyle name="Style 24 10" xfId="21372"/>
    <cellStyle name="Style 24 2 10" xfId="21373"/>
    <cellStyle name="Style 25 10" xfId="21374"/>
    <cellStyle name="Style 25 2 10" xfId="21375"/>
    <cellStyle name="Style 26 10" xfId="21376"/>
    <cellStyle name="Style 26 2 10" xfId="21377"/>
    <cellStyle name="styleColumnTitles 10" xfId="21378"/>
    <cellStyle name="styleColumnTitles 2 10" xfId="21379"/>
    <cellStyle name="styleDateRange 10" xfId="21380"/>
    <cellStyle name="styleDateRange 2 10" xfId="21381"/>
    <cellStyle name="styleSeriesAttributes 10" xfId="21382"/>
    <cellStyle name="styleSeriesAttributes 2 10" xfId="21383"/>
    <cellStyle name="styleSeriesData 10" xfId="21384"/>
    <cellStyle name="styleSeriesData 2 10" xfId="21385"/>
    <cellStyle name="styleSeriesDataForecast 10" xfId="21386"/>
    <cellStyle name="styleSeriesDataForecast 2 10" xfId="21387"/>
    <cellStyle name="styleSeriesDataForecastNA 10" xfId="21388"/>
    <cellStyle name="styleSeriesDataForecastNA 2 10" xfId="21389"/>
    <cellStyle name="styleSeriesDataNA 10" xfId="21390"/>
    <cellStyle name="styleSeriesDataNA 2 10" xfId="21391"/>
    <cellStyle name="Style 21 2 2 9" xfId="21392"/>
    <cellStyle name="Style 22 2 2 9" xfId="21393"/>
    <cellStyle name="Style 23 2 2 9" xfId="21394"/>
    <cellStyle name="Style 24 2 2 9" xfId="21395"/>
    <cellStyle name="Style 25 2 2 9" xfId="21396"/>
    <cellStyle name="Style 26 2 2 9" xfId="21397"/>
    <cellStyle name="styleColumnTitles 2 2 9" xfId="21398"/>
    <cellStyle name="styleDateRange 2 2 9" xfId="21399"/>
    <cellStyle name="styleSeriesAttributes 2 2 9" xfId="21400"/>
    <cellStyle name="styleSeriesData 2 2 9" xfId="21401"/>
    <cellStyle name="styleSeriesDataForecast 2 2 9" xfId="21402"/>
    <cellStyle name="styleSeriesDataForecastNA 2 2 9" xfId="21403"/>
    <cellStyle name="styleSeriesDataNA 2 2 9" xfId="21404"/>
    <cellStyle name="Total 2 6 3 9" xfId="21405"/>
    <cellStyle name="Normal 345 4 4" xfId="21406"/>
    <cellStyle name="Comma 20 2 4" xfId="21407"/>
    <cellStyle name="20% - Accent1 6 4 4" xfId="21408"/>
    <cellStyle name="20% - Accent2 6 4 4" xfId="21409"/>
    <cellStyle name="20% - Accent3 6 4 4" xfId="21410"/>
    <cellStyle name="20% - Accent4 6 4 4" xfId="21411"/>
    <cellStyle name="20% - Accent5 6 4 4" xfId="21412"/>
    <cellStyle name="20% - Accent6 6 4 4" xfId="21413"/>
    <cellStyle name="40% - Accent1 6 4 4" xfId="21414"/>
    <cellStyle name="40% - Accent2 6 4 4" xfId="21415"/>
    <cellStyle name="40% - Accent3 6 4 4" xfId="21416"/>
    <cellStyle name="40% - Accent4 6 4 4" xfId="21417"/>
    <cellStyle name="40% - Accent5 6 4 4" xfId="21418"/>
    <cellStyle name="40% - Accent6 6 4 4" xfId="21419"/>
    <cellStyle name="Calculation 7 2 9" xfId="21420"/>
    <cellStyle name="Calculation 2 6 2 9" xfId="21421"/>
    <cellStyle name="Calculation 3 2 2 9" xfId="21422"/>
    <cellStyle name="Calculation 4 2 2 9" xfId="21423"/>
    <cellStyle name="Calculation 5 4 9" xfId="21424"/>
    <cellStyle name="Output 9 2 9" xfId="21425"/>
    <cellStyle name="Input 10 2 9" xfId="21426"/>
    <cellStyle name="Input 2 6 2 9" xfId="21427"/>
    <cellStyle name="Input 3 2 2 9" xfId="21428"/>
    <cellStyle name="Input 4 2 2 9" xfId="21429"/>
    <cellStyle name="Input 5 2 2 9" xfId="21430"/>
    <cellStyle name="Normal 10 5 2 4" xfId="21431"/>
    <cellStyle name="Normal 11 5 2 4" xfId="21432"/>
    <cellStyle name="Normal 14 3 2 4" xfId="21433"/>
    <cellStyle name="Normal 2 2 2 2 2 4" xfId="21434"/>
    <cellStyle name="Normal 8 6 2 4" xfId="21435"/>
    <cellStyle name="Note 11 2 9" xfId="21436"/>
    <cellStyle name="Note 2 6 2 9" xfId="21437"/>
    <cellStyle name="Note 2 2 3 2 9" xfId="21438"/>
    <cellStyle name="Note 3 4 2 9" xfId="21439"/>
    <cellStyle name="Note 3 2 4 2 9" xfId="21440"/>
    <cellStyle name="Note 4 3 2 9" xfId="21441"/>
    <cellStyle name="Note 4 2 2 2 9" xfId="21442"/>
    <cellStyle name="Note 5 5 9" xfId="21443"/>
    <cellStyle name="Note 5 2 4 9" xfId="21444"/>
    <cellStyle name="Note 6 5 9" xfId="21445"/>
    <cellStyle name="Note 6 2 4 9" xfId="21446"/>
    <cellStyle name="Note 7 5 9" xfId="21447"/>
    <cellStyle name="Note 7 2 4 9" xfId="21448"/>
    <cellStyle name="Note 8 4 9" xfId="21449"/>
    <cellStyle name="Note 9 3 9" xfId="21450"/>
    <cellStyle name="Output 7 2 9" xfId="21451"/>
    <cellStyle name="Output 2 6 2 9" xfId="21452"/>
    <cellStyle name="Output 3 2 2 9" xfId="21453"/>
    <cellStyle name="Output 4 2 2 9" xfId="21454"/>
    <cellStyle name="Output 5 5 9" xfId="21455"/>
    <cellStyle name="Total 7 2 9" xfId="21456"/>
    <cellStyle name="Total 2 7 2 9" xfId="21457"/>
    <cellStyle name="Total 3 2 2 9" xfId="21458"/>
    <cellStyle name="Total 4 2 2 9" xfId="21459"/>
    <cellStyle name="Total 5 5 9" xfId="21460"/>
    <cellStyle name="Calculation 8 2 9" xfId="21461"/>
    <cellStyle name="Input 12 2 9" xfId="21462"/>
    <cellStyle name="Input 11 2 9" xfId="21463"/>
    <cellStyle name="Calculation 9 2 9" xfId="21464"/>
    <cellStyle name="Output 8 2 9" xfId="21465"/>
    <cellStyle name="Total 8 2 9" xfId="21466"/>
    <cellStyle name="Total 9 2 9" xfId="21467"/>
    <cellStyle name="20% - Accent1 6 2 2 4" xfId="21468"/>
    <cellStyle name="20% - Accent2 6 2 2 4" xfId="21469"/>
    <cellStyle name="20% - Accent3 6 2 2 4" xfId="21470"/>
    <cellStyle name="20% - Accent4 6 2 2 4" xfId="21471"/>
    <cellStyle name="20% - Accent5 6 2 2 4" xfId="21472"/>
    <cellStyle name="20% - Accent6 6 2 2 4" xfId="21473"/>
    <cellStyle name="40% - Accent1 6 2 2 4" xfId="21474"/>
    <cellStyle name="40% - Accent2 6 2 2 4" xfId="21475"/>
    <cellStyle name="40% - Accent3 6 2 2 4" xfId="21476"/>
    <cellStyle name="40% - Accent4 6 2 2 4" xfId="21477"/>
    <cellStyle name="Output 5 2 2 9" xfId="21478"/>
    <cellStyle name="Output 4 3 2 9" xfId="21479"/>
    <cellStyle name="Output 3 3 2 9" xfId="21480"/>
    <cellStyle name="Output 2 7 2 9" xfId="21481"/>
    <cellStyle name="Output 11 2 9" xfId="21482"/>
    <cellStyle name="40% - Accent5 6 2 2 4" xfId="21483"/>
    <cellStyle name="40% - Accent6 6 2 2 4" xfId="21484"/>
    <cellStyle name="Input 5 3 2 9" xfId="21485"/>
    <cellStyle name="Input 4 3 2 9" xfId="21486"/>
    <cellStyle name="Input 3 3 2 9" xfId="21487"/>
    <cellStyle name="Input 2 7 2 9" xfId="21488"/>
    <cellStyle name="Calculation 10 2 9" xfId="21489"/>
    <cellStyle name="Input 14 2 9" xfId="21490"/>
    <cellStyle name="Input 16 2 9" xfId="21491"/>
    <cellStyle name="Input 17 2 9" xfId="21492"/>
    <cellStyle name="Input 15 2 9" xfId="21493"/>
    <cellStyle name="Input 13 2 9" xfId="21494"/>
    <cellStyle name="Calculation 5 2 2 9" xfId="21495"/>
    <cellStyle name="Calculation 4 3 2 9" xfId="21496"/>
    <cellStyle name="Calculation 3 3 2 9" xfId="21497"/>
    <cellStyle name="Calculation 2 7 2 9" xfId="21498"/>
    <cellStyle name="Calculation 11 2 9" xfId="21499"/>
    <cellStyle name="Normal 10 6 2 4" xfId="21500"/>
    <cellStyle name="Normal 11 6 2 4" xfId="21501"/>
    <cellStyle name="Normal 14 4 2 4" xfId="21502"/>
    <cellStyle name="Normal 2 2 2 3 2 4" xfId="21503"/>
    <cellStyle name="Normal 8 7 2 4" xfId="21504"/>
    <cellStyle name="Output 10 2 9" xfId="21505"/>
    <cellStyle name="Note 12 2 9" xfId="21506"/>
    <cellStyle name="Note 2 7 2 9" xfId="21507"/>
    <cellStyle name="Note 2 2 4 2 9" xfId="21508"/>
    <cellStyle name="Note 3 5 2 9" xfId="21509"/>
    <cellStyle name="Note 3 2 5 2 9" xfId="21510"/>
    <cellStyle name="Note 4 4 2 9" xfId="21511"/>
    <cellStyle name="Note 4 2 3 2 9" xfId="21512"/>
    <cellStyle name="Note 5 3 2 9" xfId="21513"/>
    <cellStyle name="Note 5 2 2 2 9" xfId="21514"/>
    <cellStyle name="Note 6 3 2 9" xfId="21515"/>
    <cellStyle name="Note 6 2 2 2 9" xfId="21516"/>
    <cellStyle name="Note 7 3 2 9" xfId="21517"/>
    <cellStyle name="Note 7 2 2 2 9" xfId="21518"/>
    <cellStyle name="Note 8 2 2 9" xfId="21519"/>
    <cellStyle name="Note 9 2 2 9" xfId="21520"/>
    <cellStyle name="Output 12 2 9" xfId="21521"/>
    <cellStyle name="Output 2 8 2 9" xfId="21522"/>
    <cellStyle name="Output 3 4 2 9" xfId="21523"/>
    <cellStyle name="Output 4 4 2 9" xfId="21524"/>
    <cellStyle name="Output 5 3 2 9" xfId="21525"/>
    <cellStyle name="Total 10 2 9" xfId="21526"/>
    <cellStyle name="Total 11 2 9" xfId="21527"/>
    <cellStyle name="Total 2 8 2 9" xfId="21528"/>
    <cellStyle name="Total 3 3 2 9" xfId="21529"/>
    <cellStyle name="Total 4 3 2 9" xfId="21530"/>
    <cellStyle name="Total 5 2 2 9" xfId="21531"/>
    <cellStyle name="Total 12 2 9" xfId="21532"/>
    <cellStyle name="Total 2 9 2 9" xfId="21533"/>
    <cellStyle name="Total 3 4 2 9" xfId="21534"/>
    <cellStyle name="Total 4 4 2 9" xfId="21535"/>
    <cellStyle name="Total 5 3 2 9" xfId="21536"/>
    <cellStyle name="20% - Accent1 6 3 2 4" xfId="21537"/>
    <cellStyle name="20% - Accent2 6 3 2 4" xfId="21538"/>
    <cellStyle name="20% - Accent3 6 3 2 4" xfId="21539"/>
    <cellStyle name="20% - Accent4 6 3 2 4" xfId="21540"/>
    <cellStyle name="20% - Accent5 6 3 2 4" xfId="21541"/>
    <cellStyle name="20% - Accent6 6 3 2 4" xfId="21542"/>
    <cellStyle name="40% - Accent1 6 3 2 4" xfId="21543"/>
    <cellStyle name="40% - Accent2 6 3 2 4" xfId="21544"/>
    <cellStyle name="40% - Accent3 6 3 2 4" xfId="21545"/>
    <cellStyle name="40% - Accent4 6 3 2 4" xfId="21546"/>
    <cellStyle name="40% - Accent5 6 3 2 4" xfId="21547"/>
    <cellStyle name="40% - Accent6 6 3 2 4" xfId="21548"/>
    <cellStyle name="Input 18 2 9" xfId="21549"/>
    <cellStyle name="Normal 10 7 2 4" xfId="21550"/>
    <cellStyle name="Normal 11 7 2 4" xfId="21551"/>
    <cellStyle name="Normal 14 5 2 4" xfId="21552"/>
    <cellStyle name="Normal 2 2 2 4 2 4" xfId="21553"/>
    <cellStyle name="Normal 8 8 2 4" xfId="21554"/>
    <cellStyle name="Calculation 12 2 9" xfId="21555"/>
    <cellStyle name="Input 19 2 9" xfId="21556"/>
    <cellStyle name="Note 13 2 9" xfId="21557"/>
    <cellStyle name="Output 13 2 9" xfId="21558"/>
    <cellStyle name="Total 13 2 9" xfId="21559"/>
    <cellStyle name="Normal 8 9 2 4" xfId="21560"/>
    <cellStyle name="Comma 13 4 2 4" xfId="21561"/>
    <cellStyle name="Currency 7 5 2 4" xfId="21562"/>
    <cellStyle name="Calculation 2 8 2 9" xfId="21563"/>
    <cellStyle name="Calculation 3 4 2 9" xfId="21564"/>
    <cellStyle name="Calculation 4 4 2 9" xfId="21565"/>
    <cellStyle name="Calculation 5 3 2 9" xfId="21566"/>
    <cellStyle name="Input 2 8 2 9" xfId="21567"/>
    <cellStyle name="Input 3 4 2 9" xfId="21568"/>
    <cellStyle name="Input 4 4 2 9" xfId="21569"/>
    <cellStyle name="Input 5 4 2 9" xfId="21570"/>
    <cellStyle name="Normal 10 8 2 4" xfId="21571"/>
    <cellStyle name="Note 2 8 2 9" xfId="21572"/>
    <cellStyle name="Note 2 2 5 2 9" xfId="21573"/>
    <cellStyle name="Note 3 6 2 9" xfId="21574"/>
    <cellStyle name="Note 3 2 6 2 9" xfId="21575"/>
    <cellStyle name="Note 4 5 2 9" xfId="21576"/>
    <cellStyle name="Note 4 2 4 2 9" xfId="21577"/>
    <cellStyle name="Note 5 4 2 9" xfId="21578"/>
    <cellStyle name="Note 5 2 3 2 9" xfId="21579"/>
    <cellStyle name="Note 6 4 2 9" xfId="21580"/>
    <cellStyle name="Note 6 2 3 2 9" xfId="21581"/>
    <cellStyle name="Note 7 4 2 9" xfId="21582"/>
    <cellStyle name="Note 7 2 3 2 9" xfId="21583"/>
    <cellStyle name="Note 8 3 2 9" xfId="21584"/>
    <cellStyle name="Output 2 9 2 9" xfId="21585"/>
    <cellStyle name="Output 3 5 2 9" xfId="21586"/>
    <cellStyle name="Output 4 5 2 9" xfId="21587"/>
    <cellStyle name="Output 5 4 2 9" xfId="21588"/>
    <cellStyle name="Total 2 10 2 9" xfId="21589"/>
    <cellStyle name="Total 3 5 2 9" xfId="21590"/>
    <cellStyle name="Total 4 5 2 9" xfId="21591"/>
    <cellStyle name="Total 5 4 2 9" xfId="21592"/>
    <cellStyle name="Normal 11 8 2 4" xfId="21593"/>
    <cellStyle name="Normal 14 6 2 4" xfId="21594"/>
    <cellStyle name="Normal 43 3 2 4" xfId="21595"/>
    <cellStyle name="Normal 44 3 2 4" xfId="21596"/>
    <cellStyle name="Input 20 2 9" xfId="21597"/>
    <cellStyle name="Normal 8 10 2 4" xfId="21598"/>
    <cellStyle name="Comma 13 5 2 4" xfId="21599"/>
    <cellStyle name="Currency 7 6 2 4" xfId="21600"/>
    <cellStyle name="Normal 10 9 2 4" xfId="21601"/>
    <cellStyle name="Normal 11 9 2 4" xfId="21602"/>
    <cellStyle name="Normal 14 7 2 4" xfId="21603"/>
    <cellStyle name="Normal 43 4 2 4" xfId="21604"/>
    <cellStyle name="Normal 44 4 2 4" xfId="21605"/>
    <cellStyle name="Normal 355 2 4" xfId="21606"/>
    <cellStyle name="Comma 22 2 4" xfId="21607"/>
    <cellStyle name="Input 21 2 9" xfId="21608"/>
    <cellStyle name="Normal 8 11 2 4" xfId="21609"/>
    <cellStyle name="Comma 13 6 2 4" xfId="21610"/>
    <cellStyle name="Currency 7 7 2 4" xfId="21611"/>
    <cellStyle name="Normal 10 10 2 4" xfId="21612"/>
    <cellStyle name="Normal 11 10 2 4" xfId="21613"/>
    <cellStyle name="Normal 14 8 2 4" xfId="21614"/>
    <cellStyle name="Normal 43 5 2 4" xfId="21615"/>
    <cellStyle name="Normal 44 5 2 4" xfId="21616"/>
    <cellStyle name="Note 6 2 6 6" xfId="21617"/>
    <cellStyle name="Note 7 7 6" xfId="21618"/>
    <cellStyle name="Note 7 2 6 6" xfId="21619"/>
    <cellStyle name="Note 8 6 6" xfId="21620"/>
    <cellStyle name="Note 9 5 6" xfId="21621"/>
    <cellStyle name="Output 7 4 6" xfId="21622"/>
    <cellStyle name="Output 2 6 4 6" xfId="21623"/>
    <cellStyle name="Output 3 2 4 6" xfId="21624"/>
    <cellStyle name="Output 4 2 4 6" xfId="21625"/>
    <cellStyle name="Output 5 7 6" xfId="21626"/>
    <cellStyle name="Note 4 2 4 5 6" xfId="21627"/>
    <cellStyle name="Total 7 4 6" xfId="21628"/>
    <cellStyle name="Total 2 7 4 6" xfId="21629"/>
    <cellStyle name="Total 3 2 4 6" xfId="21630"/>
    <cellStyle name="Total 4 2 4 6" xfId="21631"/>
    <cellStyle name="Total 5 7 6" xfId="21632"/>
    <cellStyle name="Calculation 8 4 6" xfId="21633"/>
    <cellStyle name="Input 12 4 6" xfId="21634"/>
    <cellStyle name="Input 11 4 6" xfId="21635"/>
    <cellStyle name="Calculation 9 4 6" xfId="21636"/>
    <cellStyle name="Output 8 4 6" xfId="21637"/>
    <cellStyle name="Note 4 5 5 6" xfId="21638"/>
    <cellStyle name="Total 8 4 6" xfId="21639"/>
    <cellStyle name="Total 9 4 6" xfId="21640"/>
    <cellStyle name="Input 2 9 3 6" xfId="21641"/>
    <cellStyle name="Note 2 2 2 3 3 6" xfId="21642"/>
    <cellStyle name="Note 7 2 3 5 6" xfId="21643"/>
    <cellStyle name="Note 3 2 6 5 6" xfId="21644"/>
    <cellStyle name="Output 13 5 6" xfId="21645"/>
    <cellStyle name="Input 14 5 6" xfId="21646"/>
    <cellStyle name="Input 5 3 5 6" xfId="21647"/>
    <cellStyle name="Output 5 2 4 6" xfId="21648"/>
    <cellStyle name="Output 4 3 4 6" xfId="21649"/>
    <cellStyle name="Output 3 3 4 6" xfId="21650"/>
    <cellStyle name="Output 2 7 4 6" xfId="21651"/>
    <cellStyle name="Output 11 4 6" xfId="21652"/>
    <cellStyle name="Input 5 3 4 6" xfId="21653"/>
    <cellStyle name="Input 4 3 4 6" xfId="21654"/>
    <cellStyle name="Input 3 3 4 6" xfId="21655"/>
    <cellStyle name="Input 2 7 4 6" xfId="21656"/>
    <cellStyle name="Calculation 10 4 6" xfId="21657"/>
    <cellStyle name="Input 14 4 6" xfId="21658"/>
    <cellStyle name="Input 16 4 6" xfId="21659"/>
    <cellStyle name="Input 17 4 6" xfId="21660"/>
    <cellStyle name="Input 15 4 6" xfId="21661"/>
    <cellStyle name="Input 13 4 6" xfId="21662"/>
    <cellStyle name="Calculation 5 2 4 6" xfId="21663"/>
    <cellStyle name="Calculation 4 3 4 6" xfId="21664"/>
    <cellStyle name="Calculation 3 3 4 6" xfId="21665"/>
    <cellStyle name="Calculation 2 7 4 6" xfId="21666"/>
    <cellStyle name="Calculation 11 4 6" xfId="21667"/>
    <cellStyle name="Output 10 4 6" xfId="21668"/>
    <cellStyle name="Note 12 4 6" xfId="21669"/>
    <cellStyle name="Note 2 7 4 6" xfId="21670"/>
    <cellStyle name="Note 2 2 4 4 6" xfId="21671"/>
    <cellStyle name="Note 3 5 4 6" xfId="21672"/>
    <cellStyle name="Note 3 2 5 4 6" xfId="21673"/>
    <cellStyle name="Note 4 4 4 6" xfId="21674"/>
    <cellStyle name="Note 4 2 3 4 6" xfId="21675"/>
    <cellStyle name="Note 5 3 4 6" xfId="21676"/>
    <cellStyle name="Note 5 2 2 4 6" xfId="21677"/>
    <cellStyle name="Note 6 3 4 6" xfId="21678"/>
    <cellStyle name="Note 6 2 2 4 6" xfId="21679"/>
    <cellStyle name="Note 7 3 4 6" xfId="21680"/>
    <cellStyle name="Note 7 2 2 4 6" xfId="21681"/>
    <cellStyle name="Note 8 2 4 6" xfId="21682"/>
    <cellStyle name="Note 9 2 4 6" xfId="21683"/>
    <cellStyle name="Output 12 4 6" xfId="21684"/>
    <cellStyle name="Output 2 8 4 6" xfId="21685"/>
    <cellStyle name="Output 3 4 4 6" xfId="21686"/>
    <cellStyle name="Output 4 4 4 6" xfId="21687"/>
    <cellStyle name="Output 5 3 4 6" xfId="21688"/>
    <cellStyle name="Total 10 4 6" xfId="21689"/>
    <cellStyle name="Total 11 4 6" xfId="21690"/>
    <cellStyle name="Total 2 8 4 6" xfId="21691"/>
    <cellStyle name="Total 3 3 4 6" xfId="21692"/>
    <cellStyle name="Total 4 3 4 6" xfId="21693"/>
    <cellStyle name="Total 5 2 4 6" xfId="21694"/>
    <cellStyle name="Total 12 4 6" xfId="21695"/>
    <cellStyle name="Total 2 9 4 6" xfId="21696"/>
    <cellStyle name="Total 3 4 4 6" xfId="21697"/>
    <cellStyle name="Total 4 4 4 6" xfId="21698"/>
    <cellStyle name="Total 5 3 4 6" xfId="21699"/>
    <cellStyle name="Note 2 4 2 3 3 6" xfId="21700"/>
    <cellStyle name="Note 6 2 3 5 6" xfId="21701"/>
    <cellStyle name="Input 19 5 6" xfId="21702"/>
    <cellStyle name="Input 2 7 5 6" xfId="21703"/>
    <cellStyle name="Input 18 4 6" xfId="21704"/>
    <cellStyle name="Calculation 12 4 6" xfId="21705"/>
    <cellStyle name="Input 19 4 6" xfId="21706"/>
    <cellStyle name="Note 13 4 6" xfId="21707"/>
    <cellStyle name="Output 13 4 6" xfId="21708"/>
    <cellStyle name="Total 13 4 6" xfId="21709"/>
    <cellStyle name="Calculation 2 8 4 6" xfId="21710"/>
    <cellStyle name="Calculation 3 4 4 6" xfId="21711"/>
    <cellStyle name="Calculation 4 4 4 6" xfId="21712"/>
    <cellStyle name="Calculation 5 3 4 6" xfId="21713"/>
    <cellStyle name="Input 2 8 4 6" xfId="21714"/>
    <cellStyle name="Input 3 4 4 6" xfId="21715"/>
    <cellStyle name="Input 4 4 4 6" xfId="21716"/>
    <cellStyle name="Input 5 4 4 6" xfId="21717"/>
    <cellStyle name="Note 2 8 4 6" xfId="21718"/>
    <cellStyle name="Note 2 2 5 4 6" xfId="21719"/>
    <cellStyle name="Note 3 6 4 6" xfId="21720"/>
    <cellStyle name="Note 3 2 6 4 6" xfId="21721"/>
    <cellStyle name="Note 4 5 4 6" xfId="21722"/>
    <cellStyle name="Note 4 2 4 4 6" xfId="21723"/>
    <cellStyle name="Note 5 4 4 6" xfId="21724"/>
    <cellStyle name="Note 5 2 3 4 6" xfId="21725"/>
    <cellStyle name="Note 6 4 4 6" xfId="21726"/>
    <cellStyle name="Note 6 2 3 4 6" xfId="21727"/>
    <cellStyle name="Note 7 4 4 6" xfId="21728"/>
    <cellStyle name="Note 7 2 3 4 6" xfId="21729"/>
    <cellStyle name="Note 8 3 4 6" xfId="21730"/>
    <cellStyle name="Output 2 9 4 6" xfId="21731"/>
    <cellStyle name="Output 3 5 4 6" xfId="21732"/>
    <cellStyle name="Output 4 5 4 6" xfId="21733"/>
    <cellStyle name="Output 5 4 4 6" xfId="21734"/>
    <cellStyle name="Total 2 10 4 6" xfId="21735"/>
    <cellStyle name="Total 3 5 4 6" xfId="21736"/>
    <cellStyle name="Total 4 5 4 6" xfId="21737"/>
    <cellStyle name="Total 5 4 4 6" xfId="21738"/>
    <cellStyle name="Input 20 4 6" xfId="21739"/>
    <cellStyle name="Input 21 4 6" xfId="21740"/>
    <cellStyle name="Note 4 2 6 2 6" xfId="21741"/>
    <cellStyle name="Note 3 3 3 2 6" xfId="21742"/>
    <cellStyle name="Note 2 5 3 2 6" xfId="21743"/>
    <cellStyle name="Note 2 4 2 3 2 6" xfId="21744"/>
    <cellStyle name="Note 2 3 2 3 2 6" xfId="21745"/>
    <cellStyle name="Note 2 2 2 3 2 6" xfId="21746"/>
    <cellStyle name="Calculation 2 9 2 6" xfId="21747"/>
    <cellStyle name="Calculation 2 2 5 2 6" xfId="21748"/>
    <cellStyle name="Calculation 2 2 2 2 2 6" xfId="21749"/>
    <cellStyle name="Calculation 2 2 3 2 2 6" xfId="21750"/>
    <cellStyle name="Calculation 2 2 4 2 2 6" xfId="21751"/>
    <cellStyle name="Calculation 2 3 2 2 6" xfId="21752"/>
    <cellStyle name="Calculation 2 4 2 2 6" xfId="21753"/>
    <cellStyle name="Calculation 2 5 2 2 6" xfId="21754"/>
    <cellStyle name="Calculation 3 5 2 6" xfId="21755"/>
    <cellStyle name="Header2 2 2 5" xfId="21756"/>
    <cellStyle name="Input 2 5 3 2 6" xfId="21757"/>
    <cellStyle name="Input 2 9 2 6" xfId="21758"/>
    <cellStyle name="Input 2 2 5 2 6" xfId="21759"/>
    <cellStyle name="Input 2 2 2 2 2 6" xfId="21760"/>
    <cellStyle name="Input 2 2 3 2 2 6" xfId="21761"/>
    <cellStyle name="Input 2 2 4 2 2 6" xfId="21762"/>
    <cellStyle name="Input 2 3 2 2 6" xfId="21763"/>
    <cellStyle name="Input 2 4 2 2 6" xfId="21764"/>
    <cellStyle name="Input 2 5 2 2 6" xfId="21765"/>
    <cellStyle name="Input 3 5 2 6" xfId="21766"/>
    <cellStyle name="Input 4 5 2 6" xfId="21767"/>
    <cellStyle name="Input 5 5 2 6" xfId="21768"/>
    <cellStyle name="Input 6 3 2 6" xfId="21769"/>
    <cellStyle name="Input 7 2 2 6" xfId="21770"/>
    <cellStyle name="Input 8 2 2 6" xfId="21771"/>
    <cellStyle name="Calculation 2 5 3 2 6" xfId="21772"/>
    <cellStyle name="Total 2 4 3 2 6" xfId="21773"/>
    <cellStyle name="Total 2 2 4 3 2 6" xfId="21774"/>
    <cellStyle name="Total 2 2 3 3 2 6" xfId="21775"/>
    <cellStyle name="Total 2 12 2 6" xfId="21776"/>
    <cellStyle name="Note 2 9 2 6" xfId="21777"/>
    <cellStyle name="Note 2 2 6 2 6" xfId="21778"/>
    <cellStyle name="Note 2 3 3 2 6" xfId="21779"/>
    <cellStyle name="Note 2 4 3 2 6" xfId="21780"/>
    <cellStyle name="Note 3 7 2 6" xfId="21781"/>
    <cellStyle name="Note 3 2 7 2 6" xfId="21782"/>
    <cellStyle name="Output 2 10 2 6" xfId="21783"/>
    <cellStyle name="Output 2 2 5 2 6" xfId="21784"/>
    <cellStyle name="Output 2 2 2 2 2 6" xfId="21785"/>
    <cellStyle name="Output 2 2 3 2 2 6" xfId="21786"/>
    <cellStyle name="Output 2 2 4 2 2 6" xfId="21787"/>
    <cellStyle name="Output 2 3 2 2 6" xfId="21788"/>
    <cellStyle name="Output 2 4 2 2 6" xfId="21789"/>
    <cellStyle name="Output 2 5 2 2 6" xfId="21790"/>
    <cellStyle name="Output 3 6 2 6" xfId="21791"/>
    <cellStyle name="Input 7 3 2 6" xfId="21792"/>
    <cellStyle name="Input 5 6 2 6" xfId="21793"/>
    <cellStyle name="Input 3 6 2 6" xfId="21794"/>
    <cellStyle name="Input 2 4 3 2 6" xfId="21795"/>
    <cellStyle name="Input 2 2 4 3 2 6" xfId="21796"/>
    <cellStyle name="Input 2 2 2 3 2 6" xfId="21797"/>
    <cellStyle name="Input 2 10 2 6" xfId="21798"/>
    <cellStyle name="Calculation 3 6 2 6" xfId="21799"/>
    <cellStyle name="Calculation 2 4 3 2 6" xfId="21800"/>
    <cellStyle name="Calculation 2 2 4 3 2 6" xfId="21801"/>
    <cellStyle name="Calculation 2 2 2 3 2 6" xfId="21802"/>
    <cellStyle name="Calculation 2 10 2 6" xfId="21803"/>
    <cellStyle name="StmtTtl2 2 2 6" xfId="21804"/>
    <cellStyle name="Total 2 11 2 6" xfId="21805"/>
    <cellStyle name="Total 2 2 5 2 6" xfId="21806"/>
    <cellStyle name="Total 2 2 2 2 2 6" xfId="21807"/>
    <cellStyle name="Total 2 2 3 2 2 6" xfId="21808"/>
    <cellStyle name="Total 2 2 4 2 2 6" xfId="21809"/>
    <cellStyle name="Total 2 3 2 2 6" xfId="21810"/>
    <cellStyle name="Total 2 4 2 2 6" xfId="21811"/>
    <cellStyle name="Total 2 5 2 2 6" xfId="21812"/>
    <cellStyle name="Total 2 6 2 2 6" xfId="21813"/>
    <cellStyle name="Total 3 6 2 6" xfId="21814"/>
    <cellStyle name="Calculation 2 2 2 2 3 6" xfId="21815"/>
    <cellStyle name="Output 3 5 5 6" xfId="21816"/>
    <cellStyle name="Input 12 5 6" xfId="21817"/>
    <cellStyle name="Output 2 5 3 2 6" xfId="21818"/>
    <cellStyle name="Output 2 3 3 2 6" xfId="21819"/>
    <cellStyle name="Output 2 2 3 3 2 6" xfId="21820"/>
    <cellStyle name="Output 2 2 6 2 6" xfId="21821"/>
    <cellStyle name="Note 4 7 2 6" xfId="21822"/>
    <cellStyle name="Note 3 2 2 3 2 6" xfId="21823"/>
    <cellStyle name="Note 3 8 2 6" xfId="21824"/>
    <cellStyle name="Note 2 4 4 2 6" xfId="21825"/>
    <cellStyle name="Note 2 2 7 2 6" xfId="21826"/>
    <cellStyle name="Note 3 2 2 2 2 6" xfId="21827"/>
    <cellStyle name="Note 4 6 2 6" xfId="21828"/>
    <cellStyle name="Total 3 7 2 6" xfId="21829"/>
    <cellStyle name="Total 2 5 3 2 6" xfId="21830"/>
    <cellStyle name="Total 2 3 3 2 6" xfId="21831"/>
    <cellStyle name="Total 2 2 6 2 6" xfId="21832"/>
    <cellStyle name="Total 2 2 2 3 2 6" xfId="21833"/>
    <cellStyle name="StmtTtl2 3 2 6" xfId="21834"/>
    <cellStyle name="Output 3 7 2 6" xfId="21835"/>
    <cellStyle name="Note 2 5 2 2 6" xfId="21836"/>
    <cellStyle name="Note 2 2 2 2 2 6" xfId="21837"/>
    <cellStyle name="Note 2 3 2 2 2 6" xfId="21838"/>
    <cellStyle name="Note 2 4 2 2 2 6" xfId="21839"/>
    <cellStyle name="Note 3 3 2 2 6" xfId="21840"/>
    <cellStyle name="Input 8 3 2 6" xfId="21841"/>
    <cellStyle name="Input 6 4 2 6" xfId="21842"/>
    <cellStyle name="Input 4 6 2 6" xfId="21843"/>
    <cellStyle name="Input 2 3 3 2 6" xfId="21844"/>
    <cellStyle name="Input 2 2 3 3 2 6" xfId="21845"/>
    <cellStyle name="Input 2 2 6 2 6" xfId="21846"/>
    <cellStyle name="Calculation 2 3 3 2 6" xfId="21847"/>
    <cellStyle name="Calculation 2 2 3 3 2 6" xfId="21848"/>
    <cellStyle name="Calculation 2 2 6 2 6" xfId="21849"/>
    <cellStyle name="Output 2 4 3 2 6" xfId="21850"/>
    <cellStyle name="Output 2 2 4 3 2 6" xfId="21851"/>
    <cellStyle name="Output 2 2 2 3 2 6" xfId="21852"/>
    <cellStyle name="Output 2 11 2 6" xfId="21853"/>
    <cellStyle name="Note 3 2 8 2 6" xfId="21854"/>
    <cellStyle name="Note 2 3 4 2 6" xfId="21855"/>
    <cellStyle name="Note 2 10 2 6" xfId="21856"/>
    <cellStyle name="Note 4 2 5 2 6" xfId="21857"/>
    <cellStyle name="Style 21 3 6" xfId="21858"/>
    <cellStyle name="Style 21 2 3 6" xfId="21859"/>
    <cellStyle name="Style 22 3 6" xfId="21860"/>
    <cellStyle name="Style 22 2 3 6" xfId="21861"/>
    <cellStyle name="Style 23 3 6" xfId="21862"/>
    <cellStyle name="Style 23 2 3 6" xfId="21863"/>
    <cellStyle name="Style 24 3 6" xfId="21864"/>
    <cellStyle name="Style 24 2 3 6" xfId="21865"/>
    <cellStyle name="Style 25 3 6" xfId="21866"/>
    <cellStyle name="Style 25 2 3 6" xfId="21867"/>
    <cellStyle name="Style 26 3 6" xfId="21868"/>
    <cellStyle name="Style 26 2 3 6" xfId="21869"/>
    <cellStyle name="styleColumnTitles 3 6" xfId="21870"/>
    <cellStyle name="styleColumnTitles 2 3 6" xfId="21871"/>
    <cellStyle name="styleDateRange 3 6" xfId="21872"/>
    <cellStyle name="styleDateRange 2 3 6" xfId="21873"/>
    <cellStyle name="styleSeriesAttributes 3 6" xfId="21874"/>
    <cellStyle name="styleSeriesAttributes 2 3 6" xfId="21875"/>
    <cellStyle name="styleSeriesData 3 6" xfId="21876"/>
    <cellStyle name="styleSeriesData 2 3 6" xfId="21877"/>
    <cellStyle name="styleSeriesDataForecast 3 6" xfId="21878"/>
    <cellStyle name="styleSeriesDataForecast 2 3 6" xfId="21879"/>
    <cellStyle name="styleSeriesDataForecastNA 3 6" xfId="21880"/>
    <cellStyle name="styleSeriesDataForecastNA 2 3 6" xfId="21881"/>
    <cellStyle name="styleSeriesDataNA 3 6" xfId="21882"/>
    <cellStyle name="styleSeriesDataNA 2 3 6" xfId="21883"/>
    <cellStyle name="Style 21 2 2 2 6" xfId="21884"/>
    <cellStyle name="Style 22 2 2 2 6" xfId="21885"/>
    <cellStyle name="Style 23 2 2 2 6" xfId="21886"/>
    <cellStyle name="Style 24 2 2 2 6" xfId="21887"/>
    <cellStyle name="Style 25 2 2 2 6" xfId="21888"/>
    <cellStyle name="Style 26 2 2 2 6" xfId="21889"/>
    <cellStyle name="styleColumnTitles 2 2 2 6" xfId="21890"/>
    <cellStyle name="styleDateRange 2 2 2 6" xfId="21891"/>
    <cellStyle name="styleSeriesAttributes 2 2 2 6" xfId="21892"/>
    <cellStyle name="styleSeriesData 2 2 2 6" xfId="21893"/>
    <cellStyle name="styleSeriesDataForecast 2 2 2 6" xfId="21894"/>
    <cellStyle name="styleSeriesDataForecastNA 2 2 2 6" xfId="21895"/>
    <cellStyle name="styleSeriesDataNA 2 2 2 6" xfId="21896"/>
    <cellStyle name="Total 2 6 3 2 6" xfId="21897"/>
    <cellStyle name="Note 3 3 3 3 6" xfId="21898"/>
    <cellStyle name="Note 5 2 3 5 6" xfId="21899"/>
    <cellStyle name="Input 4 3 5 6" xfId="21900"/>
    <cellStyle name="Calculation 7 2 2 6" xfId="21901"/>
    <cellStyle name="Calculation 2 6 2 2 6" xfId="21902"/>
    <cellStyle name="Calculation 3 2 2 2 6" xfId="21903"/>
    <cellStyle name="Calculation 4 2 2 2 6" xfId="21904"/>
    <cellStyle name="Calculation 5 4 2 6" xfId="21905"/>
    <cellStyle name="Output 9 2 2 6" xfId="21906"/>
    <cellStyle name="Input 10 2 2 6" xfId="21907"/>
    <cellStyle name="Input 2 6 2 2 6" xfId="21908"/>
    <cellStyle name="Input 3 2 2 2 6" xfId="21909"/>
    <cellStyle name="Input 4 2 2 2 6" xfId="21910"/>
    <cellStyle name="Input 5 2 2 2 6" xfId="21911"/>
    <cellStyle name="Note 11 2 2 6" xfId="21912"/>
    <cellStyle name="Note 2 6 2 2 6" xfId="21913"/>
    <cellStyle name="Note 2 2 3 2 2 6" xfId="21914"/>
    <cellStyle name="Note 3 4 2 2 6" xfId="21915"/>
    <cellStyle name="Note 3 2 4 2 2 6" xfId="21916"/>
    <cellStyle name="Note 4 3 2 2 6" xfId="21917"/>
    <cellStyle name="Note 4 2 2 2 2 6" xfId="21918"/>
    <cellStyle name="Note 5 5 2 6" xfId="21919"/>
    <cellStyle name="Note 5 2 4 2 6" xfId="21920"/>
    <cellStyle name="Note 6 5 2 6" xfId="21921"/>
    <cellStyle name="Note 6 2 4 2 6" xfId="21922"/>
    <cellStyle name="Note 7 5 2 6" xfId="21923"/>
    <cellStyle name="Note 7 2 4 2 6" xfId="21924"/>
    <cellStyle name="Note 8 4 2 6" xfId="21925"/>
    <cellStyle name="Note 9 3 2 6" xfId="21926"/>
    <cellStyle name="Output 7 2 2 6" xfId="21927"/>
    <cellStyle name="Output 2 6 2 2 6" xfId="21928"/>
    <cellStyle name="Output 3 2 2 2 6" xfId="21929"/>
    <cellStyle name="Output 4 2 2 2 6" xfId="21930"/>
    <cellStyle name="Output 5 5 2 6" xfId="21931"/>
    <cellStyle name="Total 7 2 2 6" xfId="21932"/>
    <cellStyle name="Total 2 7 2 2 6" xfId="21933"/>
    <cellStyle name="Total 3 2 2 2 6" xfId="21934"/>
    <cellStyle name="Total 4 2 2 2 6" xfId="21935"/>
    <cellStyle name="Total 5 5 2 6" xfId="21936"/>
    <cellStyle name="Calculation 8 2 2 6" xfId="21937"/>
    <cellStyle name="Input 12 2 2 6" xfId="21938"/>
    <cellStyle name="Input 11 2 2 6" xfId="21939"/>
    <cellStyle name="Calculation 9 2 2 6" xfId="21940"/>
    <cellStyle name="Output 8 2 2 6" xfId="21941"/>
    <cellStyle name="Total 8 2 2 6" xfId="21942"/>
    <cellStyle name="Total 9 2 2 6" xfId="21943"/>
    <cellStyle name="Note 2 3 2 3 3 6" xfId="21944"/>
    <cellStyle name="Note 7 4 5 6" xfId="21945"/>
    <cellStyle name="Note 13 5 6" xfId="21946"/>
    <cellStyle name="Calculation 10 5 6" xfId="21947"/>
    <cellStyle name="Output 5 2 2 2 6" xfId="21948"/>
    <cellStyle name="Output 4 3 2 2 6" xfId="21949"/>
    <cellStyle name="Output 3 3 2 2 6" xfId="21950"/>
    <cellStyle name="Output 2 7 2 2 6" xfId="21951"/>
    <cellStyle name="Output 11 2 2 6" xfId="21952"/>
    <cellStyle name="Input 5 3 2 2 6" xfId="21953"/>
    <cellStyle name="Input 4 3 2 2 6" xfId="21954"/>
    <cellStyle name="Input 3 3 2 2 6" xfId="21955"/>
    <cellStyle name="Input 2 7 2 2 6" xfId="21956"/>
    <cellStyle name="Calculation 10 2 2 6" xfId="21957"/>
    <cellStyle name="Input 14 2 2 6" xfId="21958"/>
    <cellStyle name="Input 16 2 2 6" xfId="21959"/>
    <cellStyle name="Input 17 2 2 6" xfId="21960"/>
    <cellStyle name="Input 15 2 2 6" xfId="21961"/>
    <cellStyle name="Input 13 2 2 6" xfId="21962"/>
    <cellStyle name="Calculation 5 2 2 2 6" xfId="21963"/>
    <cellStyle name="Calculation 4 3 2 2 6" xfId="21964"/>
    <cellStyle name="Calculation 3 3 2 2 6" xfId="21965"/>
    <cellStyle name="Calculation 2 7 2 2 6" xfId="21966"/>
    <cellStyle name="Calculation 11 2 2 6" xfId="21967"/>
    <cellStyle name="Output 10 2 2 6" xfId="21968"/>
    <cellStyle name="Note 12 2 2 6" xfId="21969"/>
    <cellStyle name="Note 2 7 2 2 6" xfId="21970"/>
    <cellStyle name="Note 2 2 4 2 2 6" xfId="21971"/>
    <cellStyle name="Note 3 5 2 2 6" xfId="21972"/>
    <cellStyle name="Note 3 2 5 2 2 6" xfId="21973"/>
    <cellStyle name="Note 4 4 2 2 6" xfId="21974"/>
    <cellStyle name="Note 4 2 3 2 2 6" xfId="21975"/>
    <cellStyle name="Note 5 3 2 2 6" xfId="21976"/>
    <cellStyle name="Note 5 2 2 2 2 6" xfId="21977"/>
    <cellStyle name="Note 6 3 2 2 6" xfId="21978"/>
    <cellStyle name="Note 6 2 2 2 2 6" xfId="21979"/>
    <cellStyle name="Note 7 3 2 2 6" xfId="21980"/>
    <cellStyle name="Note 7 2 2 2 2 6" xfId="21981"/>
    <cellStyle name="Note 8 2 2 2 6" xfId="21982"/>
    <cellStyle name="Note 9 2 2 2 6" xfId="21983"/>
    <cellStyle name="Output 12 2 2 6" xfId="21984"/>
    <cellStyle name="Output 2 8 2 2 6" xfId="21985"/>
    <cellStyle name="Output 3 4 2 2 6" xfId="21986"/>
    <cellStyle name="Output 4 4 2 2 6" xfId="21987"/>
    <cellStyle name="Output 5 3 2 2 6" xfId="21988"/>
    <cellStyle name="Total 10 2 2 6" xfId="21989"/>
    <cellStyle name="Total 11 2 2 6" xfId="21990"/>
    <cellStyle name="Total 2 8 2 2 6" xfId="21991"/>
    <cellStyle name="Total 3 3 2 2 6" xfId="21992"/>
    <cellStyle name="Total 4 3 2 2 6" xfId="21993"/>
    <cellStyle name="Total 5 2 2 2 6" xfId="21994"/>
    <cellStyle name="Total 12 2 2 6" xfId="21995"/>
    <cellStyle name="Total 2 9 2 2 6" xfId="21996"/>
    <cellStyle name="Total 3 4 2 2 6" xfId="21997"/>
    <cellStyle name="Total 4 4 2 2 6" xfId="21998"/>
    <cellStyle name="Total 5 3 2 2 6" xfId="21999"/>
    <cellStyle name="Note 2 5 3 3 6" xfId="22000"/>
    <cellStyle name="Note 6 4 5 6" xfId="22001"/>
    <cellStyle name="Calculation 12 5 6" xfId="22002"/>
    <cellStyle name="Input 3 3 5 6" xfId="22003"/>
    <cellStyle name="Input 18 2 2 6" xfId="22004"/>
    <cellStyle name="Calculation 12 2 2 6" xfId="22005"/>
    <cellStyle name="Input 19 2 2 6" xfId="22006"/>
    <cellStyle name="Note 13 2 2 6" xfId="22007"/>
    <cellStyle name="Output 13 2 2 6" xfId="22008"/>
    <cellStyle name="Total 13 2 2 6" xfId="22009"/>
    <cellStyle name="Calculation 2 8 2 2 6" xfId="22010"/>
    <cellStyle name="Calculation 3 4 2 2 6" xfId="22011"/>
    <cellStyle name="Calculation 4 4 2 2 6" xfId="22012"/>
    <cellStyle name="Calculation 5 3 2 2 6" xfId="22013"/>
    <cellStyle name="Input 2 8 2 2 6" xfId="22014"/>
    <cellStyle name="Input 3 4 2 2 6" xfId="22015"/>
    <cellStyle name="Input 4 4 2 2 6" xfId="22016"/>
    <cellStyle name="Input 5 4 2 2 6" xfId="22017"/>
    <cellStyle name="Note 2 8 2 2 6" xfId="22018"/>
    <cellStyle name="Note 2 2 5 2 2 6" xfId="22019"/>
    <cellStyle name="Note 3 6 2 2 6" xfId="22020"/>
    <cellStyle name="Note 3 2 6 2 2 6" xfId="22021"/>
    <cellStyle name="Note 4 5 2 2 6" xfId="22022"/>
    <cellStyle name="Note 4 2 4 2 2 6" xfId="22023"/>
    <cellStyle name="Note 5 4 2 2 6" xfId="22024"/>
    <cellStyle name="Note 5 2 3 2 2 6" xfId="22025"/>
    <cellStyle name="Note 6 4 2 2 6" xfId="22026"/>
    <cellStyle name="Note 6 2 3 2 2 6" xfId="22027"/>
    <cellStyle name="Note 7 4 2 2 6" xfId="22028"/>
    <cellStyle name="Note 7 2 3 2 2 6" xfId="22029"/>
    <cellStyle name="Note 8 3 2 2 6" xfId="22030"/>
    <cellStyle name="Output 2 9 2 2 6" xfId="22031"/>
    <cellStyle name="Output 3 5 2 2 6" xfId="22032"/>
    <cellStyle name="Output 4 5 2 2 6" xfId="22033"/>
    <cellStyle name="Output 5 4 2 2 6" xfId="22034"/>
    <cellStyle name="Total 2 10 2 2 6" xfId="22035"/>
    <cellStyle name="Total 3 5 2 2 6" xfId="22036"/>
    <cellStyle name="Total 4 5 2 2 6" xfId="22037"/>
    <cellStyle name="Total 5 4 2 2 6" xfId="22038"/>
    <cellStyle name="Input 20 2 2 6" xfId="22039"/>
    <cellStyle name="Input 21 2 2 6" xfId="22040"/>
    <cellStyle name="Note 2 9 3 6" xfId="22041"/>
    <cellStyle name="Note 2 2 6 3 6" xfId="22042"/>
    <cellStyle name="Note 2 3 3 3 6" xfId="22043"/>
    <cellStyle name="Note 2 4 3 3 6" xfId="22044"/>
    <cellStyle name="Note 3 7 3 6" xfId="22045"/>
    <cellStyle name="Note 3 2 7 3 6" xfId="22046"/>
    <cellStyle name="Output 2 10 3 6" xfId="22047"/>
    <cellStyle name="Output 2 2 5 3 6" xfId="22048"/>
    <cellStyle name="Output 2 2 2 2 3 6" xfId="22049"/>
    <cellStyle name="Output 2 2 3 2 3 6" xfId="22050"/>
    <cellStyle name="Output 2 2 4 2 3 6" xfId="22051"/>
    <cellStyle name="Output 2 3 2 3 6" xfId="22052"/>
    <cellStyle name="Output 2 4 2 3 6" xfId="22053"/>
    <cellStyle name="Output 2 5 2 3 6" xfId="22054"/>
    <cellStyle name="Output 3 6 3 6" xfId="22055"/>
    <cellStyle name="Input 7 3 3 6" xfId="22056"/>
    <cellStyle name="Input 5 6 3 6" xfId="22057"/>
    <cellStyle name="Input 3 6 3 6" xfId="22058"/>
    <cellStyle name="Input 2 4 3 3 6" xfId="22059"/>
    <cellStyle name="Input 2 2 4 3 3 6" xfId="22060"/>
    <cellStyle name="Input 2 2 2 3 3 6" xfId="22061"/>
    <cellStyle name="Input 2 10 3 6" xfId="22062"/>
    <cellStyle name="Calculation 3 6 3 6" xfId="22063"/>
    <cellStyle name="Calculation 2 4 3 3 6" xfId="22064"/>
    <cellStyle name="Calculation 2 2 4 3 3 6" xfId="22065"/>
    <cellStyle name="Calculation 2 2 2 3 3 6" xfId="22066"/>
    <cellStyle name="Calculation 2 10 3 6" xfId="22067"/>
    <cellStyle name="StmtTtl2 2 3 6" xfId="22068"/>
    <cellStyle name="Total 2 11 3 6" xfId="22069"/>
    <cellStyle name="Total 2 2 5 3 6" xfId="22070"/>
    <cellStyle name="Total 2 2 2 2 3 6" xfId="22071"/>
    <cellStyle name="Total 2 2 3 2 3 6" xfId="22072"/>
    <cellStyle name="Total 2 2 4 2 3 6" xfId="22073"/>
    <cellStyle name="Total 2 3 2 3 6" xfId="22074"/>
    <cellStyle name="Total 2 4 2 3 6" xfId="22075"/>
    <cellStyle name="Total 2 5 2 3 6" xfId="22076"/>
    <cellStyle name="Total 2 6 2 3 6" xfId="22077"/>
    <cellStyle name="Total 3 6 3 6" xfId="22078"/>
    <cellStyle name="Output 2 5 3 3 6" xfId="22079"/>
    <cellStyle name="Output 2 3 3 3 6" xfId="22080"/>
    <cellStyle name="Output 2 2 3 3 3 6" xfId="22081"/>
    <cellStyle name="Output 2 2 6 3 6" xfId="22082"/>
    <cellStyle name="Note 4 7 3 6" xfId="22083"/>
    <cellStyle name="Note 3 2 2 3 3 6" xfId="22084"/>
    <cellStyle name="Note 3 8 3 6" xfId="22085"/>
    <cellStyle name="Note 2 4 4 3 6" xfId="22086"/>
    <cellStyle name="Note 2 2 7 3 6" xfId="22087"/>
    <cellStyle name="Note 3 2 2 2 3 6" xfId="22088"/>
    <cellStyle name="Note 4 6 3 6" xfId="22089"/>
    <cellStyle name="Total 3 7 3 6" xfId="22090"/>
    <cellStyle name="Total 2 5 3 3 6" xfId="22091"/>
    <cellStyle name="Total 2 3 3 3 6" xfId="22092"/>
    <cellStyle name="Total 2 2 6 3 6" xfId="22093"/>
    <cellStyle name="Total 2 2 2 3 3 6" xfId="22094"/>
    <cellStyle name="StmtTtl2 3 3 6" xfId="22095"/>
    <cellStyle name="Output 3 7 3 6" xfId="22096"/>
    <cellStyle name="Note 2 5 2 3 6" xfId="22097"/>
    <cellStyle name="Note 2 2 2 2 3 6" xfId="22098"/>
    <cellStyle name="Note 2 3 2 2 3 6" xfId="22099"/>
    <cellStyle name="Note 2 4 2 2 3 6" xfId="22100"/>
    <cellStyle name="Note 3 3 2 3 6" xfId="22101"/>
    <cellStyle name="Input 8 3 3 6" xfId="22102"/>
    <cellStyle name="Input 6 4 3 6" xfId="22103"/>
    <cellStyle name="Input 4 6 3 6" xfId="22104"/>
    <cellStyle name="Input 2 3 3 3 6" xfId="22105"/>
    <cellStyle name="Input 2 2 3 3 3 6" xfId="22106"/>
    <cellStyle name="Input 2 2 6 3 6" xfId="22107"/>
    <cellStyle name="Calculation 2 3 3 3 6" xfId="22108"/>
    <cellStyle name="Calculation 2 2 3 3 3 6" xfId="22109"/>
    <cellStyle name="Calculation 2 2 6 3 6" xfId="22110"/>
    <cellStyle name="Output 2 4 3 3 6" xfId="22111"/>
    <cellStyle name="Output 2 2 4 3 3 6" xfId="22112"/>
    <cellStyle name="Output 2 2 2 3 3 6" xfId="22113"/>
    <cellStyle name="Output 2 11 3 6" xfId="22114"/>
    <cellStyle name="Note 3 2 8 3 6" xfId="22115"/>
    <cellStyle name="Note 2 3 4 3 6" xfId="22116"/>
    <cellStyle name="Note 2 10 3 6" xfId="22117"/>
    <cellStyle name="Note 4 2 5 3 6" xfId="22118"/>
    <cellStyle name="Style 21 4 6" xfId="22119"/>
    <cellStyle name="Style 21 2 4 6" xfId="22120"/>
    <cellStyle name="Style 22 4 6" xfId="22121"/>
    <cellStyle name="Style 22 2 4 6" xfId="22122"/>
    <cellStyle name="Style 23 4 6" xfId="22123"/>
    <cellStyle name="Style 23 2 4 6" xfId="22124"/>
    <cellStyle name="Style 24 4 6" xfId="22125"/>
    <cellStyle name="Style 24 2 4 6" xfId="22126"/>
    <cellStyle name="Style 25 4 6" xfId="22127"/>
    <cellStyle name="Style 25 2 4 6" xfId="22128"/>
    <cellStyle name="Style 26 4 6" xfId="22129"/>
    <cellStyle name="Style 26 2 4 6" xfId="22130"/>
    <cellStyle name="styleColumnTitles 4 6" xfId="22131"/>
    <cellStyle name="styleColumnTitles 2 4 6" xfId="22132"/>
    <cellStyle name="styleDateRange 4 6" xfId="22133"/>
    <cellStyle name="styleDateRange 2 4 6" xfId="22134"/>
    <cellStyle name="styleSeriesAttributes 4 6" xfId="22135"/>
    <cellStyle name="styleSeriesAttributes 2 4 6" xfId="22136"/>
    <cellStyle name="styleSeriesData 4 6" xfId="22137"/>
    <cellStyle name="styleSeriesData 2 4 6" xfId="22138"/>
    <cellStyle name="styleSeriesDataForecast 4 6" xfId="22139"/>
    <cellStyle name="styleSeriesDataForecast 2 4 6" xfId="22140"/>
    <cellStyle name="styleSeriesDataForecastNA 4 6" xfId="22141"/>
    <cellStyle name="styleSeriesDataForecastNA 2 4 6" xfId="22142"/>
    <cellStyle name="styleSeriesDataNA 4 6" xfId="22143"/>
    <cellStyle name="styleSeriesDataNA 2 4 6" xfId="22144"/>
    <cellStyle name="Style 21 2 2 3 6" xfId="22145"/>
    <cellStyle name="Style 22 2 2 3 6" xfId="22146"/>
    <cellStyle name="Style 23 2 2 3 6" xfId="22147"/>
    <cellStyle name="Style 24 2 2 3 6" xfId="22148"/>
    <cellStyle name="Style 25 2 2 3 6" xfId="22149"/>
    <cellStyle name="Style 26 2 2 3 6" xfId="22150"/>
    <cellStyle name="styleColumnTitles 2 2 3 6" xfId="22151"/>
    <cellStyle name="styleDateRange 2 2 3 6" xfId="22152"/>
    <cellStyle name="styleSeriesAttributes 2 2 3 6" xfId="22153"/>
    <cellStyle name="styleSeriesData 2 2 3 6" xfId="22154"/>
    <cellStyle name="styleSeriesDataForecast 2 2 3 6" xfId="22155"/>
    <cellStyle name="styleSeriesDataForecastNA 2 2 3 6" xfId="22156"/>
    <cellStyle name="styleSeriesDataNA 2 2 3 6" xfId="22157"/>
    <cellStyle name="Total 2 6 3 3 6" xfId="22158"/>
    <cellStyle name="Calculation 7 2 3 6" xfId="22159"/>
    <cellStyle name="Calculation 2 6 2 3 6" xfId="22160"/>
    <cellStyle name="Calculation 3 2 2 3 6" xfId="22161"/>
    <cellStyle name="Calculation 4 2 2 3 6" xfId="22162"/>
    <cellStyle name="Calculation 5 4 3 6" xfId="22163"/>
    <cellStyle name="Output 9 2 3 6" xfId="22164"/>
    <cellStyle name="Input 10 2 3 6" xfId="22165"/>
    <cellStyle name="Input 2 6 2 3 6" xfId="22166"/>
    <cellStyle name="Input 3 2 2 3 6" xfId="22167"/>
    <cellStyle name="Input 4 2 2 3 6" xfId="22168"/>
    <cellStyle name="Input 5 2 2 3 6" xfId="22169"/>
    <cellStyle name="Note 11 2 3 6" xfId="22170"/>
    <cellStyle name="Note 2 6 2 3 6" xfId="22171"/>
    <cellStyle name="Note 2 2 3 2 3 6" xfId="22172"/>
    <cellStyle name="Note 3 4 2 3 6" xfId="22173"/>
    <cellStyle name="Note 3 2 4 2 3 6" xfId="22174"/>
    <cellStyle name="Note 4 3 2 3 6" xfId="22175"/>
    <cellStyle name="Note 4 2 2 2 3 6" xfId="22176"/>
    <cellStyle name="Note 5 5 3 6" xfId="22177"/>
    <cellStyle name="Note 5 2 4 3 6" xfId="22178"/>
    <cellStyle name="Note 6 5 3 6" xfId="22179"/>
    <cellStyle name="Note 6 2 4 3 6" xfId="22180"/>
    <cellStyle name="Note 7 5 3 6" xfId="22181"/>
    <cellStyle name="Note 7 2 4 3 6" xfId="22182"/>
    <cellStyle name="Note 8 4 3 6" xfId="22183"/>
    <cellStyle name="Note 9 3 3 6" xfId="22184"/>
    <cellStyle name="Output 7 2 3 6" xfId="22185"/>
    <cellStyle name="Output 2 6 2 3 6" xfId="22186"/>
    <cellStyle name="Output 3 2 2 3 6" xfId="22187"/>
    <cellStyle name="Output 4 2 2 3 6" xfId="22188"/>
    <cellStyle name="Output 5 5 3 6" xfId="22189"/>
    <cellStyle name="Total 7 2 3 6" xfId="22190"/>
    <cellStyle name="Total 2 7 2 3 6" xfId="22191"/>
    <cellStyle name="Total 3 2 2 3 6" xfId="22192"/>
    <cellStyle name="Total 4 2 2 3 6" xfId="22193"/>
    <cellStyle name="Total 5 5 3 6" xfId="22194"/>
    <cellStyle name="Calculation 8 2 3 6" xfId="22195"/>
    <cellStyle name="Input 12 2 3 6" xfId="22196"/>
    <cellStyle name="Input 11 2 3 6" xfId="22197"/>
    <cellStyle name="Calculation 9 2 3 6" xfId="22198"/>
    <cellStyle name="Output 8 2 3 6" xfId="22199"/>
    <cellStyle name="Total 8 2 3 6" xfId="22200"/>
    <cellStyle name="Total 9 2 3 6" xfId="22201"/>
    <cellStyle name="Output 5 2 2 3 6" xfId="22202"/>
    <cellStyle name="Output 4 3 2 3 6" xfId="22203"/>
    <cellStyle name="Output 3 3 2 3 6" xfId="22204"/>
    <cellStyle name="Output 2 7 2 3 6" xfId="22205"/>
    <cellStyle name="Output 11 2 3 6" xfId="22206"/>
    <cellStyle name="Input 5 3 2 3 6" xfId="22207"/>
    <cellStyle name="Input 4 3 2 3 6" xfId="22208"/>
    <cellStyle name="Input 3 3 2 3 6" xfId="22209"/>
    <cellStyle name="Input 2 7 2 3 6" xfId="22210"/>
    <cellStyle name="Calculation 10 2 3 6" xfId="22211"/>
    <cellStyle name="Input 14 2 3 6" xfId="22212"/>
    <cellStyle name="Input 16 2 3 6" xfId="22213"/>
    <cellStyle name="Input 17 2 3 6" xfId="22214"/>
    <cellStyle name="Input 15 2 3 6" xfId="22215"/>
    <cellStyle name="Input 13 2 3 6" xfId="22216"/>
    <cellStyle name="Calculation 5 2 2 3 6" xfId="22217"/>
    <cellStyle name="Calculation 4 3 2 3 6" xfId="22218"/>
    <cellStyle name="Calculation 3 3 2 3 6" xfId="22219"/>
    <cellStyle name="Calculation 2 7 2 3 6" xfId="22220"/>
    <cellStyle name="Calculation 11 2 3 6" xfId="22221"/>
    <cellStyle name="Output 10 2 3 6" xfId="22222"/>
    <cellStyle name="Note 12 2 3 6" xfId="22223"/>
    <cellStyle name="Note 2 7 2 3 6" xfId="22224"/>
    <cellStyle name="Note 2 2 4 2 3 6" xfId="22225"/>
    <cellStyle name="Note 3 5 2 3 6" xfId="22226"/>
    <cellStyle name="Note 3 2 5 2 3 6" xfId="22227"/>
    <cellStyle name="Note 4 4 2 3 6" xfId="22228"/>
    <cellStyle name="Note 4 2 3 2 3 6" xfId="22229"/>
    <cellStyle name="Note 5 3 2 3 6" xfId="22230"/>
    <cellStyle name="Note 5 2 2 2 3 6" xfId="22231"/>
    <cellStyle name="Note 6 3 2 3 6" xfId="22232"/>
    <cellStyle name="Note 6 2 2 2 3 6" xfId="22233"/>
    <cellStyle name="Note 7 3 2 3 6" xfId="22234"/>
    <cellStyle name="Note 7 2 2 2 3 6" xfId="22235"/>
    <cellStyle name="Note 8 2 2 3 6" xfId="22236"/>
    <cellStyle name="Note 9 2 2 3 6" xfId="22237"/>
    <cellStyle name="Output 12 2 3 6" xfId="22238"/>
    <cellStyle name="Output 2 8 2 3 6" xfId="22239"/>
    <cellStyle name="Output 3 4 2 3 6" xfId="22240"/>
    <cellStyle name="Output 4 4 2 3 6" xfId="22241"/>
    <cellStyle name="Output 5 3 2 3 6" xfId="22242"/>
    <cellStyle name="Total 10 2 3 6" xfId="22243"/>
    <cellStyle name="Total 11 2 3 6" xfId="22244"/>
    <cellStyle name="Total 2 8 2 3 6" xfId="22245"/>
    <cellStyle name="Total 3 3 2 3 6" xfId="22246"/>
    <cellStyle name="Total 4 3 2 3 6" xfId="22247"/>
    <cellStyle name="Total 5 2 2 3 6" xfId="22248"/>
    <cellStyle name="Total 12 2 3 6" xfId="22249"/>
    <cellStyle name="Total 2 9 2 3 6" xfId="22250"/>
    <cellStyle name="Total 3 4 2 3 6" xfId="22251"/>
    <cellStyle name="Total 4 4 2 3 6" xfId="22252"/>
    <cellStyle name="Total 5 3 2 3 6" xfId="22253"/>
    <cellStyle name="Input 18 2 3 6" xfId="22254"/>
    <cellStyle name="Calculation 12 2 3 6" xfId="22255"/>
    <cellStyle name="Input 19 2 3 6" xfId="22256"/>
    <cellStyle name="Note 13 2 3 6" xfId="22257"/>
    <cellStyle name="Output 13 2 3 6" xfId="22258"/>
    <cellStyle name="Total 13 2 3 6" xfId="22259"/>
    <cellStyle name="Calculation 2 8 2 3 6" xfId="22260"/>
    <cellStyle name="Calculation 3 4 2 3 6" xfId="22261"/>
    <cellStyle name="Calculation 4 4 2 3 6" xfId="22262"/>
    <cellStyle name="Calculation 5 3 2 3 6" xfId="22263"/>
    <cellStyle name="Input 2 8 2 3 6" xfId="22264"/>
    <cellStyle name="Input 3 4 2 3 6" xfId="22265"/>
    <cellStyle name="Input 4 4 2 3 6" xfId="22266"/>
    <cellStyle name="Input 5 4 2 3 6" xfId="22267"/>
    <cellStyle name="Note 2 8 2 3 6" xfId="22268"/>
    <cellStyle name="Note 2 2 5 2 3 6" xfId="22269"/>
    <cellStyle name="Note 3 6 2 3 6" xfId="22270"/>
    <cellStyle name="Note 3 2 6 2 3 6" xfId="22271"/>
    <cellStyle name="Note 4 5 2 3 6" xfId="22272"/>
    <cellStyle name="Note 4 2 4 2 3 6" xfId="22273"/>
    <cellStyle name="Note 5 4 2 3 6" xfId="22274"/>
    <cellStyle name="Note 5 2 3 2 3 6" xfId="22275"/>
    <cellStyle name="Note 6 4 2 3 6" xfId="22276"/>
    <cellStyle name="Note 6 2 3 2 3 6" xfId="22277"/>
    <cellStyle name="Note 7 4 2 3 6" xfId="22278"/>
    <cellStyle name="Note 7 2 3 2 3 6" xfId="22279"/>
    <cellStyle name="Note 8 3 2 3 6" xfId="22280"/>
    <cellStyle name="Output 2 9 2 3 6" xfId="22281"/>
    <cellStyle name="Output 3 5 2 3 6" xfId="22282"/>
    <cellStyle name="Output 4 5 2 3 6" xfId="22283"/>
    <cellStyle name="Output 5 4 2 3 6" xfId="22284"/>
    <cellStyle name="Total 2 10 2 3 6" xfId="22285"/>
    <cellStyle name="Total 3 5 2 3 6" xfId="22286"/>
    <cellStyle name="Total 4 5 2 3 6" xfId="22287"/>
    <cellStyle name="Total 5 4 2 3 6" xfId="22288"/>
    <cellStyle name="Input 20 2 3 6" xfId="22289"/>
    <cellStyle name="Input 21 2 3 6" xfId="22290"/>
    <cellStyle name="20% - Accent1 4 5 3" xfId="22291"/>
    <cellStyle name="20% - Accent2 4 5 3" xfId="22292"/>
    <cellStyle name="20% - Accent3 4 5 3" xfId="22293"/>
    <cellStyle name="20% - Accent4 4 5 3" xfId="22294"/>
    <cellStyle name="20% - Accent5 4 5 3" xfId="22295"/>
    <cellStyle name="20% - Accent6 4 5 3" xfId="22296"/>
    <cellStyle name="40% - Accent1 4 5 3" xfId="22297"/>
    <cellStyle name="40% - Accent2 4 5 3" xfId="22298"/>
    <cellStyle name="40% - Accent3 4 5 3" xfId="22299"/>
    <cellStyle name="40% - Accent4 4 5 3" xfId="22300"/>
    <cellStyle name="40% - Accent5 4 5 3" xfId="22301"/>
    <cellStyle name="40% - Accent6 4 5 3" xfId="22302"/>
    <cellStyle name="Normal 10 3 4 3" xfId="22303"/>
    <cellStyle name="Normal 11 3 3 4 3" xfId="22304"/>
    <cellStyle name="Normal 18 3 3 4 3" xfId="22305"/>
    <cellStyle name="Normal 182 3 4 3" xfId="22306"/>
    <cellStyle name="Normal 183 3 4 3" xfId="22307"/>
    <cellStyle name="Normal 184 3 4 3" xfId="22308"/>
    <cellStyle name="Normal 185 2 3 4 3" xfId="22309"/>
    <cellStyle name="Normal 199 3 4 3" xfId="22310"/>
    <cellStyle name="Normal 20 3 3 4 3" xfId="22311"/>
    <cellStyle name="Normal 221 2 4 3" xfId="22312"/>
    <cellStyle name="Normal 222 2 4 3" xfId="22313"/>
    <cellStyle name="Normal 264 4 3" xfId="22314"/>
    <cellStyle name="Normal 3 3 2 3 4 3" xfId="22315"/>
    <cellStyle name="Normal 4 2 2 2 3 4 3" xfId="22316"/>
    <cellStyle name="Normal 4 2 2 4 4 3" xfId="22317"/>
    <cellStyle name="Normal 4 2 3 3 4 3" xfId="22318"/>
    <cellStyle name="Normal 4 2 5 4 3" xfId="22319"/>
    <cellStyle name="Normal 4 3 2 3 4 3" xfId="22320"/>
    <cellStyle name="Normal 4 3 5 4 3" xfId="22321"/>
    <cellStyle name="Normal 4 3 6 4 3" xfId="22322"/>
    <cellStyle name="Normal 4 4 2 3 4 3" xfId="22323"/>
    <cellStyle name="Normal 4 4 4 4 3" xfId="22324"/>
    <cellStyle name="Normal 4 7 4 3" xfId="22325"/>
    <cellStyle name="Normal 49 3 3 4 3" xfId="22326"/>
    <cellStyle name="Normal 5 2 3 4 3" xfId="22327"/>
    <cellStyle name="Normal 5 4 4 3" xfId="22328"/>
    <cellStyle name="Normal 6 2 3 4 3" xfId="22329"/>
    <cellStyle name="Normal 6 4 4 3" xfId="22330"/>
    <cellStyle name="Normal 7 2 3 4 3" xfId="22331"/>
    <cellStyle name="Normal 7 4 4 3" xfId="22332"/>
    <cellStyle name="Normal 8 2 3 4 3" xfId="22333"/>
    <cellStyle name="Normal 8 4 4 3" xfId="22334"/>
    <cellStyle name="Normal 9 3 4 3" xfId="22335"/>
    <cellStyle name="Comma 19 4 3" xfId="22336"/>
    <cellStyle name="Comma 6 10 4 3" xfId="22337"/>
    <cellStyle name="Comma 8 6 4 3" xfId="22338"/>
    <cellStyle name="Normal 51 3 4 3" xfId="22339"/>
    <cellStyle name="Normal 52 3 4 3" xfId="22340"/>
    <cellStyle name="Normal 345 6 3" xfId="22341"/>
    <cellStyle name="Comma 20 4 3" xfId="22342"/>
    <cellStyle name="20% - Accent1 6 6 3" xfId="22343"/>
    <cellStyle name="20% - Accent2 6 6 3" xfId="22344"/>
    <cellStyle name="20% - Accent3 6 6 3" xfId="22345"/>
    <cellStyle name="20% - Accent4 6 6 3" xfId="22346"/>
    <cellStyle name="20% - Accent5 6 6 3" xfId="22347"/>
    <cellStyle name="20% - Accent6 6 6 3" xfId="22348"/>
    <cellStyle name="40% - Accent1 6 6 3" xfId="22349"/>
    <cellStyle name="40% - Accent2 6 6 3" xfId="22350"/>
    <cellStyle name="40% - Accent3 6 6 3" xfId="22351"/>
    <cellStyle name="40% - Accent4 6 6 3" xfId="22352"/>
    <cellStyle name="40% - Accent5 6 6 3" xfId="22353"/>
    <cellStyle name="40% - Accent6 6 6 3" xfId="22354"/>
    <cellStyle name="Calculation 7 6 6" xfId="22355"/>
    <cellStyle name="Calculation 2 6 6 6" xfId="22356"/>
    <cellStyle name="Calculation 3 2 6 6" xfId="22357"/>
    <cellStyle name="Calculation 4 2 6 6" xfId="22358"/>
    <cellStyle name="Calculation 5 7 6" xfId="22359"/>
    <cellStyle name="Output 9 5 6" xfId="22360"/>
    <cellStyle name="Input 10 6 6" xfId="22361"/>
    <cellStyle name="Input 2 6 6 6" xfId="22362"/>
    <cellStyle name="Input 3 2 6 6" xfId="22363"/>
    <cellStyle name="Input 4 2 6 6" xfId="22364"/>
    <cellStyle name="Input 5 2 6 6" xfId="22365"/>
    <cellStyle name="Normal 10 5 4 3" xfId="22366"/>
    <cellStyle name="Normal 11 5 4 3" xfId="22367"/>
    <cellStyle name="Normal 14 3 4 3" xfId="22368"/>
    <cellStyle name="Normal 2 2 2 2 4 3" xfId="22369"/>
    <cellStyle name="Normal 8 6 4 3" xfId="22370"/>
    <cellStyle name="Note 11 5 6" xfId="22371"/>
    <cellStyle name="Note 2 6 5 6" xfId="22372"/>
    <cellStyle name="Note 2 2 3 5 6" xfId="22373"/>
    <cellStyle name="Note 3 4 5 6" xfId="22374"/>
    <cellStyle name="Note 3 2 4 5 6" xfId="22375"/>
    <cellStyle name="Note 4 3 5 6" xfId="22376"/>
    <cellStyle name="Note 4 2 2 5 6" xfId="22377"/>
    <cellStyle name="Note 5 8 6" xfId="22378"/>
    <cellStyle name="Note 5 2 7 6" xfId="22379"/>
    <cellStyle name="Note 6 8 6" xfId="22380"/>
    <cellStyle name="Note 6 2 7 6" xfId="22381"/>
    <cellStyle name="Note 7 8 6" xfId="22382"/>
    <cellStyle name="Note 7 2 7 6" xfId="22383"/>
    <cellStyle name="Note 8 7 6" xfId="22384"/>
    <cellStyle name="Note 9 6 6" xfId="22385"/>
    <cellStyle name="Output 7 5 6" xfId="22386"/>
    <cellStyle name="Output 2 6 5 6" xfId="22387"/>
    <cellStyle name="Output 3 2 5 6" xfId="22388"/>
    <cellStyle name="Output 4 2 5 6" xfId="22389"/>
    <cellStyle name="Output 5 8 6" xfId="22390"/>
    <cellStyle name="Total 7 5 6" xfId="22391"/>
    <cellStyle name="Total 2 7 5 6" xfId="22392"/>
    <cellStyle name="Total 3 2 5 6" xfId="22393"/>
    <cellStyle name="Total 4 2 5 6" xfId="22394"/>
    <cellStyle name="Total 5 8 6" xfId="22395"/>
    <cellStyle name="Calculation 8 6 6" xfId="22396"/>
    <cellStyle name="Input 12 6 6" xfId="22397"/>
    <cellStyle name="Input 11 6 6" xfId="22398"/>
    <cellStyle name="Calculation 9 6 6" xfId="22399"/>
    <cellStyle name="Output 8 5 6" xfId="22400"/>
    <cellStyle name="Total 8 5 6" xfId="22401"/>
    <cellStyle name="Total 9 5 6" xfId="22402"/>
    <cellStyle name="20% - Accent1 6 2 4 3" xfId="22403"/>
    <cellStyle name="20% - Accent2 6 2 4 3" xfId="22404"/>
    <cellStyle name="20% - Accent3 6 2 4 3" xfId="22405"/>
    <cellStyle name="20% - Accent4 6 2 4 3" xfId="22406"/>
    <cellStyle name="20% - Accent5 6 2 4 3" xfId="22407"/>
    <cellStyle name="20% - Accent6 6 2 4 3" xfId="22408"/>
    <cellStyle name="40% - Accent1 6 2 4 3" xfId="22409"/>
    <cellStyle name="40% - Accent2 6 2 4 3" xfId="22410"/>
    <cellStyle name="40% - Accent3 6 2 4 3" xfId="22411"/>
    <cellStyle name="40% - Accent4 6 2 4 3" xfId="22412"/>
    <cellStyle name="Output 5 2 5 6" xfId="22413"/>
    <cellStyle name="Output 4 3 5 6" xfId="22414"/>
    <cellStyle name="Output 3 3 5 6" xfId="22415"/>
    <cellStyle name="Output 2 7 5 6" xfId="22416"/>
    <cellStyle name="Output 11 5 6" xfId="22417"/>
    <cellStyle name="40% - Accent5 6 2 4 3" xfId="22418"/>
    <cellStyle name="40% - Accent6 6 2 4 3" xfId="22419"/>
    <cellStyle name="Input 5 3 6 6" xfId="22420"/>
    <cellStyle name="Input 4 3 6 6" xfId="22421"/>
    <cellStyle name="Input 3 3 6 6" xfId="22422"/>
    <cellStyle name="Input 2 7 6 6" xfId="22423"/>
    <cellStyle name="Calculation 10 6 6" xfId="22424"/>
    <cellStyle name="Input 14 6 6" xfId="22425"/>
    <cellStyle name="Input 16 6 6" xfId="22426"/>
    <cellStyle name="Input 17 6 6" xfId="22427"/>
    <cellStyle name="Input 15 6 6" xfId="22428"/>
    <cellStyle name="Input 13 6 6" xfId="22429"/>
    <cellStyle name="Calculation 5 2 6 6" xfId="22430"/>
    <cellStyle name="Calculation 4 3 6 6" xfId="22431"/>
    <cellStyle name="Calculation 3 3 6 6" xfId="22432"/>
    <cellStyle name="Calculation 2 7 6 6" xfId="22433"/>
    <cellStyle name="Calculation 11 6 6" xfId="22434"/>
    <cellStyle name="Normal 10 6 4 3" xfId="22435"/>
    <cellStyle name="Normal 11 6 4 3" xfId="22436"/>
    <cellStyle name="Normal 14 4 4 3" xfId="22437"/>
    <cellStyle name="Normal 2 2 2 3 4 3" xfId="22438"/>
    <cellStyle name="Normal 8 7 4 3" xfId="22439"/>
    <cellStyle name="Output 10 5 6" xfId="22440"/>
    <cellStyle name="Note 12 5 6" xfId="22441"/>
    <cellStyle name="Note 2 7 5 6" xfId="22442"/>
    <cellStyle name="Note 2 2 4 5 6" xfId="22443"/>
    <cellStyle name="Note 3 5 5 6" xfId="22444"/>
    <cellStyle name="Note 3 2 5 5 6" xfId="22445"/>
    <cellStyle name="Note 4 4 5 6" xfId="22446"/>
    <cellStyle name="Note 4 2 3 5 6" xfId="22447"/>
    <cellStyle name="Note 5 3 5 6" xfId="22448"/>
    <cellStyle name="Note 5 2 2 5 6" xfId="22449"/>
    <cellStyle name="Note 6 3 5 6" xfId="22450"/>
    <cellStyle name="Note 6 2 2 5 6" xfId="22451"/>
    <cellStyle name="Note 7 3 5 6" xfId="22452"/>
    <cellStyle name="Note 7 2 2 5 6" xfId="22453"/>
    <cellStyle name="Note 8 2 5 6" xfId="22454"/>
    <cellStyle name="Note 9 2 5 6" xfId="22455"/>
    <cellStyle name="Output 12 5 6" xfId="22456"/>
    <cellStyle name="Output 2 8 5 6" xfId="22457"/>
    <cellStyle name="Output 3 4 5 6" xfId="22458"/>
    <cellStyle name="Output 4 4 5 6" xfId="22459"/>
    <cellStyle name="Output 5 3 5 6" xfId="22460"/>
    <cellStyle name="Total 10 5 6" xfId="22461"/>
    <cellStyle name="Total 11 5 6" xfId="22462"/>
    <cellStyle name="Total 2 8 5 6" xfId="22463"/>
    <cellStyle name="Total 3 3 5 6" xfId="22464"/>
    <cellStyle name="Total 4 3 5 6" xfId="22465"/>
    <cellStyle name="Total 5 2 5 6" xfId="22466"/>
    <cellStyle name="Total 12 5 6" xfId="22467"/>
    <cellStyle name="Total 2 9 5 6" xfId="22468"/>
    <cellStyle name="Total 3 4 5 6" xfId="22469"/>
    <cellStyle name="Total 4 4 5 6" xfId="22470"/>
    <cellStyle name="Total 5 3 5 6" xfId="22471"/>
    <cellStyle name="20% - Accent1 6 3 4 3" xfId="22472"/>
    <cellStyle name="20% - Accent2 6 3 4 3" xfId="22473"/>
    <cellStyle name="20% - Accent3 6 3 4 3" xfId="22474"/>
    <cellStyle name="20% - Accent4 6 3 4 3" xfId="22475"/>
    <cellStyle name="20% - Accent5 6 3 4 3" xfId="22476"/>
    <cellStyle name="20% - Accent6 6 3 4 3" xfId="22477"/>
    <cellStyle name="40% - Accent1 6 3 4 3" xfId="22478"/>
    <cellStyle name="40% - Accent2 6 3 4 3" xfId="22479"/>
    <cellStyle name="40% - Accent3 6 3 4 3" xfId="22480"/>
    <cellStyle name="40% - Accent4 6 3 4 3" xfId="22481"/>
    <cellStyle name="40% - Accent5 6 3 4 3" xfId="22482"/>
    <cellStyle name="40% - Accent6 6 3 4 3" xfId="22483"/>
    <cellStyle name="Input 18 6 6" xfId="22484"/>
    <cellStyle name="Normal 10 7 4 3" xfId="22485"/>
    <cellStyle name="Normal 11 7 4 3" xfId="22486"/>
    <cellStyle name="Normal 14 5 4 3" xfId="22487"/>
    <cellStyle name="Normal 2 2 2 4 4 3" xfId="22488"/>
    <cellStyle name="Normal 8 8 4 3" xfId="22489"/>
    <cellStyle name="Calculation 12 6 6" xfId="22490"/>
    <cellStyle name="Input 19 6 6" xfId="22491"/>
    <cellStyle name="Note 13 6 6" xfId="22492"/>
    <cellStyle name="Output 13 6 6" xfId="22493"/>
    <cellStyle name="Total 13 6 6" xfId="22494"/>
    <cellStyle name="Normal 8 9 4 3" xfId="22495"/>
    <cellStyle name="Comma 13 4 4 3" xfId="22496"/>
    <cellStyle name="Currency 7 5 4 3" xfId="22497"/>
    <cellStyle name="Calculation 2 8 6 6" xfId="22498"/>
    <cellStyle name="Calculation 3 4 6 6" xfId="22499"/>
    <cellStyle name="Calculation 4 4 6 6" xfId="22500"/>
    <cellStyle name="Calculation 5 3 6 6" xfId="22501"/>
    <cellStyle name="Input 2 8 6 6" xfId="22502"/>
    <cellStyle name="Input 3 4 6 6" xfId="22503"/>
    <cellStyle name="Input 4 4 6 6" xfId="22504"/>
    <cellStyle name="Input 5 4 6 6" xfId="22505"/>
    <cellStyle name="Normal 10 8 4 3" xfId="22506"/>
    <cellStyle name="Note 2 8 6 6" xfId="22507"/>
    <cellStyle name="Note 2 2 5 6 6" xfId="22508"/>
    <cellStyle name="Note 3 6 6 6" xfId="22509"/>
    <cellStyle name="Note 3 2 6 6 6" xfId="22510"/>
    <cellStyle name="Note 4 5 6 6" xfId="22511"/>
    <cellStyle name="Note 4 2 4 6 6" xfId="22512"/>
    <cellStyle name="Note 5 4 6 6" xfId="22513"/>
    <cellStyle name="Note 5 2 3 6 6" xfId="22514"/>
    <cellStyle name="Note 6 4 6 6" xfId="22515"/>
    <cellStyle name="Note 6 2 3 6 6" xfId="22516"/>
    <cellStyle name="Note 7 4 6 6" xfId="22517"/>
    <cellStyle name="Note 7 2 3 6 6" xfId="22518"/>
    <cellStyle name="Note 8 3 6 6" xfId="22519"/>
    <cellStyle name="Output 2 9 6 6" xfId="22520"/>
    <cellStyle name="Output 3 5 6 6" xfId="22521"/>
    <cellStyle name="Output 4 5 6 6" xfId="22522"/>
    <cellStyle name="Output 5 4 6 6" xfId="22523"/>
    <cellStyle name="Total 2 10 6 6" xfId="22524"/>
    <cellStyle name="Total 3 5 6 6" xfId="22525"/>
    <cellStyle name="Total 4 5 6 6" xfId="22526"/>
    <cellStyle name="Total 5 4 6 6" xfId="22527"/>
    <cellStyle name="Normal 11 8 4 3" xfId="22528"/>
    <cellStyle name="Normal 14 6 4 3" xfId="22529"/>
    <cellStyle name="Normal 43 3 4 3" xfId="22530"/>
    <cellStyle name="Normal 44 3 4 3" xfId="22531"/>
    <cellStyle name="Input 20 6 6" xfId="22532"/>
    <cellStyle name="Normal 8 10 4 3" xfId="22533"/>
    <cellStyle name="Comma 13 5 4 3" xfId="22534"/>
    <cellStyle name="Currency 7 6 4 3" xfId="22535"/>
    <cellStyle name="Normal 10 9 4 3" xfId="22536"/>
    <cellStyle name="Normal 11 9 4 3" xfId="22537"/>
    <cellStyle name="Normal 14 7 4 3" xfId="22538"/>
    <cellStyle name="Normal 43 4 4 3" xfId="22539"/>
    <cellStyle name="Normal 44 4 4 3" xfId="22540"/>
    <cellStyle name="Normal 355 4 3" xfId="22541"/>
    <cellStyle name="Comma 22 4 3" xfId="22542"/>
    <cellStyle name="Input 21 6 6" xfId="22543"/>
    <cellStyle name="Normal 8 11 4 3" xfId="22544"/>
    <cellStyle name="Comma 13 6 4 3" xfId="22545"/>
    <cellStyle name="Currency 7 7 4 3" xfId="22546"/>
    <cellStyle name="Normal 10 10 4 3" xfId="22547"/>
    <cellStyle name="Normal 11 10 4 3" xfId="22548"/>
    <cellStyle name="Normal 14 8 4 3" xfId="22549"/>
    <cellStyle name="Normal 43 5 4 3" xfId="22550"/>
    <cellStyle name="Normal 44 5 4 3" xfId="22551"/>
    <cellStyle name="Normal 356 2 3" xfId="22552"/>
    <cellStyle name="Input 10 3 2 6" xfId="22553"/>
    <cellStyle name="Input 2 4 4 2 6" xfId="22554"/>
    <cellStyle name="Input 7 4 2 6" xfId="22555"/>
    <cellStyle name="Note 4 2 6 4 6" xfId="22556"/>
    <cellStyle name="Note 3 3 3 4 6" xfId="22557"/>
    <cellStyle name="Note 2 5 3 4 6" xfId="22558"/>
    <cellStyle name="Note 2 4 2 3 4 6" xfId="22559"/>
    <cellStyle name="Note 2 3 2 3 4 6" xfId="22560"/>
    <cellStyle name="Note 2 2 2 3 4 6" xfId="22561"/>
    <cellStyle name="Input 6 6 6" xfId="22562"/>
    <cellStyle name="Input 4 7 6" xfId="22563"/>
    <cellStyle name="Input 2 4 5 6" xfId="22564"/>
    <cellStyle name="Input 2 2 4 5 6" xfId="22565"/>
    <cellStyle name="Input 2 2 2 5 6" xfId="22566"/>
    <cellStyle name="Input 2 12 6" xfId="22567"/>
    <cellStyle name="Input 24 6" xfId="22568"/>
    <cellStyle name="Note 14 6" xfId="22569"/>
    <cellStyle name="Note 2 11 6" xfId="22570"/>
    <cellStyle name="Note 2 2 8 6" xfId="22571"/>
    <cellStyle name="Calculation 2 9 4 6" xfId="22572"/>
    <cellStyle name="Calculation 2 2 5 4 6" xfId="22573"/>
    <cellStyle name="Calculation 2 2 2 2 4 6" xfId="22574"/>
    <cellStyle name="Calculation 2 2 3 2 4 6" xfId="22575"/>
    <cellStyle name="Calculation 2 2 4 2 4 6" xfId="22576"/>
    <cellStyle name="Calculation 2 3 2 4 6" xfId="22577"/>
    <cellStyle name="Calculation 2 4 2 4 6" xfId="22578"/>
    <cellStyle name="Calculation 2 5 2 4 6" xfId="22579"/>
    <cellStyle name="Calculation 3 5 4 6" xfId="22580"/>
    <cellStyle name="Note 3 2 10 6" xfId="22581"/>
    <cellStyle name="Note 3 2 2 5 6" xfId="22582"/>
    <cellStyle name="Note 4 8 6" xfId="22583"/>
    <cellStyle name="Output 3 8 2 6" xfId="22584"/>
    <cellStyle name="Calculation 2 3 5 6" xfId="22585"/>
    <cellStyle name="Calculation 2 2 4 5 6" xfId="22586"/>
    <cellStyle name="Calculation 2 2 3 5 6" xfId="22587"/>
    <cellStyle name="Calculation 2 2 2 5 6" xfId="22588"/>
    <cellStyle name="Calculation 2 2 8 6" xfId="22589"/>
    <cellStyle name="Calculation 13 6" xfId="22590"/>
    <cellStyle name="Comma 3 2 2 8 3 2 3" xfId="22591"/>
    <cellStyle name="Comma 3 4 5 3 2 3" xfId="22592"/>
    <cellStyle name="Comma 3 5 5 3 2 3" xfId="22593"/>
    <cellStyle name="Comma 4 2 8 3 2 3" xfId="22594"/>
    <cellStyle name="Comma 6 10 2 2 3" xfId="22595"/>
    <cellStyle name="Comma 8 6 2 2 3" xfId="22596"/>
    <cellStyle name="Total 2 2 2 4 2 6" xfId="22597"/>
    <cellStyle name="Total 2 2 4 4 2 6" xfId="22598"/>
    <cellStyle name="Normal 358 3" xfId="22599"/>
    <cellStyle name="Normal 359 3" xfId="22600"/>
    <cellStyle name="Total 14 6" xfId="22601"/>
    <cellStyle name="Header2 2 4 6" xfId="22602"/>
    <cellStyle name="Input 2 5 3 4 6" xfId="22603"/>
    <cellStyle name="Input 2 9 4 6" xfId="22604"/>
    <cellStyle name="Input 2 2 5 4 6" xfId="22605"/>
    <cellStyle name="Input 2 2 2 2 4 6" xfId="22606"/>
    <cellStyle name="Input 2 2 3 2 4 6" xfId="22607"/>
    <cellStyle name="Input 2 2 4 2 4 6" xfId="22608"/>
    <cellStyle name="Input 2 3 2 4 6" xfId="22609"/>
    <cellStyle name="Input 2 4 2 4 6" xfId="22610"/>
    <cellStyle name="Input 2 5 2 4 6" xfId="22611"/>
    <cellStyle name="Input 3 5 4 6" xfId="22612"/>
    <cellStyle name="Input 4 5 4 6" xfId="22613"/>
    <cellStyle name="Input 5 5 4 6" xfId="22614"/>
    <cellStyle name="Input 6 3 4 6" xfId="22615"/>
    <cellStyle name="Input 7 2 4 6" xfId="22616"/>
    <cellStyle name="Input 8 2 4 6" xfId="22617"/>
    <cellStyle name="Normal 10 3 2 2 3" xfId="22618"/>
    <cellStyle name="Normal 11 11 2 3" xfId="22619"/>
    <cellStyle name="Calculation 2 5 3 4 6" xfId="22620"/>
    <cellStyle name="Comma 19 2 2 3" xfId="22621"/>
    <cellStyle name="Total 2 4 3 4 6" xfId="22622"/>
    <cellStyle name="Total 2 2 4 3 4 6" xfId="22623"/>
    <cellStyle name="Total 2 2 3 3 4 6" xfId="22624"/>
    <cellStyle name="Total 2 12 4 6" xfId="22625"/>
    <cellStyle name="Output 14 6" xfId="22626"/>
    <cellStyle name="Note 2 4 6 6" xfId="22627"/>
    <cellStyle name="Normal 18 5 2 3" xfId="22628"/>
    <cellStyle name="Calculation 2 2 7 2 6" xfId="22629"/>
    <cellStyle name="Calculation 2 2 4 4 2 6" xfId="22630"/>
    <cellStyle name="Normal 20 5 2 3" xfId="22631"/>
    <cellStyle name="Header2 3 2 6" xfId="22632"/>
    <cellStyle name="Input 2 2 7 2 6" xfId="22633"/>
    <cellStyle name="Input 2 3 4 2 6" xfId="22634"/>
    <cellStyle name="Input [yellow] 3 6" xfId="22635"/>
    <cellStyle name="Normal 4 2 7 2 3" xfId="22636"/>
    <cellStyle name="Normal 4 2 2 5 2 3" xfId="22637"/>
    <cellStyle name="Normal 4 3 8 2 3" xfId="22638"/>
    <cellStyle name="Normal 4 4 5 2 3" xfId="22639"/>
    <cellStyle name="Normal 4 7 2 2 3" xfId="22640"/>
    <cellStyle name="Normal 49 5 2 3" xfId="22641"/>
    <cellStyle name="Normal 5 4 2 2 3" xfId="22642"/>
    <cellStyle name="Normal 51 3 2 2 3" xfId="22643"/>
    <cellStyle name="Normal 52 3 2 2 3" xfId="22644"/>
    <cellStyle name="Normal 6 4 2 2 3" xfId="22645"/>
    <cellStyle name="Normal 7 4 2 2 3" xfId="22646"/>
    <cellStyle name="Total 2 2 7 2 6" xfId="22647"/>
    <cellStyle name="Total 2 4 4 2 6" xfId="22648"/>
    <cellStyle name="Normal 8 4 2 2 3" xfId="22649"/>
    <cellStyle name="Normal 9 3 2 2 3" xfId="22650"/>
    <cellStyle name="Note 2 9 4 6" xfId="22651"/>
    <cellStyle name="Note 2 2 6 4 6" xfId="22652"/>
    <cellStyle name="Note 2 3 3 4 6" xfId="22653"/>
    <cellStyle name="Note 2 4 3 4 6" xfId="22654"/>
    <cellStyle name="Note 3 7 4 6" xfId="22655"/>
    <cellStyle name="Note 3 2 7 4 6" xfId="22656"/>
    <cellStyle name="Output 2 10 4 6" xfId="22657"/>
    <cellStyle name="Output 2 2 5 4 6" xfId="22658"/>
    <cellStyle name="Output 2 2 2 2 4 6" xfId="22659"/>
    <cellStyle name="Output 2 2 3 2 4 6" xfId="22660"/>
    <cellStyle name="Output 2 2 4 2 4 6" xfId="22661"/>
    <cellStyle name="Output 2 3 2 4 6" xfId="22662"/>
    <cellStyle name="Output 2 4 2 4 6" xfId="22663"/>
    <cellStyle name="Output 2 5 2 4 6" xfId="22664"/>
    <cellStyle name="Output 3 6 4 6" xfId="22665"/>
    <cellStyle name="Input 7 3 4 6" xfId="22666"/>
    <cellStyle name="Input 5 6 4 6" xfId="22667"/>
    <cellStyle name="Input 3 6 4 6" xfId="22668"/>
    <cellStyle name="Input 2 4 3 4 6" xfId="22669"/>
    <cellStyle name="Input 2 2 4 3 4 6" xfId="22670"/>
    <cellStyle name="Input 2 2 2 3 4 6" xfId="22671"/>
    <cellStyle name="Input 2 10 4 6" xfId="22672"/>
    <cellStyle name="Percent 18 5 2 3" xfId="22673"/>
    <cellStyle name="Percent 2 2 2 5 3 2 3" xfId="22674"/>
    <cellStyle name="Percent 20 5 2 3" xfId="22675"/>
    <cellStyle name="Calculation 3 6 4 6" xfId="22676"/>
    <cellStyle name="Calculation 2 4 3 4 6" xfId="22677"/>
    <cellStyle name="Calculation 2 2 4 3 4 6" xfId="22678"/>
    <cellStyle name="Calculation 2 2 2 3 4 6" xfId="22679"/>
    <cellStyle name="Calculation 2 10 4 6" xfId="22680"/>
    <cellStyle name="StmtTtl2 2 4 6" xfId="22681"/>
    <cellStyle name="Total 2 11 4 6" xfId="22682"/>
    <cellStyle name="Total 2 2 5 4 6" xfId="22683"/>
    <cellStyle name="Total 2 2 2 2 4 6" xfId="22684"/>
    <cellStyle name="Total 2 2 3 2 4 6" xfId="22685"/>
    <cellStyle name="Total 2 2 4 2 4 6" xfId="22686"/>
    <cellStyle name="Total 2 3 2 4 6" xfId="22687"/>
    <cellStyle name="Total 2 4 2 4 6" xfId="22688"/>
    <cellStyle name="Total 2 5 2 4 6" xfId="22689"/>
    <cellStyle name="Total 2 6 2 4 6" xfId="22690"/>
    <cellStyle name="Total 3 6 4 6" xfId="22691"/>
    <cellStyle name="20% - Accent1 4 3 2 3" xfId="22692"/>
    <cellStyle name="20% - Accent2 4 3 2 3" xfId="22693"/>
    <cellStyle name="20% - Accent3 4 3 2 3" xfId="22694"/>
    <cellStyle name="20% - Accent4 4 3 2 3" xfId="22695"/>
    <cellStyle name="20% - Accent5 4 3 2 3" xfId="22696"/>
    <cellStyle name="20% - Accent6 4 3 2 3" xfId="22697"/>
    <cellStyle name="40% - Accent1 4 3 2 3" xfId="22698"/>
    <cellStyle name="40% - Accent2 4 3 2 3" xfId="22699"/>
    <cellStyle name="40% - Accent3 4 3 2 3" xfId="22700"/>
    <cellStyle name="40% - Accent4 4 3 2 3" xfId="22701"/>
    <cellStyle name="40% - Accent5 4 3 2 3" xfId="22702"/>
    <cellStyle name="40% - Accent6 4 3 2 3" xfId="22703"/>
    <cellStyle name="Output 2 5 3 4 6" xfId="22704"/>
    <cellStyle name="Input 8 5 6" xfId="22705"/>
    <cellStyle name="Note 3 9 6" xfId="22706"/>
    <cellStyle name="Note 2 3 5 2 6" xfId="22707"/>
    <cellStyle name="Note 2 4 5 2 6" xfId="22708"/>
    <cellStyle name="Note 3 2 9 2 6" xfId="22709"/>
    <cellStyle name="Output 2 12 2 6" xfId="22710"/>
    <cellStyle name="Output 2 2 7 2 6" xfId="22711"/>
    <cellStyle name="Output 2 2 2 4 2 6" xfId="22712"/>
    <cellStyle name="Output 2 3 4 2 6" xfId="22713"/>
    <cellStyle name="Output 2 4 4 2 6" xfId="22714"/>
    <cellStyle name="Normal 11 3 3 2 2 3" xfId="22715"/>
    <cellStyle name="Calculation 2 4 4 2 6" xfId="22716"/>
    <cellStyle name="Normal 18 3 3 2 2 3" xfId="22717"/>
    <cellStyle name="Normal 182 3 2 2 3" xfId="22718"/>
    <cellStyle name="Normal 183 3 2 2 3" xfId="22719"/>
    <cellStyle name="Normal 184 3 2 2 3" xfId="22720"/>
    <cellStyle name="Normal 185 2 3 2 2 3" xfId="22721"/>
    <cellStyle name="Normal 199 3 2 2 3" xfId="22722"/>
    <cellStyle name="Normal 20 3 3 2 2 3" xfId="22723"/>
    <cellStyle name="Input 2 2 2 4 2 6" xfId="22724"/>
    <cellStyle name="Normal 221 2 2 2 3" xfId="22725"/>
    <cellStyle name="Normal 222 2 2 2 3" xfId="22726"/>
    <cellStyle name="Output 2 3 3 4 6" xfId="22727"/>
    <cellStyle name="Output 2 2 3 3 4 6" xfId="22728"/>
    <cellStyle name="Output 2 2 6 4 6" xfId="22729"/>
    <cellStyle name="Note 4 7 4 6" xfId="22730"/>
    <cellStyle name="Note 3 2 2 3 4 6" xfId="22731"/>
    <cellStyle name="Note 3 8 4 6" xfId="22732"/>
    <cellStyle name="Note 2 4 4 4 6" xfId="22733"/>
    <cellStyle name="Note 2 2 7 4 6" xfId="22734"/>
    <cellStyle name="Normal 264 2 2 3" xfId="22735"/>
    <cellStyle name="Input 7 5 6" xfId="22736"/>
    <cellStyle name="Input 3 7 6" xfId="22737"/>
    <cellStyle name="Input 2 2 3 5 6" xfId="22738"/>
    <cellStyle name="Normal 3 3 2 3 2 2 3" xfId="22739"/>
    <cellStyle name="Normal 4 2 2 2 3 2 2 3" xfId="22740"/>
    <cellStyle name="Normal 4 2 2 4 2 2 3" xfId="22741"/>
    <cellStyle name="Normal 4 2 3 3 2 2 3" xfId="22742"/>
    <cellStyle name="Normal 4 2 5 2 2 3" xfId="22743"/>
    <cellStyle name="Normal 4 3 2 3 2 2 3" xfId="22744"/>
    <cellStyle name="Normal 4 3 5 2 2 3" xfId="22745"/>
    <cellStyle name="Normal 4 3 6 2 2 3" xfId="22746"/>
    <cellStyle name="Normal 4 4 2 3 2 2 3" xfId="22747"/>
    <cellStyle name="Normal 4 4 4 2 2 3" xfId="22748"/>
    <cellStyle name="Normal 49 3 3 2 2 3" xfId="22749"/>
    <cellStyle name="Normal 5 2 3 2 2 3" xfId="22750"/>
    <cellStyle name="Normal 6 2 3 2 2 3" xfId="22751"/>
    <cellStyle name="Normal 7 2 3 2 2 3" xfId="22752"/>
    <cellStyle name="Normal 8 2 3 2 2 3" xfId="22753"/>
    <cellStyle name="Note 3 2 2 2 4 6" xfId="22754"/>
    <cellStyle name="Note 4 6 4 6" xfId="22755"/>
    <cellStyle name="Comma 23 2 3" xfId="22756"/>
    <cellStyle name="Percent 240 2 3" xfId="22757"/>
    <cellStyle name="Calculation 2 12 6" xfId="22758"/>
    <cellStyle name="Calculation 2 4 5 6" xfId="22759"/>
    <cellStyle name="Total 2 13 2 6" xfId="22760"/>
    <cellStyle name="Total 3 8 2 6" xfId="22761"/>
    <cellStyle name="Total 2 3 4 2 6" xfId="22762"/>
    <cellStyle name="Total 3 7 4 6" xfId="22763"/>
    <cellStyle name="Total 2 5 3 4 6" xfId="22764"/>
    <cellStyle name="Total 2 3 3 4 6" xfId="22765"/>
    <cellStyle name="Total 2 2 6 4 6" xfId="22766"/>
    <cellStyle name="Total 2 2 2 3 4 6" xfId="22767"/>
    <cellStyle name="StmtTtl2 3 4 6" xfId="22768"/>
    <cellStyle name="Calculation 2 11 2 6" xfId="22769"/>
    <cellStyle name="Input 23 6" xfId="22770"/>
    <cellStyle name="Input 2 11 2 6" xfId="22771"/>
    <cellStyle name="Input 2 2 4 4 2 6" xfId="22772"/>
    <cellStyle name="Input 8 4 2 6" xfId="22773"/>
    <cellStyle name="Output 3 7 4 6" xfId="22774"/>
    <cellStyle name="Input 22 6" xfId="22775"/>
    <cellStyle name="Header2 4 2 6" xfId="22776"/>
    <cellStyle name="StmtTtl2 4 2 6" xfId="22777"/>
    <cellStyle name="Total 2 2 3 4 2 6" xfId="22778"/>
    <cellStyle name="Total 2 5 4 2 6" xfId="22779"/>
    <cellStyle name="Note 2 5 2 4 6" xfId="22780"/>
    <cellStyle name="Note 2 2 2 2 4 6" xfId="22781"/>
    <cellStyle name="Note 2 3 2 2 4 6" xfId="22782"/>
    <cellStyle name="Note 2 4 2 2 4 6" xfId="22783"/>
    <cellStyle name="Note 3 3 2 4 6" xfId="22784"/>
    <cellStyle name="Input 8 3 4 6" xfId="22785"/>
    <cellStyle name="Input 6 4 4 6" xfId="22786"/>
    <cellStyle name="Input 4 6 4 6" xfId="22787"/>
    <cellStyle name="Input 2 3 3 4 6" xfId="22788"/>
    <cellStyle name="Input 2 2 3 3 4 6" xfId="22789"/>
    <cellStyle name="Input 2 2 6 4 6" xfId="22790"/>
    <cellStyle name="Calculation 2 3 3 4 6" xfId="22791"/>
    <cellStyle name="Calculation 2 2 3 3 4 6" xfId="22792"/>
    <cellStyle name="Calculation 2 2 6 4 6" xfId="22793"/>
    <cellStyle name="Calculation 3 8 6" xfId="22794"/>
    <cellStyle name="Note 3 2 2 4 2 6" xfId="22795"/>
    <cellStyle name="Output 2 2 4 4 2 6" xfId="22796"/>
    <cellStyle name="Output 2 2 3 4 2 6" xfId="22797"/>
    <cellStyle name="Input 2 2 3 4 2 6" xfId="22798"/>
    <cellStyle name="Output 2 4 3 4 6" xfId="22799"/>
    <cellStyle name="Output 2 2 4 3 4 6" xfId="22800"/>
    <cellStyle name="Output 2 2 2 3 4 6" xfId="22801"/>
    <cellStyle name="Output 2 11 4 6" xfId="22802"/>
    <cellStyle name="Note 3 2 8 4 6" xfId="22803"/>
    <cellStyle name="Note 2 3 4 4 6" xfId="22804"/>
    <cellStyle name="Note 2 10 4 6" xfId="22805"/>
    <cellStyle name="Input 5 8 6" xfId="22806"/>
    <cellStyle name="Input 2 3 5 6" xfId="22807"/>
    <cellStyle name="Input 2 2 8 6" xfId="22808"/>
    <cellStyle name="Note 4 2 5 4 6" xfId="22809"/>
    <cellStyle name="Style 21 5 6" xfId="22810"/>
    <cellStyle name="Style 21 2 5 6" xfId="22811"/>
    <cellStyle name="Style 22 5 6" xfId="22812"/>
    <cellStyle name="Style 22 2 5 6" xfId="22813"/>
    <cellStyle name="Style 23 5 6" xfId="22814"/>
    <cellStyle name="Style 23 2 5 6" xfId="22815"/>
    <cellStyle name="Style 24 5 6" xfId="22816"/>
    <cellStyle name="Style 24 2 5 6" xfId="22817"/>
    <cellStyle name="Style 25 5 6" xfId="22818"/>
    <cellStyle name="Style 25 2 5 6" xfId="22819"/>
    <cellStyle name="Style 26 5 6" xfId="22820"/>
    <cellStyle name="Style 26 2 5 6" xfId="22821"/>
    <cellStyle name="styleColumnTitles 5 6" xfId="22822"/>
    <cellStyle name="styleColumnTitles 2 5 6" xfId="22823"/>
    <cellStyle name="styleDateRange 5 6" xfId="22824"/>
    <cellStyle name="styleDateRange 2 5 6" xfId="22825"/>
    <cellStyle name="styleSeriesAttributes 5 6" xfId="22826"/>
    <cellStyle name="styleSeriesAttributes 2 5 6" xfId="22827"/>
    <cellStyle name="styleSeriesData 5 6" xfId="22828"/>
    <cellStyle name="styleSeriesData 2 5 6" xfId="22829"/>
    <cellStyle name="styleSeriesDataForecast 5 6" xfId="22830"/>
    <cellStyle name="styleSeriesDataForecast 2 5 6" xfId="22831"/>
    <cellStyle name="styleSeriesDataForecastNA 5 6" xfId="22832"/>
    <cellStyle name="styleSeriesDataForecastNA 2 5 6" xfId="22833"/>
    <cellStyle name="styleSeriesDataNA 5 6" xfId="22834"/>
    <cellStyle name="styleSeriesDataNA 2 5 6" xfId="22835"/>
    <cellStyle name="Style 21 2 2 4 6" xfId="22836"/>
    <cellStyle name="Style 22 2 2 4 6" xfId="22837"/>
    <cellStyle name="Style 23 2 2 4 6" xfId="22838"/>
    <cellStyle name="Style 24 2 2 4 6" xfId="22839"/>
    <cellStyle name="Style 25 2 2 4 6" xfId="22840"/>
    <cellStyle name="Style 26 2 2 4 6" xfId="22841"/>
    <cellStyle name="styleColumnTitles 2 2 4 6" xfId="22842"/>
    <cellStyle name="styleDateRange 2 2 4 6" xfId="22843"/>
    <cellStyle name="styleSeriesAttributes 2 2 4 6" xfId="22844"/>
    <cellStyle name="styleSeriesData 2 2 4 6" xfId="22845"/>
    <cellStyle name="styleSeriesDataForecast 2 2 4 6" xfId="22846"/>
    <cellStyle name="styleSeriesDataForecastNA 2 2 4 6" xfId="22847"/>
    <cellStyle name="styleSeriesDataNA 2 2 4 6" xfId="22848"/>
    <cellStyle name="Calculation 3 7 2 6" xfId="22849"/>
    <cellStyle name="Calculation 2 3 4 2 6" xfId="22850"/>
    <cellStyle name="Calculation 2 2 3 4 2 6" xfId="22851"/>
    <cellStyle name="Calculation 2 2 2 4 2 6" xfId="22852"/>
    <cellStyle name="Note 2 3 6 6" xfId="22853"/>
    <cellStyle name="Total 2 6 3 4 6" xfId="22854"/>
    <cellStyle name="Normal 357 3" xfId="22855"/>
    <cellStyle name="Normal 345 4 2 3" xfId="22856"/>
    <cellStyle name="Comma 20 2 2 3" xfId="22857"/>
    <cellStyle name="20% - Accent1 6 4 2 3" xfId="22858"/>
    <cellStyle name="20% - Accent2 6 4 2 3" xfId="22859"/>
    <cellStyle name="20% - Accent3 6 4 2 3" xfId="22860"/>
    <cellStyle name="20% - Accent4 6 4 2 3" xfId="22861"/>
    <cellStyle name="20% - Accent5 6 4 2 3" xfId="22862"/>
    <cellStyle name="20% - Accent6 6 4 2 3" xfId="22863"/>
    <cellStyle name="40% - Accent1 6 4 2 3" xfId="22864"/>
    <cellStyle name="40% - Accent2 6 4 2 3" xfId="22865"/>
    <cellStyle name="40% - Accent3 6 4 2 3" xfId="22866"/>
    <cellStyle name="40% - Accent4 6 4 2 3" xfId="22867"/>
    <cellStyle name="40% - Accent5 6 4 2 3" xfId="22868"/>
    <cellStyle name="40% - Accent6 6 4 2 3" xfId="22869"/>
    <cellStyle name="Calculation 7 2 4 6" xfId="22870"/>
    <cellStyle name="Calculation 2 6 2 4 6" xfId="22871"/>
    <cellStyle name="Calculation 3 2 2 4 6" xfId="22872"/>
    <cellStyle name="Calculation 4 2 2 4 6" xfId="22873"/>
    <cellStyle name="Calculation 5 4 4 6" xfId="22874"/>
    <cellStyle name="Output 9 2 4 6" xfId="22875"/>
    <cellStyle name="Input 10 2 4 6" xfId="22876"/>
    <cellStyle name="Input 2 6 2 4 6" xfId="22877"/>
    <cellStyle name="Input 3 2 2 4 6" xfId="22878"/>
    <cellStyle name="Input 4 2 2 4 6" xfId="22879"/>
    <cellStyle name="Input 5 2 2 4 6" xfId="22880"/>
    <cellStyle name="Normal 10 5 2 2 3" xfId="22881"/>
    <cellStyle name="Normal 11 5 2 2 3" xfId="22882"/>
    <cellStyle name="Normal 14 3 2 2 3" xfId="22883"/>
    <cellStyle name="Normal 2 2 2 2 2 2 3" xfId="22884"/>
    <cellStyle name="Normal 8 6 2 2 3" xfId="22885"/>
    <cellStyle name="Note 11 2 4 6" xfId="22886"/>
    <cellStyle name="Note 2 6 2 4 6" xfId="22887"/>
    <cellStyle name="Note 2 2 3 2 4 6" xfId="22888"/>
    <cellStyle name="Note 3 4 2 4 6" xfId="22889"/>
    <cellStyle name="Note 3 2 4 2 4 6" xfId="22890"/>
    <cellStyle name="Note 4 3 2 4 6" xfId="22891"/>
    <cellStyle name="Note 4 2 2 2 4 6" xfId="22892"/>
    <cellStyle name="Note 5 5 4 6" xfId="22893"/>
    <cellStyle name="Note 5 2 4 4 6" xfId="22894"/>
    <cellStyle name="Note 6 5 4 6" xfId="22895"/>
    <cellStyle name="Note 6 2 4 4 6" xfId="22896"/>
    <cellStyle name="Note 7 5 4 6" xfId="22897"/>
    <cellStyle name="Note 7 2 4 4 6" xfId="22898"/>
    <cellStyle name="Note 8 4 4 6" xfId="22899"/>
    <cellStyle name="Note 9 3 4 6" xfId="22900"/>
    <cellStyle name="Output 7 2 4 6" xfId="22901"/>
    <cellStyle name="Output 2 6 2 4 6" xfId="22902"/>
    <cellStyle name="Output 3 2 2 4 6" xfId="22903"/>
    <cellStyle name="Output 4 2 2 4 6" xfId="22904"/>
    <cellStyle name="Output 5 5 4 6" xfId="22905"/>
    <cellStyle name="Input 5 7 2 6" xfId="22906"/>
    <cellStyle name="Input 6 5 2 6" xfId="22907"/>
    <cellStyle name="Total 7 2 4 6" xfId="22908"/>
    <cellStyle name="Total 2 7 2 4 6" xfId="22909"/>
    <cellStyle name="Total 3 2 2 4 6" xfId="22910"/>
    <cellStyle name="Total 4 2 2 4 6" xfId="22911"/>
    <cellStyle name="Total 5 5 4 6" xfId="22912"/>
    <cellStyle name="Calculation 8 2 4 6" xfId="22913"/>
    <cellStyle name="Input 12 2 4 6" xfId="22914"/>
    <cellStyle name="Input 11 2 4 6" xfId="22915"/>
    <cellStyle name="Calculation 9 2 4 6" xfId="22916"/>
    <cellStyle name="Output 8 2 4 6" xfId="22917"/>
    <cellStyle name="Total 8 2 4 6" xfId="22918"/>
    <cellStyle name="Total 9 2 4 6" xfId="22919"/>
    <cellStyle name="20% - Accent1 6 2 2 2 3" xfId="22920"/>
    <cellStyle name="20% - Accent2 6 2 2 2 3" xfId="22921"/>
    <cellStyle name="20% - Accent3 6 2 2 2 3" xfId="22922"/>
    <cellStyle name="20% - Accent4 6 2 2 2 3" xfId="22923"/>
    <cellStyle name="20% - Accent5 6 2 2 2 3" xfId="22924"/>
    <cellStyle name="20% - Accent6 6 2 2 2 3" xfId="22925"/>
    <cellStyle name="40% - Accent1 6 2 2 2 3" xfId="22926"/>
    <cellStyle name="40% - Accent2 6 2 2 2 3" xfId="22927"/>
    <cellStyle name="40% - Accent3 6 2 2 2 3" xfId="22928"/>
    <cellStyle name="40% - Accent4 6 2 2 2 3" xfId="22929"/>
    <cellStyle name="Output 5 2 2 4 6" xfId="22930"/>
    <cellStyle name="Output 4 3 2 4 6" xfId="22931"/>
    <cellStyle name="Output 3 3 2 4 6" xfId="22932"/>
    <cellStyle name="Output 2 7 2 4 6" xfId="22933"/>
    <cellStyle name="Output 11 2 4 6" xfId="22934"/>
    <cellStyle name="40% - Accent5 6 2 2 2 3" xfId="22935"/>
    <cellStyle name="40% - Accent6 6 2 2 2 3" xfId="22936"/>
    <cellStyle name="Input 5 3 2 4 6" xfId="22937"/>
    <cellStyle name="Input 4 3 2 4 6" xfId="22938"/>
    <cellStyle name="Input 3 3 2 4 6" xfId="22939"/>
    <cellStyle name="Input 2 7 2 4 6" xfId="22940"/>
    <cellStyle name="Calculation 10 2 4 6" xfId="22941"/>
    <cellStyle name="Input 14 2 4 6" xfId="22942"/>
    <cellStyle name="Input 16 2 4 6" xfId="22943"/>
    <cellStyle name="Input 17 2 4 6" xfId="22944"/>
    <cellStyle name="Input 15 2 4 6" xfId="22945"/>
    <cellStyle name="Input 13 2 4 6" xfId="22946"/>
    <cellStyle name="Calculation 5 2 2 4 6" xfId="22947"/>
    <cellStyle name="Calculation 4 3 2 4 6" xfId="22948"/>
    <cellStyle name="Calculation 3 3 2 4 6" xfId="22949"/>
    <cellStyle name="Calculation 2 7 2 4 6" xfId="22950"/>
    <cellStyle name="Calculation 11 2 4 6" xfId="22951"/>
    <cellStyle name="Normal 10 6 2 2 3" xfId="22952"/>
    <cellStyle name="Normal 11 6 2 2 3" xfId="22953"/>
    <cellStyle name="Normal 14 4 2 2 3" xfId="22954"/>
    <cellStyle name="Normal 2 2 2 3 2 2 3" xfId="22955"/>
    <cellStyle name="Normal 8 7 2 2 3" xfId="22956"/>
    <cellStyle name="Output 10 2 4 6" xfId="22957"/>
    <cellStyle name="Note 12 2 4 6" xfId="22958"/>
    <cellStyle name="Note 2 7 2 4 6" xfId="22959"/>
    <cellStyle name="Note 2 2 4 2 4 6" xfId="22960"/>
    <cellStyle name="Note 3 5 2 4 6" xfId="22961"/>
    <cellStyle name="Note 3 2 5 2 4 6" xfId="22962"/>
    <cellStyle name="Note 4 4 2 4 6" xfId="22963"/>
    <cellStyle name="Note 4 2 3 2 4 6" xfId="22964"/>
    <cellStyle name="Note 5 3 2 4 6" xfId="22965"/>
    <cellStyle name="Note 5 2 2 2 4 6" xfId="22966"/>
    <cellStyle name="Note 6 3 2 4 6" xfId="22967"/>
    <cellStyle name="Note 6 2 2 2 4 6" xfId="22968"/>
    <cellStyle name="Note 7 3 2 4 6" xfId="22969"/>
    <cellStyle name="Note 7 2 2 2 4 6" xfId="22970"/>
    <cellStyle name="Note 8 2 2 4 6" xfId="22971"/>
    <cellStyle name="Note 9 2 2 4 6" xfId="22972"/>
    <cellStyle name="Output 12 2 4 6" xfId="22973"/>
    <cellStyle name="Output 2 8 2 4 6" xfId="22974"/>
    <cellStyle name="Output 3 4 2 4 6" xfId="22975"/>
    <cellStyle name="Output 4 4 2 4 6" xfId="22976"/>
    <cellStyle name="Output 5 3 2 4 6" xfId="22977"/>
    <cellStyle name="Total 10 2 4 6" xfId="22978"/>
    <cellStyle name="Total 11 2 4 6" xfId="22979"/>
    <cellStyle name="Total 2 8 2 4 6" xfId="22980"/>
    <cellStyle name="Total 3 3 2 4 6" xfId="22981"/>
    <cellStyle name="Total 4 3 2 4 6" xfId="22982"/>
    <cellStyle name="Total 5 2 2 4 6" xfId="22983"/>
    <cellStyle name="Total 12 2 4 6" xfId="22984"/>
    <cellStyle name="Total 2 9 2 4 6" xfId="22985"/>
    <cellStyle name="Total 3 4 2 4 6" xfId="22986"/>
    <cellStyle name="Total 4 4 2 4 6" xfId="22987"/>
    <cellStyle name="Total 5 3 2 4 6" xfId="22988"/>
    <cellStyle name="20% - Accent1 6 3 2 2 3" xfId="22989"/>
    <cellStyle name="20% - Accent2 6 3 2 2 3" xfId="22990"/>
    <cellStyle name="20% - Accent3 6 3 2 2 3" xfId="22991"/>
    <cellStyle name="20% - Accent4 6 3 2 2 3" xfId="22992"/>
    <cellStyle name="20% - Accent5 6 3 2 2 3" xfId="22993"/>
    <cellStyle name="20% - Accent6 6 3 2 2 3" xfId="22994"/>
    <cellStyle name="40% - Accent1 6 3 2 2 3" xfId="22995"/>
    <cellStyle name="40% - Accent2 6 3 2 2 3" xfId="22996"/>
    <cellStyle name="40% - Accent3 6 3 2 2 3" xfId="22997"/>
    <cellStyle name="40% - Accent4 6 3 2 2 3" xfId="22998"/>
    <cellStyle name="40% - Accent5 6 3 2 2 3" xfId="22999"/>
    <cellStyle name="40% - Accent6 6 3 2 2 3" xfId="23000"/>
    <cellStyle name="Input 18 2 4 6" xfId="23001"/>
    <cellStyle name="Normal 10 7 2 2 3" xfId="23002"/>
    <cellStyle name="Normal 11 7 2 2 3" xfId="23003"/>
    <cellStyle name="Normal 14 5 2 2 3" xfId="23004"/>
    <cellStyle name="Normal 2 2 2 4 2 2 3" xfId="23005"/>
    <cellStyle name="Normal 8 8 2 2 3" xfId="23006"/>
    <cellStyle name="Calculation 12 2 4 6" xfId="23007"/>
    <cellStyle name="Input 19 2 4 6" xfId="23008"/>
    <cellStyle name="Note 13 2 4 6" xfId="23009"/>
    <cellStyle name="Output 13 2 4 6" xfId="23010"/>
    <cellStyle name="Total 13 2 4 6" xfId="23011"/>
    <cellStyle name="Normal 8 9 2 2 3" xfId="23012"/>
    <cellStyle name="Comma 13 4 2 2 3" xfId="23013"/>
    <cellStyle name="Currency 7 5 2 2 3" xfId="23014"/>
    <cellStyle name="Calculation 2 8 2 4 6" xfId="23015"/>
    <cellStyle name="Calculation 3 4 2 4 6" xfId="23016"/>
    <cellStyle name="Calculation 4 4 2 4 6" xfId="23017"/>
    <cellStyle name="Calculation 5 3 2 4 6" xfId="23018"/>
    <cellStyle name="Input 2 8 2 4 6" xfId="23019"/>
    <cellStyle name="Input 3 4 2 4 6" xfId="23020"/>
    <cellStyle name="Input 4 4 2 4 6" xfId="23021"/>
    <cellStyle name="Input 5 4 2 4 6" xfId="23022"/>
    <cellStyle name="Normal 10 8 2 2 3" xfId="23023"/>
    <cellStyle name="Note 2 8 2 4 6" xfId="23024"/>
    <cellStyle name="Note 2 2 5 2 4 6" xfId="23025"/>
    <cellStyle name="Note 3 6 2 4 6" xfId="23026"/>
    <cellStyle name="Note 3 2 6 2 4 6" xfId="23027"/>
    <cellStyle name="Note 4 5 2 4 6" xfId="23028"/>
    <cellStyle name="Note 4 2 4 2 4 6" xfId="23029"/>
    <cellStyle name="Note 5 4 2 4 6" xfId="23030"/>
    <cellStyle name="Note 5 2 3 2 4 6" xfId="23031"/>
    <cellStyle name="Note 6 4 2 4 6" xfId="23032"/>
    <cellStyle name="Note 6 2 3 2 4 6" xfId="23033"/>
    <cellStyle name="Note 7 4 2 4 6" xfId="23034"/>
    <cellStyle name="Note 7 2 3 2 4 6" xfId="23035"/>
    <cellStyle name="Note 8 3 2 4 6" xfId="23036"/>
    <cellStyle name="Output 2 9 2 4 6" xfId="23037"/>
    <cellStyle name="Output 3 5 2 4 6" xfId="23038"/>
    <cellStyle name="Output 4 5 2 4 6" xfId="23039"/>
    <cellStyle name="Output 5 4 2 4 6" xfId="23040"/>
    <cellStyle name="Total 2 10 2 4 6" xfId="23041"/>
    <cellStyle name="Total 3 5 2 4 6" xfId="23042"/>
    <cellStyle name="Total 4 5 2 4 6" xfId="23043"/>
    <cellStyle name="Total 5 4 2 4 6" xfId="23044"/>
    <cellStyle name="Normal 11 8 2 2 3" xfId="23045"/>
    <cellStyle name="Normal 14 6 2 2 3" xfId="23046"/>
    <cellStyle name="Normal 43 3 2 2 3" xfId="23047"/>
    <cellStyle name="Normal 44 3 2 2 3" xfId="23048"/>
    <cellStyle name="Input 20 2 4 6" xfId="23049"/>
    <cellStyle name="Normal 8 10 2 2 3" xfId="23050"/>
    <cellStyle name="Comma 13 5 2 2 3" xfId="23051"/>
    <cellStyle name="Currency 7 6 2 2 3" xfId="23052"/>
    <cellStyle name="Normal 10 9 2 2 3" xfId="23053"/>
    <cellStyle name="Normal 11 9 2 2 3" xfId="23054"/>
    <cellStyle name="Normal 14 7 2 2 3" xfId="23055"/>
    <cellStyle name="Normal 43 4 2 2 3" xfId="23056"/>
    <cellStyle name="Normal 44 4 2 2 3" xfId="23057"/>
    <cellStyle name="Normal 355 2 2 3" xfId="23058"/>
    <cellStyle name="Comma 22 2 2 3" xfId="23059"/>
    <cellStyle name="Input 21 2 4 6" xfId="23060"/>
    <cellStyle name="Normal 8 11 2 2 3" xfId="23061"/>
    <cellStyle name="Comma 13 6 2 2 3" xfId="23062"/>
    <cellStyle name="Currency 7 7 2 2 3" xfId="23063"/>
    <cellStyle name="Normal 10 10 2 2 3" xfId="23064"/>
    <cellStyle name="Normal 11 10 2 2 3" xfId="23065"/>
    <cellStyle name="Normal 14 8 2 2 3" xfId="23066"/>
    <cellStyle name="Normal 43 5 2 2 3" xfId="23067"/>
    <cellStyle name="Normal 44 5 2 2 3" xfId="23068"/>
    <cellStyle name="20% - Accent1 4 6 2" xfId="23069"/>
    <cellStyle name="20% - Accent2 4 6 2" xfId="23070"/>
    <cellStyle name="20% - Accent3 4 6 2" xfId="23071"/>
    <cellStyle name="20% - Accent4 4 6 2" xfId="23072"/>
    <cellStyle name="20% - Accent5 4 6 2" xfId="23073"/>
    <cellStyle name="20% - Accent6 4 6 2" xfId="23074"/>
    <cellStyle name="40% - Accent1 4 6 2" xfId="23075"/>
    <cellStyle name="40% - Accent2 4 6 2" xfId="23076"/>
    <cellStyle name="40% - Accent3 4 6 2" xfId="23077"/>
    <cellStyle name="40% - Accent4 4 6 2" xfId="23078"/>
    <cellStyle name="40% - Accent5 4 6 2" xfId="23079"/>
    <cellStyle name="40% - Accent6 4 6 2" xfId="23080"/>
    <cellStyle name="Calculation 2 13 5" xfId="23081"/>
    <cellStyle name="Calculation 2 2 9 5" xfId="23082"/>
    <cellStyle name="Calculation 2 2 2 6 5" xfId="23083"/>
    <cellStyle name="Calculation 2 2 3 6 5" xfId="23084"/>
    <cellStyle name="Calculation 2 2 4 6 5" xfId="23085"/>
    <cellStyle name="Calculation 2 3 6 5" xfId="23086"/>
    <cellStyle name="Calculation 2 4 6 5" xfId="23087"/>
    <cellStyle name="Calculation 3 9 5" xfId="23088"/>
    <cellStyle name="Input 2 13 5" xfId="23089"/>
    <cellStyle name="Input 2 2 9 5" xfId="23090"/>
    <cellStyle name="Input 2 2 2 6 5" xfId="23091"/>
    <cellStyle name="Input 2 2 3 6 5" xfId="23092"/>
    <cellStyle name="Input 2 2 4 6 5" xfId="23093"/>
    <cellStyle name="Input 2 3 6 5" xfId="23094"/>
    <cellStyle name="Input 2 4 6 5" xfId="23095"/>
    <cellStyle name="Input 3 8 5" xfId="23096"/>
    <cellStyle name="Input 4 8 5" xfId="23097"/>
    <cellStyle name="Input 5 9 5" xfId="23098"/>
    <cellStyle name="Input 6 7 5" xfId="23099"/>
    <cellStyle name="Input 7 6 5" xfId="23100"/>
    <cellStyle name="Input 8 6 5" xfId="23101"/>
    <cellStyle name="Normal 10 3 5 2" xfId="23102"/>
    <cellStyle name="Normal 11 3 3 5 2" xfId="23103"/>
    <cellStyle name="Normal 18 3 3 5 2" xfId="23104"/>
    <cellStyle name="Normal 182 3 5 2" xfId="23105"/>
    <cellStyle name="Normal 183 3 5 2" xfId="23106"/>
    <cellStyle name="Normal 184 3 5 2" xfId="23107"/>
    <cellStyle name="Normal 185 2 3 5 2" xfId="23108"/>
    <cellStyle name="Normal 199 3 5 2" xfId="23109"/>
    <cellStyle name="Normal 20 3 3 5 2" xfId="23110"/>
    <cellStyle name="Normal 221 2 5 2" xfId="23111"/>
    <cellStyle name="Normal 222 2 5 2" xfId="23112"/>
    <cellStyle name="Normal 264 5 2" xfId="23113"/>
    <cellStyle name="Normal 3 3 2 3 5 2" xfId="23114"/>
    <cellStyle name="Normal 4 2 2 2 3 5 2" xfId="23115"/>
    <cellStyle name="Normal 4 2 2 4 5 2" xfId="23116"/>
    <cellStyle name="Normal 4 2 3 3 5 2" xfId="23117"/>
    <cellStyle name="Normal 4 2 5 5 2" xfId="23118"/>
    <cellStyle name="Normal 4 3 2 3 5 2" xfId="23119"/>
    <cellStyle name="Normal 4 3 5 5 2" xfId="23120"/>
    <cellStyle name="Normal 4 3 6 5 2" xfId="23121"/>
    <cellStyle name="Normal 4 4 2 3 5 2" xfId="23122"/>
    <cellStyle name="Normal 4 4 4 5 2" xfId="23123"/>
    <cellStyle name="Normal 4 7 5 2" xfId="23124"/>
    <cellStyle name="Normal 49 3 3 5 2" xfId="23125"/>
    <cellStyle name="Normal 5 2 3 5 2" xfId="23126"/>
    <cellStyle name="Normal 5 4 5 2" xfId="23127"/>
    <cellStyle name="Normal 6 2 3 5 2" xfId="23128"/>
    <cellStyle name="Normal 6 4 5 2" xfId="23129"/>
    <cellStyle name="Normal 7 2 3 5 2" xfId="23130"/>
    <cellStyle name="Normal 7 4 5 2" xfId="23131"/>
    <cellStyle name="Normal 8 2 3 5 2" xfId="23132"/>
    <cellStyle name="Normal 8 4 5 2" xfId="23133"/>
    <cellStyle name="Normal 9 3 5 2" xfId="23134"/>
    <cellStyle name="Note 2 12 5" xfId="23135"/>
    <cellStyle name="Note 2 2 9 5" xfId="23136"/>
    <cellStyle name="Note 2 3 7 5" xfId="23137"/>
    <cellStyle name="Note 2 4 7 5" xfId="23138"/>
    <cellStyle name="Note 3 10 5" xfId="23139"/>
    <cellStyle name="Note 3 2 11 5" xfId="23140"/>
    <cellStyle name="Note 3 2 2 6 5" xfId="23141"/>
    <cellStyle name="Note 4 9 5" xfId="23142"/>
    <cellStyle name="Output 2 13 5" xfId="23143"/>
    <cellStyle name="Output 2 2 8 5" xfId="23144"/>
    <cellStyle name="Output 2 2 2 5 5" xfId="23145"/>
    <cellStyle name="Output 2 2 3 5 5" xfId="23146"/>
    <cellStyle name="Output 2 2 4 5 5" xfId="23147"/>
    <cellStyle name="Output 2 3 5 5" xfId="23148"/>
    <cellStyle name="Output 2 4 5 5" xfId="23149"/>
    <cellStyle name="Output 3 9 5" xfId="23150"/>
    <cellStyle name="StmtTtl2 5 5" xfId="23151"/>
    <cellStyle name="Total 2 14 5" xfId="23152"/>
    <cellStyle name="Total 2 2 8 5" xfId="23153"/>
    <cellStyle name="Total 2 2 2 5 5" xfId="23154"/>
    <cellStyle name="Total 2 2 3 5 5" xfId="23155"/>
    <cellStyle name="Total 2 2 4 5 5" xfId="23156"/>
    <cellStyle name="Total 2 3 5 5" xfId="23157"/>
    <cellStyle name="Total 2 4 5 5" xfId="23158"/>
    <cellStyle name="Total 2 5 5 5" xfId="23159"/>
    <cellStyle name="Total 3 9 5" xfId="23160"/>
    <cellStyle name="Comma 19 5 2" xfId="23161"/>
    <cellStyle name="Calculation 2 5 5 5" xfId="23162"/>
    <cellStyle name="Comma 6 10 5 2" xfId="23163"/>
    <cellStyle name="Comma 8 6 5 2" xfId="23164"/>
    <cellStyle name="Input 2 5 5 5" xfId="23165"/>
    <cellStyle name="Input [yellow] 2 2 5" xfId="23166"/>
    <cellStyle name="Normal 51 3 5 2" xfId="23167"/>
    <cellStyle name="Normal 52 3 5 2" xfId="23168"/>
    <cellStyle name="Note 2 2 2 5 5" xfId="23169"/>
    <cellStyle name="Note 2 3 2 5 5" xfId="23170"/>
    <cellStyle name="Note 2 4 2 5 5" xfId="23171"/>
    <cellStyle name="Note 2 5 5 5" xfId="23172"/>
    <cellStyle name="Note 3 3 5 5" xfId="23173"/>
    <cellStyle name="Note 4 2 7 5" xfId="23174"/>
    <cellStyle name="Output 2 5 5 5" xfId="23175"/>
    <cellStyle name="Total 2 6 5 5" xfId="23176"/>
    <cellStyle name="Normal 345 7 2" xfId="23177"/>
    <cellStyle name="Comma 20 5 2" xfId="23178"/>
    <cellStyle name="20% - Accent1 6 7 2" xfId="23179"/>
    <cellStyle name="20% - Accent2 6 7 2" xfId="23180"/>
    <cellStyle name="20% - Accent3 6 7 2" xfId="23181"/>
    <cellStyle name="20% - Accent4 6 7 2" xfId="23182"/>
    <cellStyle name="20% - Accent5 6 7 2" xfId="23183"/>
    <cellStyle name="20% - Accent6 6 7 2" xfId="23184"/>
    <cellStyle name="40% - Accent1 6 7 2" xfId="23185"/>
    <cellStyle name="40% - Accent2 6 7 2" xfId="23186"/>
    <cellStyle name="40% - Accent3 6 7 2" xfId="23187"/>
    <cellStyle name="40% - Accent4 6 7 2" xfId="23188"/>
    <cellStyle name="40% - Accent5 6 7 2" xfId="23189"/>
    <cellStyle name="40% - Accent6 6 7 2" xfId="23190"/>
    <cellStyle name="Calculation 7 7 5" xfId="23191"/>
    <cellStyle name="Calculation 2 6 7 5" xfId="23192"/>
    <cellStyle name="Calculation 3 2 7 5" xfId="23193"/>
    <cellStyle name="Calculation 4 2 7 5" xfId="23194"/>
    <cellStyle name="Calculation 5 8 5" xfId="23195"/>
    <cellStyle name="Output 9 6 5" xfId="23196"/>
    <cellStyle name="Input 10 7 5" xfId="23197"/>
    <cellStyle name="Input 2 6 7 5" xfId="23198"/>
    <cellStyle name="Input 3 2 7 5" xfId="23199"/>
    <cellStyle name="Input 4 2 7 5" xfId="23200"/>
    <cellStyle name="Input 5 2 7 5" xfId="23201"/>
    <cellStyle name="Normal 10 5 5 2" xfId="23202"/>
    <cellStyle name="Normal 11 5 5 2" xfId="23203"/>
    <cellStyle name="Normal 14 3 5 2" xfId="23204"/>
    <cellStyle name="Normal 2 2 2 2 5 2" xfId="23205"/>
    <cellStyle name="Normal 8 6 5 2" xfId="23206"/>
    <cellStyle name="Note 11 6 5" xfId="23207"/>
    <cellStyle name="Note 2 6 6 5" xfId="23208"/>
    <cellStyle name="Note 2 2 3 6 5" xfId="23209"/>
    <cellStyle name="Note 3 4 6 5" xfId="23210"/>
    <cellStyle name="Note 3 2 4 6 5" xfId="23211"/>
    <cellStyle name="Note 4 3 6 5" xfId="23212"/>
    <cellStyle name="Note 4 2 2 6 5" xfId="23213"/>
    <cellStyle name="Note 5 9 5" xfId="23214"/>
    <cellStyle name="Note 5 2 8 5" xfId="23215"/>
    <cellStyle name="Note 6 9 5" xfId="23216"/>
    <cellStyle name="Note 6 2 8 5" xfId="23217"/>
    <cellStyle name="Note 7 9 5" xfId="23218"/>
    <cellStyle name="Note 7 2 8 5" xfId="23219"/>
    <cellStyle name="Note 8 8 5" xfId="23220"/>
    <cellStyle name="Note 9 7 5" xfId="23221"/>
    <cellStyle name="Output 7 6 5" xfId="23222"/>
    <cellStyle name="Output 2 6 6 5" xfId="23223"/>
    <cellStyle name="Output 3 2 6 5" xfId="23224"/>
    <cellStyle name="Output 4 2 6 5" xfId="23225"/>
    <cellStyle name="Output 5 9 5" xfId="23226"/>
    <cellStyle name="Total 7 6 5" xfId="23227"/>
    <cellStyle name="Total 2 7 6 5" xfId="23228"/>
    <cellStyle name="Total 3 2 6 5" xfId="23229"/>
    <cellStyle name="Total 4 2 6 5" xfId="23230"/>
    <cellStyle name="Total 5 9 5" xfId="23231"/>
    <cellStyle name="Calculation 8 7 5" xfId="23232"/>
    <cellStyle name="Input 12 7 5" xfId="23233"/>
    <cellStyle name="Input 11 7 5" xfId="23234"/>
    <cellStyle name="Calculation 9 7 5" xfId="23235"/>
    <cellStyle name="Output 8 6 5" xfId="23236"/>
    <cellStyle name="Total 8 6 5" xfId="23237"/>
    <cellStyle name="Total 9 6 5" xfId="23238"/>
    <cellStyle name="20% - Accent1 6 2 5 2" xfId="23239"/>
    <cellStyle name="20% - Accent2 6 2 5 2" xfId="23240"/>
    <cellStyle name="20% - Accent3 6 2 5 2" xfId="23241"/>
    <cellStyle name="20% - Accent4 6 2 5 2" xfId="23242"/>
    <cellStyle name="20% - Accent5 6 2 5 2" xfId="23243"/>
    <cellStyle name="20% - Accent6 6 2 5 2" xfId="23244"/>
    <cellStyle name="40% - Accent1 6 2 5 2" xfId="23245"/>
    <cellStyle name="40% - Accent2 6 2 5 2" xfId="23246"/>
    <cellStyle name="40% - Accent3 6 2 5 2" xfId="23247"/>
    <cellStyle name="40% - Accent4 6 2 5 2" xfId="23248"/>
    <cellStyle name="Output 5 2 6 5" xfId="23249"/>
    <cellStyle name="Output 4 3 6 5" xfId="23250"/>
    <cellStyle name="Output 3 3 6 5" xfId="23251"/>
    <cellStyle name="Output 2 7 6 5" xfId="23252"/>
    <cellStyle name="Output 11 6 5" xfId="23253"/>
    <cellStyle name="40% - Accent5 6 2 5 2" xfId="23254"/>
    <cellStyle name="40% - Accent6 6 2 5 2" xfId="23255"/>
    <cellStyle name="Input 5 3 7 5" xfId="23256"/>
    <cellStyle name="Input 4 3 7 5" xfId="23257"/>
    <cellStyle name="Input 3 3 7 5" xfId="23258"/>
    <cellStyle name="Input 2 7 7 5" xfId="23259"/>
    <cellStyle name="Calculation 10 7 5" xfId="23260"/>
    <cellStyle name="Input 14 7 5" xfId="23261"/>
    <cellStyle name="Input 16 7 5" xfId="23262"/>
    <cellStyle name="Input 17 7 5" xfId="23263"/>
    <cellStyle name="Input 15 7 5" xfId="23264"/>
    <cellStyle name="Input 13 7 5" xfId="23265"/>
    <cellStyle name="Calculation 5 2 7 5" xfId="23266"/>
    <cellStyle name="Calculation 4 3 7 5" xfId="23267"/>
    <cellStyle name="Calculation 3 3 7 5" xfId="23268"/>
    <cellStyle name="Calculation 2 7 7 5" xfId="23269"/>
    <cellStyle name="Calculation 11 7 5" xfId="23270"/>
    <cellStyle name="Normal 10 6 5 2" xfId="23271"/>
    <cellStyle name="Normal 11 6 5 2" xfId="23272"/>
    <cellStyle name="Normal 14 4 5 2" xfId="23273"/>
    <cellStyle name="Normal 2 2 2 3 5 2" xfId="23274"/>
    <cellStyle name="Normal 8 7 5 2" xfId="23275"/>
    <cellStyle name="Output 10 6 5" xfId="23276"/>
    <cellStyle name="Note 12 6 5" xfId="23277"/>
    <cellStyle name="Note 2 7 6 5" xfId="23278"/>
    <cellStyle name="Note 2 2 4 6 5" xfId="23279"/>
    <cellStyle name="Note 3 5 6 5" xfId="23280"/>
    <cellStyle name="Note 3 2 5 6 5" xfId="23281"/>
    <cellStyle name="Note 4 4 6 5" xfId="23282"/>
    <cellStyle name="Note 4 2 3 6 5" xfId="23283"/>
    <cellStyle name="Note 5 3 6 5" xfId="23284"/>
    <cellStyle name="Note 5 2 2 6 5" xfId="23285"/>
    <cellStyle name="Note 6 3 6 5" xfId="23286"/>
    <cellStyle name="Note 6 2 2 6 5" xfId="23287"/>
    <cellStyle name="Note 7 3 6 5" xfId="23288"/>
    <cellStyle name="Note 7 2 2 6 5" xfId="23289"/>
    <cellStyle name="Note 8 2 6 5" xfId="23290"/>
    <cellStyle name="Note 9 2 6 5" xfId="23291"/>
    <cellStyle name="Output 12 6 5" xfId="23292"/>
    <cellStyle name="Output 2 8 6 5" xfId="23293"/>
    <cellStyle name="Output 3 4 6 5" xfId="23294"/>
    <cellStyle name="Output 4 4 6 5" xfId="23295"/>
    <cellStyle name="Output 5 3 6 5" xfId="23296"/>
    <cellStyle name="Total 10 6 5" xfId="23297"/>
    <cellStyle name="Total 11 6 5" xfId="23298"/>
    <cellStyle name="Total 2 8 6 5" xfId="23299"/>
    <cellStyle name="Total 3 3 6 5" xfId="23300"/>
    <cellStyle name="Total 4 3 6 5" xfId="23301"/>
    <cellStyle name="Total 5 2 6 5" xfId="23302"/>
    <cellStyle name="Total 12 6 5" xfId="23303"/>
    <cellStyle name="Total 2 9 6 5" xfId="23304"/>
    <cellStyle name="Total 3 4 6 5" xfId="23305"/>
    <cellStyle name="Total 4 4 6 5" xfId="23306"/>
    <cellStyle name="Total 5 3 6 5" xfId="23307"/>
    <cellStyle name="20% - Accent1 6 3 5 2" xfId="23308"/>
    <cellStyle name="20% - Accent2 6 3 5 2" xfId="23309"/>
    <cellStyle name="20% - Accent3 6 3 5 2" xfId="23310"/>
    <cellStyle name="20% - Accent4 6 3 5 2" xfId="23311"/>
    <cellStyle name="20% - Accent5 6 3 5 2" xfId="23312"/>
    <cellStyle name="20% - Accent6 6 3 5 2" xfId="23313"/>
    <cellStyle name="40% - Accent1 6 3 5 2" xfId="23314"/>
    <cellStyle name="40% - Accent2 6 3 5 2" xfId="23315"/>
    <cellStyle name="40% - Accent3 6 3 5 2" xfId="23316"/>
    <cellStyle name="40% - Accent4 6 3 5 2" xfId="23317"/>
    <cellStyle name="40% - Accent5 6 3 5 2" xfId="23318"/>
    <cellStyle name="40% - Accent6 6 3 5 2" xfId="23319"/>
    <cellStyle name="Input 18 7 5" xfId="23320"/>
    <cellStyle name="Normal 10 7 5 2" xfId="23321"/>
    <cellStyle name="Normal 11 7 5 2" xfId="23322"/>
    <cellStyle name="Normal 14 5 5 2" xfId="23323"/>
    <cellStyle name="Normal 2 2 2 4 5 2" xfId="23324"/>
    <cellStyle name="Normal 8 8 5 2" xfId="23325"/>
    <cellStyle name="Calculation 12 7 5" xfId="23326"/>
    <cellStyle name="Input 19 7 5" xfId="23327"/>
    <cellStyle name="Note 13 7 5" xfId="23328"/>
    <cellStyle name="Output 13 7 5" xfId="23329"/>
    <cellStyle name="Total 13 7 5" xfId="23330"/>
    <cellStyle name="Normal 8 9 5 2" xfId="23331"/>
    <cellStyle name="Comma 13 4 5 2" xfId="23332"/>
    <cellStyle name="Currency 7 5 5 2" xfId="23333"/>
    <cellStyle name="Calculation 2 8 7 5" xfId="23334"/>
    <cellStyle name="Calculation 3 4 7 5" xfId="23335"/>
    <cellStyle name="Calculation 4 4 7 5" xfId="23336"/>
    <cellStyle name="Calculation 5 3 7 5" xfId="23337"/>
    <cellStyle name="Input 2 8 7 5" xfId="23338"/>
    <cellStyle name="Input 3 4 7 5" xfId="23339"/>
    <cellStyle name="Input 4 4 7 5" xfId="23340"/>
    <cellStyle name="Input 5 4 7 5" xfId="23341"/>
    <cellStyle name="Normal 10 8 5 2" xfId="23342"/>
    <cellStyle name="Note 2 8 7 5" xfId="23343"/>
    <cellStyle name="Note 2 2 5 7 5" xfId="23344"/>
    <cellStyle name="Note 3 6 7 5" xfId="23345"/>
    <cellStyle name="Note 3 2 6 7 5" xfId="23346"/>
    <cellStyle name="Note 4 5 7 5" xfId="23347"/>
    <cellStyle name="Note 4 2 4 7 5" xfId="23348"/>
    <cellStyle name="Note 5 4 7 5" xfId="23349"/>
    <cellStyle name="Note 5 2 3 7 5" xfId="23350"/>
    <cellStyle name="Note 6 4 7 5" xfId="23351"/>
    <cellStyle name="Note 6 2 3 7 5" xfId="23352"/>
    <cellStyle name="Note 7 4 7 5" xfId="23353"/>
    <cellStyle name="Note 7 2 3 7 5" xfId="23354"/>
    <cellStyle name="Note 8 3 7 5" xfId="23355"/>
    <cellStyle name="Output 2 9 7 5" xfId="23356"/>
    <cellStyle name="Output 3 5 7 5" xfId="23357"/>
    <cellStyle name="Output 4 5 7 5" xfId="23358"/>
    <cellStyle name="Output 5 4 7 5" xfId="23359"/>
    <cellStyle name="Total 2 10 7 5" xfId="23360"/>
    <cellStyle name="Total 3 5 7 5" xfId="23361"/>
    <cellStyle name="Total 4 5 7 5" xfId="23362"/>
    <cellStyle name="Total 5 4 7 5" xfId="23363"/>
    <cellStyle name="Normal 11 8 5 2" xfId="23364"/>
    <cellStyle name="Normal 14 6 5 2" xfId="23365"/>
    <cellStyle name="Normal 43 3 5 2" xfId="23366"/>
    <cellStyle name="Normal 44 3 5 2" xfId="23367"/>
    <cellStyle name="Input 20 7 5" xfId="23368"/>
    <cellStyle name="Normal 8 10 5 2" xfId="23369"/>
    <cellStyle name="Comma 13 5 5 2" xfId="23370"/>
    <cellStyle name="Currency 7 6 5 2" xfId="23371"/>
    <cellStyle name="Normal 10 9 5 2" xfId="23372"/>
    <cellStyle name="Normal 11 9 5 2" xfId="23373"/>
    <cellStyle name="Normal 14 7 5 2" xfId="23374"/>
    <cellStyle name="Normal 43 4 5 2" xfId="23375"/>
    <cellStyle name="Normal 44 4 5 2" xfId="23376"/>
    <cellStyle name="Normal 355 5 2" xfId="23377"/>
    <cellStyle name="Comma 22 5 2" xfId="23378"/>
    <cellStyle name="Input 21 7 5" xfId="23379"/>
    <cellStyle name="Normal 8 11 5 2" xfId="23380"/>
    <cellStyle name="Comma 13 6 5 2" xfId="23381"/>
    <cellStyle name="Currency 7 7 5 2" xfId="23382"/>
    <cellStyle name="Normal 10 10 5 2" xfId="23383"/>
    <cellStyle name="Normal 11 10 5 2" xfId="23384"/>
    <cellStyle name="Normal 14 8 5 2" xfId="23385"/>
    <cellStyle name="Normal 43 5 5 2" xfId="23386"/>
    <cellStyle name="Normal 44 5 5 2" xfId="23387"/>
    <cellStyle name="Note 6 7 2 5" xfId="23388"/>
    <cellStyle name="Note 5 7 2 5" xfId="23389"/>
    <cellStyle name="Note 4 3 4 2 5" xfId="23390"/>
    <cellStyle name="Note 3 4 4 2 5" xfId="23391"/>
    <cellStyle name="Note 2 6 4 2 5" xfId="23392"/>
    <cellStyle name="Input 5 2 4 2 5" xfId="23393"/>
    <cellStyle name="Input 4 2 4 2 5" xfId="23394"/>
    <cellStyle name="Input 3 2 4 2 5" xfId="23395"/>
    <cellStyle name="20% - Accent1 4 4 2 2" xfId="23396"/>
    <cellStyle name="20% - Accent2 4 4 2 2" xfId="23397"/>
    <cellStyle name="20% - Accent3 4 4 2 2" xfId="23398"/>
    <cellStyle name="20% - Accent4 4 4 2 2" xfId="23399"/>
    <cellStyle name="20% - Accent5 4 4 2 2" xfId="23400"/>
    <cellStyle name="Calculation 5 6 2 5" xfId="23401"/>
    <cellStyle name="Calculation 4 2 4 2 5" xfId="23402"/>
    <cellStyle name="Calculation 3 2 4 2 5" xfId="23403"/>
    <cellStyle name="Calculation 2 6 4 2 5" xfId="23404"/>
    <cellStyle name="Calculation 7 4 2 5" xfId="23405"/>
    <cellStyle name="20% - Accent6 4 4 2 2" xfId="23406"/>
    <cellStyle name="Calculation 3 2 5 2 5" xfId="23407"/>
    <cellStyle name="Calculation 4 2 5 2 5" xfId="23408"/>
    <cellStyle name="40% - Accent1 4 4 2 2" xfId="23409"/>
    <cellStyle name="Input 10 5 2 5" xfId="23410"/>
    <cellStyle name="40% - Accent2 4 4 2 2" xfId="23411"/>
    <cellStyle name="40% - Accent3 4 4 2 2" xfId="23412"/>
    <cellStyle name="Calculation 8 5 2 5" xfId="23413"/>
    <cellStyle name="40% - Accent4 4 4 2 2" xfId="23414"/>
    <cellStyle name="Input 16 5 2 5" xfId="23415"/>
    <cellStyle name="40% - Accent5 4 4 2 2" xfId="23416"/>
    <cellStyle name="Total 13 5 2 5" xfId="23417"/>
    <cellStyle name="Calculation 3 4 5 2 5" xfId="23418"/>
    <cellStyle name="40% - Accent6 4 4 2 2" xfId="23419"/>
    <cellStyle name="Calculation 2 9 3 2 5" xfId="23420"/>
    <cellStyle name="Calculation 2 2 5 3 2 5" xfId="23421"/>
    <cellStyle name="Calculation 2 2 3 2 3 2 5" xfId="23422"/>
    <cellStyle name="Calculation 2 3 2 3 2 5" xfId="23423"/>
    <cellStyle name="Total 2 4 3 3 2 5" xfId="23424"/>
    <cellStyle name="Calculation 2 11 3 5" xfId="23425"/>
    <cellStyle name="Calculation 2 2 7 3 5" xfId="23426"/>
    <cellStyle name="Calculation 2 2 2 4 3 5" xfId="23427"/>
    <cellStyle name="Calculation 2 2 3 4 3 5" xfId="23428"/>
    <cellStyle name="Calculation 2 2 4 4 3 5" xfId="23429"/>
    <cellStyle name="Calculation 2 3 4 3 5" xfId="23430"/>
    <cellStyle name="Calculation 2 4 4 3 5" xfId="23431"/>
    <cellStyle name="Calculation 3 7 3 5" xfId="23432"/>
    <cellStyle name="Header2 3 3 5" xfId="23433"/>
    <cellStyle name="Input 2 11 3 5" xfId="23434"/>
    <cellStyle name="Input 2 2 7 3 5" xfId="23435"/>
    <cellStyle name="Input 2 2 2 4 3 5" xfId="23436"/>
    <cellStyle name="Input 2 2 3 4 3 5" xfId="23437"/>
    <cellStyle name="Input 2 2 4 4 3 5" xfId="23438"/>
    <cellStyle name="Input 2 3 4 3 5" xfId="23439"/>
    <cellStyle name="Input 2 4 4 3 5" xfId="23440"/>
    <cellStyle name="Input 5 7 3 5" xfId="23441"/>
    <cellStyle name="Input 6 5 3 5" xfId="23442"/>
    <cellStyle name="Input 7 4 3 5" xfId="23443"/>
    <cellStyle name="Input 8 4 3 5" xfId="23444"/>
    <cellStyle name="Normal 10 3 3 2 2" xfId="23445"/>
    <cellStyle name="Normal 11 3 3 3 2 2" xfId="23446"/>
    <cellStyle name="Calculation 5 2 5 2 5" xfId="23447"/>
    <cellStyle name="Input 18 5 2 5" xfId="23448"/>
    <cellStyle name="Calculation 3 5 3 2 5" xfId="23449"/>
    <cellStyle name="Input 7 2 3 2 5" xfId="23450"/>
    <cellStyle name="Normal 18 3 3 3 2 2" xfId="23451"/>
    <cellStyle name="Normal 182 3 3 2 2" xfId="23452"/>
    <cellStyle name="Normal 183 3 3 2 2" xfId="23453"/>
    <cellStyle name="Normal 184 3 3 2 2" xfId="23454"/>
    <cellStyle name="Normal 185 2 3 3 2 2" xfId="23455"/>
    <cellStyle name="Normal 199 3 3 2 2" xfId="23456"/>
    <cellStyle name="Normal 20 3 3 3 2 2" xfId="23457"/>
    <cellStyle name="Normal 221 2 3 2 2" xfId="23458"/>
    <cellStyle name="Normal 222 2 3 2 2" xfId="23459"/>
    <cellStyle name="Normal 264 3 2 2" xfId="23460"/>
    <cellStyle name="Normal 3 3 2 3 3 2 2" xfId="23461"/>
    <cellStyle name="Normal 4 2 2 2 3 3 2 2" xfId="23462"/>
    <cellStyle name="Normal 4 2 2 4 3 2 2" xfId="23463"/>
    <cellStyle name="Normal 4 2 3 3 3 2 2" xfId="23464"/>
    <cellStyle name="Normal 4 2 5 3 2 2" xfId="23465"/>
    <cellStyle name="Normal 4 3 2 3 3 2 2" xfId="23466"/>
    <cellStyle name="Normal 4 3 5 3 2 2" xfId="23467"/>
    <cellStyle name="Normal 4 3 6 3 2 2" xfId="23468"/>
    <cellStyle name="Normal 4 4 2 3 3 2 2" xfId="23469"/>
    <cellStyle name="Normal 4 4 4 3 2 2" xfId="23470"/>
    <cellStyle name="Normal 4 7 3 2 2" xfId="23471"/>
    <cellStyle name="Normal 49 3 3 3 2 2" xfId="23472"/>
    <cellStyle name="Normal 5 2 3 3 2 2" xfId="23473"/>
    <cellStyle name="Normal 5 4 3 2 2" xfId="23474"/>
    <cellStyle name="Normal 6 2 3 3 2 2" xfId="23475"/>
    <cellStyle name="Normal 6 4 3 2 2" xfId="23476"/>
    <cellStyle name="Normal 7 2 3 3 2 2" xfId="23477"/>
    <cellStyle name="Normal 7 4 3 2 2" xfId="23478"/>
    <cellStyle name="Normal 8 2 3 3 2 2" xfId="23479"/>
    <cellStyle name="Normal 8 4 3 2 2" xfId="23480"/>
    <cellStyle name="Normal 9 3 3 2 2" xfId="23481"/>
    <cellStyle name="Note 2 3 5 3 5" xfId="23482"/>
    <cellStyle name="Note 2 4 5 3 5" xfId="23483"/>
    <cellStyle name="Note 3 2 9 3 5" xfId="23484"/>
    <cellStyle name="Note 3 2 2 4 3 5" xfId="23485"/>
    <cellStyle name="Output 2 12 3 5" xfId="23486"/>
    <cellStyle name="Output 2 2 7 3 5" xfId="23487"/>
    <cellStyle name="Output 2 2 2 4 3 5" xfId="23488"/>
    <cellStyle name="Output 2 2 3 4 3 5" xfId="23489"/>
    <cellStyle name="Output 2 2 4 4 3 5" xfId="23490"/>
    <cellStyle name="Output 2 3 4 3 5" xfId="23491"/>
    <cellStyle name="Output 2 4 4 3 5" xfId="23492"/>
    <cellStyle name="Output 3 8 3 5" xfId="23493"/>
    <cellStyle name="Header2 4 3 5" xfId="23494"/>
    <cellStyle name="Calculation 7 5 2 5" xfId="23495"/>
    <cellStyle name="Input 2 6 5 2 5" xfId="23496"/>
    <cellStyle name="Input 11 5 2 5" xfId="23497"/>
    <cellStyle name="Input 17 5 2 5" xfId="23498"/>
    <cellStyle name="Calculation 11 5 2 5" xfId="23499"/>
    <cellStyle name="Input 5 4 5 2 5" xfId="23500"/>
    <cellStyle name="Note 2 8 5 2 5" xfId="23501"/>
    <cellStyle name="Note 3 6 5 2 5" xfId="23502"/>
    <cellStyle name="StmtTtl2 4 3 5" xfId="23503"/>
    <cellStyle name="Input 21 5 2 5" xfId="23504"/>
    <cellStyle name="Calculation 2 2 4 2 3 2 5" xfId="23505"/>
    <cellStyle name="Calculation 2 4 2 3 2 5" xfId="23506"/>
    <cellStyle name="Header2 2 3 2 5" xfId="23507"/>
    <cellStyle name="Input 2 5 3 3 2 5" xfId="23508"/>
    <cellStyle name="Input 2 2 2 2 3 2 5" xfId="23509"/>
    <cellStyle name="Input 2 2 3 2 3 2 5" xfId="23510"/>
    <cellStyle name="Input 2 3 2 3 2 5" xfId="23511"/>
    <cellStyle name="Input 2 4 2 3 2 5" xfId="23512"/>
    <cellStyle name="Input 2 5 2 3 2 5" xfId="23513"/>
    <cellStyle name="Input 3 5 3 2 5" xfId="23514"/>
    <cellStyle name="Total 2 13 3 5" xfId="23515"/>
    <cellStyle name="Total 2 2 7 3 5" xfId="23516"/>
    <cellStyle name="Total 2 2 2 4 3 5" xfId="23517"/>
    <cellStyle name="Total 2 2 3 4 3 5" xfId="23518"/>
    <cellStyle name="Total 2 2 4 4 3 5" xfId="23519"/>
    <cellStyle name="Total 2 3 4 3 5" xfId="23520"/>
    <cellStyle name="Total 2 4 4 3 5" xfId="23521"/>
    <cellStyle name="Total 2 5 4 3 5" xfId="23522"/>
    <cellStyle name="Total 3 8 3 5" xfId="23523"/>
    <cellStyle name="Input 4 5 3 2 5" xfId="23524"/>
    <cellStyle name="Input 8 2 3 2 5" xfId="23525"/>
    <cellStyle name="Total 2 2 4 3 3 2 5" xfId="23526"/>
    <cellStyle name="Total 2 2 3 3 3 2 5" xfId="23527"/>
    <cellStyle name="Comma 19 3 3 2" xfId="23528"/>
    <cellStyle name="Note 3 2 4 4 2 5" xfId="23529"/>
    <cellStyle name="Note 11 4 2 5" xfId="23530"/>
    <cellStyle name="Input 2 6 4 2 5" xfId="23531"/>
    <cellStyle name="Input 3 2 5 2 5" xfId="23532"/>
    <cellStyle name="Note 4 2 6 3 2 5" xfId="23533"/>
    <cellStyle name="Calculation 2 5 4 2 5" xfId="23534"/>
    <cellStyle name="Comma 6 10 3 2 2" xfId="23535"/>
    <cellStyle name="Comma 8 6 3 2 2" xfId="23536"/>
    <cellStyle name="Input 2 5 4 2 5" xfId="23537"/>
    <cellStyle name="Total 3 5 5 2 5" xfId="23538"/>
    <cellStyle name="Input 2 2 5 3 2 5" xfId="23539"/>
    <cellStyle name="Input 5 5 3 2 5" xfId="23540"/>
    <cellStyle name="Total 2 12 3 2 5" xfId="23541"/>
    <cellStyle name="Normal 51 3 3 2 2" xfId="23542"/>
    <cellStyle name="Normal 52 3 3 2 2" xfId="23543"/>
    <cellStyle name="Note 2 2 2 4 2 5" xfId="23544"/>
    <cellStyle name="Note 2 3 2 4 2 5" xfId="23545"/>
    <cellStyle name="Note 2 4 2 4 2 5" xfId="23546"/>
    <cellStyle name="Note 2 5 4 2 5" xfId="23547"/>
    <cellStyle name="Note 3 3 4 2 5" xfId="23548"/>
    <cellStyle name="Output 2 5 4 2 5" xfId="23549"/>
    <cellStyle name="Calculation 2 6 5 2 5" xfId="23550"/>
    <cellStyle name="Input 4 2 5 2 5" xfId="23551"/>
    <cellStyle name="Input 5 2 5 2 5" xfId="23552"/>
    <cellStyle name="Calculation 9 5 2 5" xfId="23553"/>
    <cellStyle name="Note 2 2 5 5 2 5" xfId="23554"/>
    <cellStyle name="Input 20 5 2 5" xfId="23555"/>
    <cellStyle name="Input 2 2 4 2 3 2 5" xfId="23556"/>
    <cellStyle name="Total 2 6 4 2 5" xfId="23557"/>
    <cellStyle name="Normal 345 5 2 2" xfId="23558"/>
    <cellStyle name="Comma 20 3 2 2" xfId="23559"/>
    <cellStyle name="Note 5 2 6 2 5" xfId="23560"/>
    <cellStyle name="Note 4 2 2 4 2 5" xfId="23561"/>
    <cellStyle name="Note 2 2 3 4 2 5" xfId="23562"/>
    <cellStyle name="20% - Accent1 6 5 2 2" xfId="23563"/>
    <cellStyle name="20% - Accent2 6 5 2 2" xfId="23564"/>
    <cellStyle name="20% - Accent3 6 5 2 2" xfId="23565"/>
    <cellStyle name="20% - Accent4 6 5 2 2" xfId="23566"/>
    <cellStyle name="Output 9 4 2 5" xfId="23567"/>
    <cellStyle name="20% - Accent5 6 5 2 2" xfId="23568"/>
    <cellStyle name="20% - Accent6 6 5 2 2" xfId="23569"/>
    <cellStyle name="40% - Accent1 6 5 2 2" xfId="23570"/>
    <cellStyle name="40% - Accent2 6 5 2 2" xfId="23571"/>
    <cellStyle name="40% - Accent3 6 5 2 2" xfId="23572"/>
    <cellStyle name="40% - Accent4 6 5 2 2" xfId="23573"/>
    <cellStyle name="40% - Accent5 6 5 2 2" xfId="23574"/>
    <cellStyle name="Note 8 3 5 2 5" xfId="23575"/>
    <cellStyle name="Output 2 9 5 2 5" xfId="23576"/>
    <cellStyle name="Output 4 5 5 2 5" xfId="23577"/>
    <cellStyle name="40% - Accent6 6 5 2 2" xfId="23578"/>
    <cellStyle name="Calculation 2 5 3 3 2 5" xfId="23579"/>
    <cellStyle name="Calculation 7 3 2 5" xfId="23580"/>
    <cellStyle name="Calculation 2 6 3 2 5" xfId="23581"/>
    <cellStyle name="Calculation 3 2 3 2 5" xfId="23582"/>
    <cellStyle name="Calculation 4 2 3 2 5" xfId="23583"/>
    <cellStyle name="Calculation 5 5 2 5" xfId="23584"/>
    <cellStyle name="Output 9 3 2 5" xfId="23585"/>
    <cellStyle name="Note 5 4 5 2 5" xfId="23586"/>
    <cellStyle name="Input 10 3 3 5" xfId="23587"/>
    <cellStyle name="Input 2 6 3 2 5" xfId="23588"/>
    <cellStyle name="Input 3 2 3 2 5" xfId="23589"/>
    <cellStyle name="Input 4 2 3 2 5" xfId="23590"/>
    <cellStyle name="Input 5 2 3 2 5" xfId="23591"/>
    <cellStyle name="Normal 10 5 3 2 2" xfId="23592"/>
    <cellStyle name="Normal 11 5 3 2 2" xfId="23593"/>
    <cellStyle name="Normal 14 3 3 2 2" xfId="23594"/>
    <cellStyle name="Normal 2 2 2 2 3 2 2" xfId="23595"/>
    <cellStyle name="Normal 8 6 3 2 2" xfId="23596"/>
    <cellStyle name="Note 11 3 2 5" xfId="23597"/>
    <cellStyle name="Note 2 6 3 2 5" xfId="23598"/>
    <cellStyle name="Note 2 2 3 3 2 5" xfId="23599"/>
    <cellStyle name="Note 3 4 3 2 5" xfId="23600"/>
    <cellStyle name="Note 3 2 4 3 2 5" xfId="23601"/>
    <cellStyle name="Note 4 3 3 2 5" xfId="23602"/>
    <cellStyle name="Note 4 2 2 3 2 5" xfId="23603"/>
    <cellStyle name="Note 5 6 2 5" xfId="23604"/>
    <cellStyle name="Note 5 2 5 2 5" xfId="23605"/>
    <cellStyle name="Note 6 6 2 5" xfId="23606"/>
    <cellStyle name="Note 6 2 5 2 5" xfId="23607"/>
    <cellStyle name="Note 7 6 2 5" xfId="23608"/>
    <cellStyle name="Note 7 2 5 2 5" xfId="23609"/>
    <cellStyle name="Note 8 5 2 5" xfId="23610"/>
    <cellStyle name="Note 9 4 2 5" xfId="23611"/>
    <cellStyle name="Output 7 3 2 5" xfId="23612"/>
    <cellStyle name="Output 2 6 3 2 5" xfId="23613"/>
    <cellStyle name="Output 3 2 3 2 5" xfId="23614"/>
    <cellStyle name="Output 4 2 3 2 5" xfId="23615"/>
    <cellStyle name="Output 5 6 2 5" xfId="23616"/>
    <cellStyle name="Input 15 5 2 5" xfId="23617"/>
    <cellStyle name="Input 13 5 2 5" xfId="23618"/>
    <cellStyle name="Calculation 4 3 5 2 5" xfId="23619"/>
    <cellStyle name="Calculation 3 3 5 2 5" xfId="23620"/>
    <cellStyle name="Calculation 2 7 5 2 5" xfId="23621"/>
    <cellStyle name="Calculation 2 8 5 2 5" xfId="23622"/>
    <cellStyle name="Input 2 8 5 2 5" xfId="23623"/>
    <cellStyle name="Output 5 4 5 2 5" xfId="23624"/>
    <cellStyle name="Total 2 10 5 2 5" xfId="23625"/>
    <cellStyle name="Total 4 5 5 2 5" xfId="23626"/>
    <cellStyle name="Total 5 4 5 2 5" xfId="23627"/>
    <cellStyle name="Calculation 2 5 2 3 2 5" xfId="23628"/>
    <cellStyle name="Total 7 3 2 5" xfId="23629"/>
    <cellStyle name="Total 2 7 3 2 5" xfId="23630"/>
    <cellStyle name="Total 3 2 3 2 5" xfId="23631"/>
    <cellStyle name="Total 4 2 3 2 5" xfId="23632"/>
    <cellStyle name="Total 5 6 2 5" xfId="23633"/>
    <cellStyle name="Input 6 3 3 2 5" xfId="23634"/>
    <cellStyle name="Calculation 8 3 2 5" xfId="23635"/>
    <cellStyle name="Input 12 3 2 5" xfId="23636"/>
    <cellStyle name="Input 11 3 2 5" xfId="23637"/>
    <cellStyle name="Calculation 9 3 2 5" xfId="23638"/>
    <cellStyle name="Output 8 3 2 5" xfId="23639"/>
    <cellStyle name="Total 8 3 2 5" xfId="23640"/>
    <cellStyle name="Total 9 3 2 5" xfId="23641"/>
    <cellStyle name="Input 10 4 2 5" xfId="23642"/>
    <cellStyle name="20% - Accent1 6 2 3 2 2" xfId="23643"/>
    <cellStyle name="20% - Accent2 6 2 3 2 2" xfId="23644"/>
    <cellStyle name="20% - Accent3 6 2 3 2 2" xfId="23645"/>
    <cellStyle name="20% - Accent4 6 2 3 2 2" xfId="23646"/>
    <cellStyle name="20% - Accent5 6 2 3 2 2" xfId="23647"/>
    <cellStyle name="20% - Accent6 6 2 3 2 2" xfId="23648"/>
    <cellStyle name="40% - Accent1 6 2 3 2 2" xfId="23649"/>
    <cellStyle name="40% - Accent2 6 2 3 2 2" xfId="23650"/>
    <cellStyle name="40% - Accent3 6 2 3 2 2" xfId="23651"/>
    <cellStyle name="40% - Accent4 6 2 3 2 2" xfId="23652"/>
    <cellStyle name="Output 5 2 3 2 5" xfId="23653"/>
    <cellStyle name="Output 4 3 3 2 5" xfId="23654"/>
    <cellStyle name="Output 3 3 3 2 5" xfId="23655"/>
    <cellStyle name="Output 2 7 3 2 5" xfId="23656"/>
    <cellStyle name="Output 11 3 2 5" xfId="23657"/>
    <cellStyle name="40% - Accent5 6 2 3 2 2" xfId="23658"/>
    <cellStyle name="40% - Accent6 6 2 3 2 2" xfId="23659"/>
    <cellStyle name="Input 5 3 3 2 5" xfId="23660"/>
    <cellStyle name="Input 4 3 3 2 5" xfId="23661"/>
    <cellStyle name="Input 3 3 3 2 5" xfId="23662"/>
    <cellStyle name="Input 2 7 3 2 5" xfId="23663"/>
    <cellStyle name="Calculation 10 3 2 5" xfId="23664"/>
    <cellStyle name="Input 14 3 2 5" xfId="23665"/>
    <cellStyle name="Input 16 3 2 5" xfId="23666"/>
    <cellStyle name="Input 17 3 2 5" xfId="23667"/>
    <cellStyle name="Input 15 3 2 5" xfId="23668"/>
    <cellStyle name="Input 13 3 2 5" xfId="23669"/>
    <cellStyle name="Calculation 5 2 3 2 5" xfId="23670"/>
    <cellStyle name="Calculation 4 3 3 2 5" xfId="23671"/>
    <cellStyle name="Calculation 3 3 3 2 5" xfId="23672"/>
    <cellStyle name="Calculation 2 7 3 2 5" xfId="23673"/>
    <cellStyle name="Calculation 11 3 2 5" xfId="23674"/>
    <cellStyle name="Normal 10 6 3 2 2" xfId="23675"/>
    <cellStyle name="Normal 11 6 3 2 2" xfId="23676"/>
    <cellStyle name="Normal 14 4 3 2 2" xfId="23677"/>
    <cellStyle name="Normal 2 2 2 3 3 2 2" xfId="23678"/>
    <cellStyle name="Normal 8 7 3 2 2" xfId="23679"/>
    <cellStyle name="Output 10 3 2 5" xfId="23680"/>
    <cellStyle name="Note 12 3 2 5" xfId="23681"/>
    <cellStyle name="Note 2 7 3 2 5" xfId="23682"/>
    <cellStyle name="Note 2 2 4 3 2 5" xfId="23683"/>
    <cellStyle name="Note 3 5 3 2 5" xfId="23684"/>
    <cellStyle name="Note 3 2 5 3 2 5" xfId="23685"/>
    <cellStyle name="Note 4 4 3 2 5" xfId="23686"/>
    <cellStyle name="Note 4 2 3 3 2 5" xfId="23687"/>
    <cellStyle name="Note 5 3 3 2 5" xfId="23688"/>
    <cellStyle name="Note 5 2 2 3 2 5" xfId="23689"/>
    <cellStyle name="Note 6 3 3 2 5" xfId="23690"/>
    <cellStyle name="Note 6 2 2 3 2 5" xfId="23691"/>
    <cellStyle name="Note 7 3 3 2 5" xfId="23692"/>
    <cellStyle name="Note 7 2 2 3 2 5" xfId="23693"/>
    <cellStyle name="Note 8 2 3 2 5" xfId="23694"/>
    <cellStyle name="Note 9 2 3 2 5" xfId="23695"/>
    <cellStyle name="Output 12 3 2 5" xfId="23696"/>
    <cellStyle name="Output 2 8 3 2 5" xfId="23697"/>
    <cellStyle name="Output 3 4 3 2 5" xfId="23698"/>
    <cellStyle name="Output 4 4 3 2 5" xfId="23699"/>
    <cellStyle name="Output 5 3 3 2 5" xfId="23700"/>
    <cellStyle name="Total 10 3 2 5" xfId="23701"/>
    <cellStyle name="Total 11 3 2 5" xfId="23702"/>
    <cellStyle name="Total 2 8 3 2 5" xfId="23703"/>
    <cellStyle name="Total 3 3 3 2 5" xfId="23704"/>
    <cellStyle name="Total 4 3 3 2 5" xfId="23705"/>
    <cellStyle name="Total 5 2 3 2 5" xfId="23706"/>
    <cellStyle name="Total 12 3 2 5" xfId="23707"/>
    <cellStyle name="Total 2 9 3 2 5" xfId="23708"/>
    <cellStyle name="Total 3 4 3 2 5" xfId="23709"/>
    <cellStyle name="Total 4 4 3 2 5" xfId="23710"/>
    <cellStyle name="Total 5 3 3 2 5" xfId="23711"/>
    <cellStyle name="20% - Accent1 6 3 3 2 2" xfId="23712"/>
    <cellStyle name="20% - Accent2 6 3 3 2 2" xfId="23713"/>
    <cellStyle name="20% - Accent3 6 3 3 2 2" xfId="23714"/>
    <cellStyle name="20% - Accent4 6 3 3 2 2" xfId="23715"/>
    <cellStyle name="20% - Accent5 6 3 3 2 2" xfId="23716"/>
    <cellStyle name="20% - Accent6 6 3 3 2 2" xfId="23717"/>
    <cellStyle name="40% - Accent1 6 3 3 2 2" xfId="23718"/>
    <cellStyle name="40% - Accent2 6 3 3 2 2" xfId="23719"/>
    <cellStyle name="40% - Accent3 6 3 3 2 2" xfId="23720"/>
    <cellStyle name="40% - Accent4 6 3 3 2 2" xfId="23721"/>
    <cellStyle name="40% - Accent5 6 3 3 2 2" xfId="23722"/>
    <cellStyle name="40% - Accent6 6 3 3 2 2" xfId="23723"/>
    <cellStyle name="Input 18 3 2 5" xfId="23724"/>
    <cellStyle name="Normal 10 7 3 2 2" xfId="23725"/>
    <cellStyle name="Normal 11 7 3 2 2" xfId="23726"/>
    <cellStyle name="Normal 14 5 3 2 2" xfId="23727"/>
    <cellStyle name="Normal 2 2 2 4 3 2 2" xfId="23728"/>
    <cellStyle name="Normal 8 8 3 2 2" xfId="23729"/>
    <cellStyle name="Calculation 12 3 2 5" xfId="23730"/>
    <cellStyle name="Input 19 3 2 5" xfId="23731"/>
    <cellStyle name="Note 13 3 2 5" xfId="23732"/>
    <cellStyle name="Output 13 3 2 5" xfId="23733"/>
    <cellStyle name="Total 13 3 2 5" xfId="23734"/>
    <cellStyle name="Normal 8 9 3 2 2" xfId="23735"/>
    <cellStyle name="Comma 13 4 3 2 2" xfId="23736"/>
    <cellStyle name="Currency 7 5 3 2 2" xfId="23737"/>
    <cellStyle name="Calculation 2 8 3 2 5" xfId="23738"/>
    <cellStyle name="Calculation 3 4 3 2 5" xfId="23739"/>
    <cellStyle name="Calculation 4 4 3 2 5" xfId="23740"/>
    <cellStyle name="Calculation 5 3 3 2 5" xfId="23741"/>
    <cellStyle name="Input 2 8 3 2 5" xfId="23742"/>
    <cellStyle name="Input 3 4 3 2 5" xfId="23743"/>
    <cellStyle name="Input 4 4 3 2 5" xfId="23744"/>
    <cellStyle name="Input 5 4 3 2 5" xfId="23745"/>
    <cellStyle name="Normal 10 8 3 2 2" xfId="23746"/>
    <cellStyle name="Note 2 8 3 2 5" xfId="23747"/>
    <cellStyle name="Note 2 2 5 3 2 5" xfId="23748"/>
    <cellStyle name="Note 3 6 3 2 5" xfId="23749"/>
    <cellStyle name="Note 3 2 6 3 2 5" xfId="23750"/>
    <cellStyle name="Note 4 5 3 2 5" xfId="23751"/>
    <cellStyle name="Note 4 2 4 3 2 5" xfId="23752"/>
    <cellStyle name="Note 5 4 3 2 5" xfId="23753"/>
    <cellStyle name="Note 5 2 3 3 2 5" xfId="23754"/>
    <cellStyle name="Note 6 4 3 2 5" xfId="23755"/>
    <cellStyle name="Note 6 2 3 3 2 5" xfId="23756"/>
    <cellStyle name="Note 7 4 3 2 5" xfId="23757"/>
    <cellStyle name="Note 7 2 3 3 2 5" xfId="23758"/>
    <cellStyle name="Note 8 3 3 2 5" xfId="23759"/>
    <cellStyle name="Output 2 9 3 2 5" xfId="23760"/>
    <cellStyle name="Output 3 5 3 2 5" xfId="23761"/>
    <cellStyle name="Output 4 5 3 2 5" xfId="23762"/>
    <cellStyle name="Output 5 4 3 2 5" xfId="23763"/>
    <cellStyle name="Total 2 10 3 2 5" xfId="23764"/>
    <cellStyle name="Total 3 5 3 2 5" xfId="23765"/>
    <cellStyle name="Total 4 5 3 2 5" xfId="23766"/>
    <cellStyle name="Total 5 4 3 2 5" xfId="23767"/>
    <cellStyle name="Normal 11 8 3 2 2" xfId="23768"/>
    <cellStyle name="Normal 14 6 3 2 2" xfId="23769"/>
    <cellStyle name="Normal 43 3 3 2 2" xfId="23770"/>
    <cellStyle name="Normal 44 3 3 2 2" xfId="23771"/>
    <cellStyle name="Input 20 3 2 5" xfId="23772"/>
    <cellStyle name="Normal 8 10 3 2 2" xfId="23773"/>
    <cellStyle name="Comma 13 5 3 2 2" xfId="23774"/>
    <cellStyle name="Currency 7 6 3 2 2" xfId="23775"/>
    <cellStyle name="Normal 10 9 3 2 2" xfId="23776"/>
    <cellStyle name="Input 4 4 5 2 5" xfId="23777"/>
    <cellStyle name="Calculation 5 3 5 2 5" xfId="23778"/>
    <cellStyle name="Calculation 4 4 5 2 5" xfId="23779"/>
    <cellStyle name="Input 3 4 5 2 5" xfId="23780"/>
    <cellStyle name="Normal 11 9 3 2 2" xfId="23781"/>
    <cellStyle name="Normal 14 7 3 2 2" xfId="23782"/>
    <cellStyle name="Normal 43 4 3 2 2" xfId="23783"/>
    <cellStyle name="Normal 44 4 3 2 2" xfId="23784"/>
    <cellStyle name="Normal 355 3 2 2" xfId="23785"/>
    <cellStyle name="Comma 22 3 2 2" xfId="23786"/>
    <cellStyle name="Input 21 3 2 5" xfId="23787"/>
    <cellStyle name="Normal 8 11 3 2 2" xfId="23788"/>
    <cellStyle name="Comma 13 6 3 2 2" xfId="23789"/>
    <cellStyle name="Currency 7 7 3 2 2" xfId="23790"/>
    <cellStyle name="Normal 10 10 3 2 2" xfId="23791"/>
    <cellStyle name="Normal 11 10 3 2 2" xfId="23792"/>
    <cellStyle name="Normal 14 8 3 2 2" xfId="23793"/>
    <cellStyle name="Normal 43 5 3 2 2" xfId="23794"/>
    <cellStyle name="Normal 44 5 3 2 2" xfId="23795"/>
    <cellStyle name="Normal 356 3 2" xfId="23796"/>
    <cellStyle name="Note 4 2 6 5 5" xfId="23797"/>
    <cellStyle name="Note 3 3 3 5 5" xfId="23798"/>
    <cellStyle name="Note 2 5 3 5 5" xfId="23799"/>
    <cellStyle name="Note 2 4 2 3 5 5" xfId="23800"/>
    <cellStyle name="Note 2 3 2 3 5 5" xfId="23801"/>
    <cellStyle name="Note 2 2 2 3 5 5" xfId="23802"/>
    <cellStyle name="Calculation 2 9 5 5" xfId="23803"/>
    <cellStyle name="Calculation 2 2 5 5 5" xfId="23804"/>
    <cellStyle name="Calculation 2 2 2 2 5 5" xfId="23805"/>
    <cellStyle name="Calculation 2 2 3 2 5 5" xfId="23806"/>
    <cellStyle name="Calculation 2 2 4 2 5 5" xfId="23807"/>
    <cellStyle name="Calculation 2 3 2 5 5" xfId="23808"/>
    <cellStyle name="Calculation 2 4 2 5 5" xfId="23809"/>
    <cellStyle name="Calculation 2 5 2 5 5" xfId="23810"/>
    <cellStyle name="Calculation 3 5 5 5" xfId="23811"/>
    <cellStyle name="Comma 3 2 2 8 3 3 2" xfId="23812"/>
    <cellStyle name="Comma 3 4 5 3 3 2" xfId="23813"/>
    <cellStyle name="Comma 3 5 5 3 3 2" xfId="23814"/>
    <cellStyle name="Comma 4 2 8 3 3 2" xfId="23815"/>
    <cellStyle name="Comma 6 10 2 3 2" xfId="23816"/>
    <cellStyle name="Comma 8 6 2 3 2" xfId="23817"/>
    <cellStyle name="Header2 2 5 5" xfId="23818"/>
    <cellStyle name="Input 2 5 3 5 5" xfId="23819"/>
    <cellStyle name="Input 2 9 5 5" xfId="23820"/>
    <cellStyle name="Input 2 2 5 5 5" xfId="23821"/>
    <cellStyle name="Input 2 2 2 2 5 5" xfId="23822"/>
    <cellStyle name="Input 2 2 3 2 5 5" xfId="23823"/>
    <cellStyle name="Input 2 2 4 2 5 5" xfId="23824"/>
    <cellStyle name="Input 2 3 2 5 5" xfId="23825"/>
    <cellStyle name="Input 2 4 2 5 5" xfId="23826"/>
    <cellStyle name="Input 2 5 2 5 5" xfId="23827"/>
    <cellStyle name="Input 3 5 5 5" xfId="23828"/>
    <cellStyle name="Input 4 5 5 5" xfId="23829"/>
    <cellStyle name="Input 5 5 5 5" xfId="23830"/>
    <cellStyle name="Input 6 3 5 5" xfId="23831"/>
    <cellStyle name="Input 7 2 5 5" xfId="23832"/>
    <cellStyle name="Input 8 2 5 5" xfId="23833"/>
    <cellStyle name="Normal 10 3 2 3 2" xfId="23834"/>
    <cellStyle name="Normal 11 11 3 2" xfId="23835"/>
    <cellStyle name="Calculation 2 5 3 5 5" xfId="23836"/>
    <cellStyle name="Comma 19 2 3 2" xfId="23837"/>
    <cellStyle name="Total 2 4 3 5 5" xfId="23838"/>
    <cellStyle name="Total 2 2 4 3 5 5" xfId="23839"/>
    <cellStyle name="Total 2 2 3 3 5 5" xfId="23840"/>
    <cellStyle name="Total 2 12 5 5" xfId="23841"/>
    <cellStyle name="Normal 18 5 3 2" xfId="23842"/>
    <cellStyle name="Normal 20 5 3 2" xfId="23843"/>
    <cellStyle name="Normal 4 2 7 3 2" xfId="23844"/>
    <cellStyle name="Normal 4 2 2 5 3 2" xfId="23845"/>
    <cellStyle name="Normal 4 3 8 3 2" xfId="23846"/>
    <cellStyle name="Normal 4 4 5 3 2" xfId="23847"/>
    <cellStyle name="Normal 4 7 2 3 2" xfId="23848"/>
    <cellStyle name="Normal 49 5 3 2" xfId="23849"/>
    <cellStyle name="Normal 5 4 2 3 2" xfId="23850"/>
    <cellStyle name="Normal 51 3 2 3 2" xfId="23851"/>
    <cellStyle name="Normal 52 3 2 3 2" xfId="23852"/>
    <cellStyle name="Normal 6 4 2 3 2" xfId="23853"/>
    <cellStyle name="Normal 7 4 2 3 2" xfId="23854"/>
    <cellStyle name="Normal 8 4 2 3 2" xfId="23855"/>
    <cellStyle name="Normal 9 3 2 3 2" xfId="23856"/>
    <cellStyle name="Note 2 9 5 5" xfId="23857"/>
    <cellStyle name="Note 2 2 6 5 5" xfId="23858"/>
    <cellStyle name="Note 2 3 3 5 5" xfId="23859"/>
    <cellStyle name="Note 2 4 3 5 5" xfId="23860"/>
    <cellStyle name="Note 3 7 5 5" xfId="23861"/>
    <cellStyle name="Note 3 2 7 5 5" xfId="23862"/>
    <cellStyle name="Output 2 10 5 5" xfId="23863"/>
    <cellStyle name="Output 2 2 5 5 5" xfId="23864"/>
    <cellStyle name="Output 2 2 2 2 5 5" xfId="23865"/>
    <cellStyle name="Output 2 2 3 2 5 5" xfId="23866"/>
    <cellStyle name="Output 2 2 4 2 5 5" xfId="23867"/>
    <cellStyle name="Output 2 3 2 5 5" xfId="23868"/>
    <cellStyle name="Output 2 4 2 5 5" xfId="23869"/>
    <cellStyle name="Output 2 5 2 5 5" xfId="23870"/>
    <cellStyle name="Output 3 6 5 5" xfId="23871"/>
    <cellStyle name="Input 7 3 5 5" xfId="23872"/>
    <cellStyle name="Input 5 6 5 5" xfId="23873"/>
    <cellStyle name="Input 3 6 5 5" xfId="23874"/>
    <cellStyle name="Input 2 4 3 5 5" xfId="23875"/>
    <cellStyle name="Input 2 2 4 3 5 5" xfId="23876"/>
    <cellStyle name="Input 2 2 2 3 5 5" xfId="23877"/>
    <cellStyle name="Input 2 10 5 5" xfId="23878"/>
    <cellStyle name="Percent 18 5 3 2" xfId="23879"/>
    <cellStyle name="Percent 2 2 2 5 3 3 2" xfId="23880"/>
    <cellStyle name="Percent 20 5 3 2" xfId="23881"/>
    <cellStyle name="Calculation 3 6 5 5" xfId="23882"/>
    <cellStyle name="Calculation 2 4 3 5 5" xfId="23883"/>
    <cellStyle name="Calculation 2 2 4 3 5 5" xfId="23884"/>
    <cellStyle name="Calculation 2 2 2 3 5 5" xfId="23885"/>
    <cellStyle name="Calculation 2 10 5 5" xfId="23886"/>
    <cellStyle name="StmtTtl2 2 5 5" xfId="23887"/>
    <cellStyle name="Total 2 11 5 5" xfId="23888"/>
    <cellStyle name="Total 2 2 5 5 5" xfId="23889"/>
    <cellStyle name="Total 2 2 2 2 5 5" xfId="23890"/>
    <cellStyle name="Total 2 2 3 2 5 5" xfId="23891"/>
    <cellStyle name="Total 2 2 4 2 5 5" xfId="23892"/>
    <cellStyle name="Total 2 3 2 5 5" xfId="23893"/>
    <cellStyle name="Total 2 4 2 5 5" xfId="23894"/>
    <cellStyle name="Total 2 5 2 5 5" xfId="23895"/>
    <cellStyle name="Total 2 6 2 5 5" xfId="23896"/>
    <cellStyle name="Total 3 6 5 5" xfId="23897"/>
    <cellStyle name="20% - Accent1 4 3 3 2" xfId="23898"/>
    <cellStyle name="20% - Accent2 4 3 3 2" xfId="23899"/>
    <cellStyle name="20% - Accent3 4 3 3 2" xfId="23900"/>
    <cellStyle name="20% - Accent4 4 3 3 2" xfId="23901"/>
    <cellStyle name="20% - Accent5 4 3 3 2" xfId="23902"/>
    <cellStyle name="20% - Accent6 4 3 3 2" xfId="23903"/>
    <cellStyle name="40% - Accent1 4 3 3 2" xfId="23904"/>
    <cellStyle name="40% - Accent2 4 3 3 2" xfId="23905"/>
    <cellStyle name="40% - Accent3 4 3 3 2" xfId="23906"/>
    <cellStyle name="40% - Accent4 4 3 3 2" xfId="23907"/>
    <cellStyle name="40% - Accent5 4 3 3 2" xfId="23908"/>
    <cellStyle name="40% - Accent6 4 3 3 2" xfId="23909"/>
    <cellStyle name="Output 2 5 3 5 5" xfId="23910"/>
    <cellStyle name="Normal 11 3 3 2 3 2" xfId="23911"/>
    <cellStyle name="Normal 18 3 3 2 3 2" xfId="23912"/>
    <cellStyle name="Normal 182 3 2 3 2" xfId="23913"/>
    <cellStyle name="Normal 183 3 2 3 2" xfId="23914"/>
    <cellStyle name="Normal 184 3 2 3 2" xfId="23915"/>
    <cellStyle name="Normal 185 2 3 2 3 2" xfId="23916"/>
    <cellStyle name="Normal 199 3 2 3 2" xfId="23917"/>
    <cellStyle name="Normal 20 3 3 2 3 2" xfId="23918"/>
    <cellStyle name="Normal 221 2 2 3 2" xfId="23919"/>
    <cellStyle name="Normal 222 2 2 3 2" xfId="23920"/>
    <cellStyle name="Output 2 3 3 5 5" xfId="23921"/>
    <cellStyle name="Output 2 2 3 3 5 5" xfId="23922"/>
    <cellStyle name="Output 2 2 6 5 5" xfId="23923"/>
    <cellStyle name="Note 4 7 5 5" xfId="23924"/>
    <cellStyle name="Note 3 2 2 3 5 5" xfId="23925"/>
    <cellStyle name="Note 3 8 5 5" xfId="23926"/>
    <cellStyle name="Note 2 4 4 5 5" xfId="23927"/>
    <cellStyle name="Note 2 2 7 5 5" xfId="23928"/>
    <cellStyle name="Normal 264 2 3 2" xfId="23929"/>
    <cellStyle name="Normal 3 3 2 3 2 3 2" xfId="23930"/>
    <cellStyle name="Normal 4 2 2 2 3 2 3 2" xfId="23931"/>
    <cellStyle name="Normal 4 2 2 4 2 3 2" xfId="23932"/>
    <cellStyle name="Normal 4 2 3 3 2 3 2" xfId="23933"/>
    <cellStyle name="Normal 4 2 5 2 3 2" xfId="23934"/>
    <cellStyle name="Normal 4 3 2 3 2 3 2" xfId="23935"/>
    <cellStyle name="Normal 4 3 5 2 3 2" xfId="23936"/>
    <cellStyle name="Normal 4 3 6 2 3 2" xfId="23937"/>
    <cellStyle name="Normal 4 4 2 3 2 3 2" xfId="23938"/>
    <cellStyle name="Normal 4 4 4 2 3 2" xfId="23939"/>
    <cellStyle name="Normal 49 3 3 2 3 2" xfId="23940"/>
    <cellStyle name="Normal 5 2 3 2 3 2" xfId="23941"/>
    <cellStyle name="Normal 6 2 3 2 3 2" xfId="23942"/>
    <cellStyle name="Normal 7 2 3 2 3 2" xfId="23943"/>
    <cellStyle name="Normal 8 2 3 2 3 2" xfId="23944"/>
    <cellStyle name="Note 3 2 2 2 5 5" xfId="23945"/>
    <cellStyle name="Note 4 6 5 5" xfId="23946"/>
    <cellStyle name="Comma 23 3 2" xfId="23947"/>
    <cellStyle name="Percent 240 3 2" xfId="23948"/>
    <cellStyle name="Total 3 7 5 5" xfId="23949"/>
    <cellStyle name="Total 2 5 3 5 5" xfId="23950"/>
    <cellStyle name="Total 2 3 3 5 5" xfId="23951"/>
    <cellStyle name="Total 2 2 6 5 5" xfId="23952"/>
    <cellStyle name="Total 2 2 2 3 5 5" xfId="23953"/>
    <cellStyle name="StmtTtl2 3 5 5" xfId="23954"/>
    <cellStyle name="Output 3 7 5 5" xfId="23955"/>
    <cellStyle name="Note 2 5 2 5 5" xfId="23956"/>
    <cellStyle name="Note 2 2 2 2 5 5" xfId="23957"/>
    <cellStyle name="Note 2 3 2 2 5 5" xfId="23958"/>
    <cellStyle name="Note 2 4 2 2 5 5" xfId="23959"/>
    <cellStyle name="Note 3 3 2 5 5" xfId="23960"/>
    <cellStyle name="Input 8 3 5 5" xfId="23961"/>
    <cellStyle name="Input 6 4 5 5" xfId="23962"/>
    <cellStyle name="Input 4 6 5 5" xfId="23963"/>
    <cellStyle name="Input 2 3 3 5 5" xfId="23964"/>
    <cellStyle name="Input 2 2 3 3 5 5" xfId="23965"/>
    <cellStyle name="Input 2 2 6 5 5" xfId="23966"/>
    <cellStyle name="Calculation 2 3 3 5 5" xfId="23967"/>
    <cellStyle name="Calculation 2 2 3 3 5 5" xfId="23968"/>
    <cellStyle name="Calculation 2 2 6 5 5" xfId="23969"/>
    <cellStyle name="Output 2 4 3 5 5" xfId="23970"/>
    <cellStyle name="Output 2 2 4 3 5 5" xfId="23971"/>
    <cellStyle name="Output 2 2 2 3 5 5" xfId="23972"/>
    <cellStyle name="Output 2 11 5 5" xfId="23973"/>
    <cellStyle name="Note 3 2 8 5 5" xfId="23974"/>
    <cellStyle name="Note 2 3 4 5 5" xfId="23975"/>
    <cellStyle name="Note 2 10 5 5" xfId="23976"/>
    <cellStyle name="Note 4 2 5 5 5" xfId="23977"/>
    <cellStyle name="Style 21 6 5" xfId="23978"/>
    <cellStyle name="Style 21 2 6 5" xfId="23979"/>
    <cellStyle name="Style 22 6 5" xfId="23980"/>
    <cellStyle name="Style 22 2 6 5" xfId="23981"/>
    <cellStyle name="Style 23 6 5" xfId="23982"/>
    <cellStyle name="Style 23 2 6 5" xfId="23983"/>
    <cellStyle name="Style 24 6 5" xfId="23984"/>
    <cellStyle name="Style 24 2 6 5" xfId="23985"/>
    <cellStyle name="Style 25 6 5" xfId="23986"/>
    <cellStyle name="Style 25 2 6 5" xfId="23987"/>
    <cellStyle name="Style 26 6 5" xfId="23988"/>
    <cellStyle name="Style 26 2 6 5" xfId="23989"/>
    <cellStyle name="styleColumnTitles 6 5" xfId="23990"/>
    <cellStyle name="styleColumnTitles 2 6 5" xfId="23991"/>
    <cellStyle name="styleDateRange 6 5" xfId="23992"/>
    <cellStyle name="styleDateRange 2 6 5" xfId="23993"/>
    <cellStyle name="styleSeriesAttributes 6 5" xfId="23994"/>
    <cellStyle name="styleSeriesAttributes 2 6 5" xfId="23995"/>
    <cellStyle name="styleSeriesData 6 5" xfId="23996"/>
    <cellStyle name="styleSeriesData 2 6 5" xfId="23997"/>
    <cellStyle name="styleSeriesDataForecast 6 5" xfId="23998"/>
    <cellStyle name="styleSeriesDataForecast 2 6 5" xfId="23999"/>
    <cellStyle name="styleSeriesDataForecastNA 6 5" xfId="24000"/>
    <cellStyle name="styleSeriesDataForecastNA 2 6 5" xfId="24001"/>
    <cellStyle name="styleSeriesDataNA 6 5" xfId="24002"/>
    <cellStyle name="styleSeriesDataNA 2 6 5" xfId="24003"/>
    <cellStyle name="Style 21 2 2 5 5" xfId="24004"/>
    <cellStyle name="Style 22 2 2 5 5" xfId="24005"/>
    <cellStyle name="Style 23 2 2 5 5" xfId="24006"/>
    <cellStyle name="Style 24 2 2 5 5" xfId="24007"/>
    <cellStyle name="Style 25 2 2 5 5" xfId="24008"/>
    <cellStyle name="Style 26 2 2 5 5" xfId="24009"/>
    <cellStyle name="styleColumnTitles 2 2 5 5" xfId="24010"/>
    <cellStyle name="styleDateRange 2 2 5 5" xfId="24011"/>
    <cellStyle name="styleSeriesAttributes 2 2 5 5" xfId="24012"/>
    <cellStyle name="styleSeriesData 2 2 5 5" xfId="24013"/>
    <cellStyle name="styleSeriesDataForecast 2 2 5 5" xfId="24014"/>
    <cellStyle name="styleSeriesDataForecastNA 2 2 5 5" xfId="24015"/>
    <cellStyle name="styleSeriesDataNA 2 2 5 5" xfId="24016"/>
    <cellStyle name="Total 2 6 3 5 5" xfId="24017"/>
    <cellStyle name="Normal 345 4 3 2" xfId="24018"/>
    <cellStyle name="Comma 20 2 3 2" xfId="24019"/>
    <cellStyle name="20% - Accent1 6 4 3 2" xfId="24020"/>
    <cellStyle name="20% - Accent2 6 4 3 2" xfId="24021"/>
    <cellStyle name="20% - Accent3 6 4 3 2" xfId="24022"/>
    <cellStyle name="20% - Accent4 6 4 3 2" xfId="24023"/>
    <cellStyle name="20% - Accent5 6 4 3 2" xfId="24024"/>
    <cellStyle name="20% - Accent6 6 4 3 2" xfId="24025"/>
    <cellStyle name="40% - Accent1 6 4 3 2" xfId="24026"/>
    <cellStyle name="40% - Accent2 6 4 3 2" xfId="24027"/>
    <cellStyle name="40% - Accent3 6 4 3 2" xfId="24028"/>
    <cellStyle name="40% - Accent4 6 4 3 2" xfId="24029"/>
    <cellStyle name="40% - Accent5 6 4 3 2" xfId="24030"/>
    <cellStyle name="40% - Accent6 6 4 3 2" xfId="24031"/>
    <cellStyle name="Calculation 7 2 5 5" xfId="24032"/>
    <cellStyle name="Calculation 2 6 2 5 5" xfId="24033"/>
    <cellStyle name="Calculation 3 2 2 5 5" xfId="24034"/>
    <cellStyle name="Calculation 4 2 2 5 5" xfId="24035"/>
    <cellStyle name="Calculation 5 4 5 5" xfId="24036"/>
    <cellStyle name="Output 9 2 5 5" xfId="24037"/>
    <cellStyle name="Input 10 2 5 5" xfId="24038"/>
    <cellStyle name="Input 2 6 2 5 5" xfId="24039"/>
    <cellStyle name="Input 3 2 2 5 5" xfId="24040"/>
    <cellStyle name="Input 4 2 2 5 5" xfId="24041"/>
    <cellStyle name="Input 5 2 2 5 5" xfId="24042"/>
    <cellStyle name="Normal 10 5 2 3 2" xfId="24043"/>
    <cellStyle name="Normal 11 5 2 3 2" xfId="24044"/>
    <cellStyle name="Normal 14 3 2 3 2" xfId="24045"/>
    <cellStyle name="Normal 2 2 2 2 2 3 2" xfId="24046"/>
    <cellStyle name="Normal 8 6 2 3 2" xfId="24047"/>
    <cellStyle name="Note 11 2 5 5" xfId="24048"/>
    <cellStyle name="Note 2 6 2 5 5" xfId="24049"/>
    <cellStyle name="Note 2 2 3 2 5 5" xfId="24050"/>
    <cellStyle name="Note 3 4 2 5 5" xfId="24051"/>
    <cellStyle name="Note 3 2 4 2 5 5" xfId="24052"/>
    <cellStyle name="Note 4 3 2 5 5" xfId="24053"/>
    <cellStyle name="Note 4 2 2 2 5 5" xfId="24054"/>
    <cellStyle name="Note 5 5 5 5" xfId="24055"/>
    <cellStyle name="Note 5 2 4 5 5" xfId="24056"/>
    <cellStyle name="Note 6 5 5 5" xfId="24057"/>
    <cellStyle name="Note 6 2 4 5 5" xfId="24058"/>
    <cellStyle name="Note 7 5 5 5" xfId="24059"/>
    <cellStyle name="Note 7 2 4 5 5" xfId="24060"/>
    <cellStyle name="Note 8 4 5 5" xfId="24061"/>
    <cellStyle name="Note 9 3 5 5" xfId="24062"/>
    <cellStyle name="Output 7 2 5 5" xfId="24063"/>
    <cellStyle name="Output 2 6 2 5 5" xfId="24064"/>
    <cellStyle name="Output 3 2 2 5 5" xfId="24065"/>
    <cellStyle name="Output 4 2 2 5 5" xfId="24066"/>
    <cellStyle name="Output 5 5 5 5" xfId="24067"/>
    <cellStyle name="Total 7 2 5 5" xfId="24068"/>
    <cellStyle name="Total 2 7 2 5 5" xfId="24069"/>
    <cellStyle name="Total 3 2 2 5 5" xfId="24070"/>
    <cellStyle name="Total 4 2 2 5 5" xfId="24071"/>
    <cellStyle name="Total 5 5 5 5" xfId="24072"/>
    <cellStyle name="Calculation 8 2 5 5" xfId="24073"/>
    <cellStyle name="Input 12 2 5 5" xfId="24074"/>
    <cellStyle name="Input 11 2 5 5" xfId="24075"/>
    <cellStyle name="Calculation 9 2 5 5" xfId="24076"/>
    <cellStyle name="Output 8 2 5 5" xfId="24077"/>
    <cellStyle name="Total 8 2 5 5" xfId="24078"/>
    <cellStyle name="Total 9 2 5 5" xfId="24079"/>
    <cellStyle name="20% - Accent1 6 2 2 3 2" xfId="24080"/>
    <cellStyle name="20% - Accent2 6 2 2 3 2" xfId="24081"/>
    <cellStyle name="20% - Accent3 6 2 2 3 2" xfId="24082"/>
    <cellStyle name="20% - Accent4 6 2 2 3 2" xfId="24083"/>
    <cellStyle name="20% - Accent5 6 2 2 3 2" xfId="24084"/>
    <cellStyle name="20% - Accent6 6 2 2 3 2" xfId="24085"/>
    <cellStyle name="40% - Accent1 6 2 2 3 2" xfId="24086"/>
    <cellStyle name="40% - Accent2 6 2 2 3 2" xfId="24087"/>
    <cellStyle name="40% - Accent3 6 2 2 3 2" xfId="24088"/>
    <cellStyle name="40% - Accent4 6 2 2 3 2" xfId="24089"/>
    <cellStyle name="Output 5 2 2 5 5" xfId="24090"/>
    <cellStyle name="Output 4 3 2 5 5" xfId="24091"/>
    <cellStyle name="Output 3 3 2 5 5" xfId="24092"/>
    <cellStyle name="Output 2 7 2 5 5" xfId="24093"/>
    <cellStyle name="Output 11 2 5 5" xfId="24094"/>
    <cellStyle name="40% - Accent5 6 2 2 3 2" xfId="24095"/>
    <cellStyle name="40% - Accent6 6 2 2 3 2" xfId="24096"/>
    <cellStyle name="Input 5 3 2 5 5" xfId="24097"/>
    <cellStyle name="Input 4 3 2 5 5" xfId="24098"/>
    <cellStyle name="Input 3 3 2 5 5" xfId="24099"/>
    <cellStyle name="Input 2 7 2 5 5" xfId="24100"/>
    <cellStyle name="Calculation 10 2 5 5" xfId="24101"/>
    <cellStyle name="Input 14 2 5 5" xfId="24102"/>
    <cellStyle name="Input 16 2 5 5" xfId="24103"/>
    <cellStyle name="Input 17 2 5 5" xfId="24104"/>
    <cellStyle name="Input 15 2 5 5" xfId="24105"/>
    <cellStyle name="Input 13 2 5 5" xfId="24106"/>
    <cellStyle name="Calculation 5 2 2 5 5" xfId="24107"/>
    <cellStyle name="Calculation 4 3 2 5 5" xfId="24108"/>
    <cellStyle name="Calculation 3 3 2 5 5" xfId="24109"/>
    <cellStyle name="Calculation 2 7 2 5 5" xfId="24110"/>
    <cellStyle name="Calculation 11 2 5 5" xfId="24111"/>
    <cellStyle name="Normal 10 6 2 3 2" xfId="24112"/>
    <cellStyle name="Normal 11 6 2 3 2" xfId="24113"/>
    <cellStyle name="Normal 14 4 2 3 2" xfId="24114"/>
    <cellStyle name="Normal 2 2 2 3 2 3 2" xfId="24115"/>
    <cellStyle name="Normal 8 7 2 3 2" xfId="24116"/>
    <cellStyle name="Output 10 2 5 5" xfId="24117"/>
    <cellStyle name="Note 12 2 5 5" xfId="24118"/>
    <cellStyle name="Note 2 7 2 5 5" xfId="24119"/>
    <cellStyle name="Note 2 2 4 2 5 5" xfId="24120"/>
    <cellStyle name="Note 3 5 2 5 5" xfId="24121"/>
    <cellStyle name="Note 3 2 5 2 5 5" xfId="24122"/>
    <cellStyle name="Note 4 4 2 5 5" xfId="24123"/>
    <cellStyle name="Note 4 2 3 2 5 5" xfId="24124"/>
    <cellStyle name="Note 5 3 2 5 5" xfId="24125"/>
    <cellStyle name="Note 5 2 2 2 5 5" xfId="24126"/>
    <cellStyle name="Note 6 3 2 5 5" xfId="24127"/>
    <cellStyle name="Note 6 2 2 2 5 5" xfId="24128"/>
    <cellStyle name="Note 7 3 2 5 5" xfId="24129"/>
    <cellStyle name="Note 7 2 2 2 5 5" xfId="24130"/>
    <cellStyle name="Note 8 2 2 5 5" xfId="24131"/>
    <cellStyle name="Note 9 2 2 5 5" xfId="24132"/>
    <cellStyle name="Output 12 2 5 5" xfId="24133"/>
    <cellStyle name="Output 2 8 2 5 5" xfId="24134"/>
    <cellStyle name="Output 3 4 2 5 5" xfId="24135"/>
    <cellStyle name="Output 4 4 2 5 5" xfId="24136"/>
    <cellStyle name="Output 5 3 2 5 5" xfId="24137"/>
    <cellStyle name="Total 10 2 5 5" xfId="24138"/>
    <cellStyle name="Total 11 2 5 5" xfId="24139"/>
    <cellStyle name="Total 2 8 2 5 5" xfId="24140"/>
    <cellStyle name="Total 3 3 2 5 5" xfId="24141"/>
    <cellStyle name="Total 4 3 2 5 5" xfId="24142"/>
    <cellStyle name="Total 5 2 2 5 5" xfId="24143"/>
    <cellStyle name="Total 12 2 5 5" xfId="24144"/>
    <cellStyle name="Total 2 9 2 5 5" xfId="24145"/>
    <cellStyle name="Total 3 4 2 5 5" xfId="24146"/>
    <cellStyle name="Total 4 4 2 5 5" xfId="24147"/>
    <cellStyle name="Total 5 3 2 5 5" xfId="24148"/>
    <cellStyle name="20% - Accent1 6 3 2 3 2" xfId="24149"/>
    <cellStyle name="20% - Accent2 6 3 2 3 2" xfId="24150"/>
    <cellStyle name="20% - Accent3 6 3 2 3 2" xfId="24151"/>
    <cellStyle name="20% - Accent4 6 3 2 3 2" xfId="24152"/>
    <cellStyle name="20% - Accent5 6 3 2 3 2" xfId="24153"/>
    <cellStyle name="20% - Accent6 6 3 2 3 2" xfId="24154"/>
    <cellStyle name="40% - Accent1 6 3 2 3 2" xfId="24155"/>
    <cellStyle name="40% - Accent2 6 3 2 3 2" xfId="24156"/>
    <cellStyle name="40% - Accent3 6 3 2 3 2" xfId="24157"/>
    <cellStyle name="40% - Accent4 6 3 2 3 2" xfId="24158"/>
    <cellStyle name="40% - Accent5 6 3 2 3 2" xfId="24159"/>
    <cellStyle name="40% - Accent6 6 3 2 3 2" xfId="24160"/>
    <cellStyle name="Input 18 2 5 5" xfId="24161"/>
    <cellStyle name="Normal 10 7 2 3 2" xfId="24162"/>
    <cellStyle name="Normal 11 7 2 3 2" xfId="24163"/>
    <cellStyle name="Normal 14 5 2 3 2" xfId="24164"/>
    <cellStyle name="Normal 2 2 2 4 2 3 2" xfId="24165"/>
    <cellStyle name="Normal 8 8 2 3 2" xfId="24166"/>
    <cellStyle name="Calculation 12 2 5 5" xfId="24167"/>
    <cellStyle name="Input 19 2 5 5" xfId="24168"/>
    <cellStyle name="Note 13 2 5 5" xfId="24169"/>
    <cellStyle name="Output 13 2 5 5" xfId="24170"/>
    <cellStyle name="Total 13 2 5 5" xfId="24171"/>
    <cellStyle name="Normal 8 9 2 3 2" xfId="24172"/>
    <cellStyle name="Comma 13 4 2 3 2" xfId="24173"/>
    <cellStyle name="Currency 7 5 2 3 2" xfId="24174"/>
    <cellStyle name="Calculation 2 8 2 5 5" xfId="24175"/>
    <cellStyle name="Calculation 3 4 2 5 5" xfId="24176"/>
    <cellStyle name="Calculation 4 4 2 5 5" xfId="24177"/>
    <cellStyle name="Calculation 5 3 2 5 5" xfId="24178"/>
    <cellStyle name="Input 2 8 2 5 5" xfId="24179"/>
    <cellStyle name="Input 3 4 2 5 5" xfId="24180"/>
    <cellStyle name="Input 4 4 2 5 5" xfId="24181"/>
    <cellStyle name="Input 5 4 2 5 5" xfId="24182"/>
    <cellStyle name="Normal 10 8 2 3 2" xfId="24183"/>
    <cellStyle name="Note 2 8 2 5 5" xfId="24184"/>
    <cellStyle name="Note 2 2 5 2 5 5" xfId="24185"/>
    <cellStyle name="Note 3 6 2 5 5" xfId="24186"/>
    <cellStyle name="Note 3 2 6 2 5 5" xfId="24187"/>
    <cellStyle name="Note 4 5 2 5 5" xfId="24188"/>
    <cellStyle name="Note 4 2 4 2 5 5" xfId="24189"/>
    <cellStyle name="Note 5 4 2 5 5" xfId="24190"/>
    <cellStyle name="Note 5 2 3 2 5 5" xfId="24191"/>
    <cellStyle name="Note 6 4 2 5 5" xfId="24192"/>
    <cellStyle name="Note 6 2 3 2 5 5" xfId="24193"/>
    <cellStyle name="Note 7 4 2 5 5" xfId="24194"/>
    <cellStyle name="Note 7 2 3 2 5 5" xfId="24195"/>
    <cellStyle name="Note 8 3 2 5 5" xfId="24196"/>
    <cellStyle name="Output 2 9 2 5 5" xfId="24197"/>
    <cellStyle name="Output 3 5 2 5 5" xfId="24198"/>
    <cellStyle name="Output 4 5 2 5 5" xfId="24199"/>
    <cellStyle name="Output 5 4 2 5 5" xfId="24200"/>
    <cellStyle name="Total 2 10 2 5 5" xfId="24201"/>
    <cellStyle name="Total 3 5 2 5 5" xfId="24202"/>
    <cellStyle name="Total 4 5 2 5 5" xfId="24203"/>
    <cellStyle name="Total 5 4 2 5 5" xfId="24204"/>
    <cellStyle name="Normal 11 8 2 3 2" xfId="24205"/>
    <cellStyle name="Normal 14 6 2 3 2" xfId="24206"/>
    <cellStyle name="Normal 43 3 2 3 2" xfId="24207"/>
    <cellStyle name="Normal 44 3 2 3 2" xfId="24208"/>
    <cellStyle name="Input 20 2 5 5" xfId="24209"/>
    <cellStyle name="Normal 8 10 2 3 2" xfId="24210"/>
    <cellStyle name="Comma 13 5 2 3 2" xfId="24211"/>
    <cellStyle name="Currency 7 6 2 3 2" xfId="24212"/>
    <cellStyle name="Normal 10 9 2 3 2" xfId="24213"/>
    <cellStyle name="Normal 11 9 2 3 2" xfId="24214"/>
    <cellStyle name="Normal 14 7 2 3 2" xfId="24215"/>
    <cellStyle name="Normal 43 4 2 3 2" xfId="24216"/>
    <cellStyle name="Normal 44 4 2 3 2" xfId="24217"/>
    <cellStyle name="Normal 355 2 3 2" xfId="24218"/>
    <cellStyle name="Comma 22 2 3 2" xfId="24219"/>
    <cellStyle name="Input 21 2 5 5" xfId="24220"/>
    <cellStyle name="Normal 8 11 2 3 2" xfId="24221"/>
    <cellStyle name="Comma 13 6 2 3 2" xfId="24222"/>
    <cellStyle name="Currency 7 7 2 3 2" xfId="24223"/>
    <cellStyle name="Normal 10 10 2 3 2" xfId="24224"/>
    <cellStyle name="Normal 11 10 2 3 2" xfId="24225"/>
    <cellStyle name="Normal 14 8 2 3 2" xfId="24226"/>
    <cellStyle name="Normal 43 5 2 3 2" xfId="24227"/>
    <cellStyle name="Normal 44 5 2 3 2" xfId="24228"/>
    <cellStyle name="Note 6 2 6 2 5" xfId="24229"/>
    <cellStyle name="Note 7 7 2 5" xfId="24230"/>
    <cellStyle name="Note 7 2 6 2 5" xfId="24231"/>
    <cellStyle name="Note 8 6 2 5" xfId="24232"/>
    <cellStyle name="Note 9 5 2 5" xfId="24233"/>
    <cellStyle name="Output 7 4 2 5" xfId="24234"/>
    <cellStyle name="Output 2 6 4 2 5" xfId="24235"/>
    <cellStyle name="Output 3 2 4 2 5" xfId="24236"/>
    <cellStyle name="Output 4 2 4 2 5" xfId="24237"/>
    <cellStyle name="Output 5 7 2 5" xfId="24238"/>
    <cellStyle name="Note 4 2 4 5 2 5" xfId="24239"/>
    <cellStyle name="Total 7 4 2 5" xfId="24240"/>
    <cellStyle name="Total 2 7 4 2 5" xfId="24241"/>
    <cellStyle name="Total 3 2 4 2 5" xfId="24242"/>
    <cellStyle name="Total 4 2 4 2 5" xfId="24243"/>
    <cellStyle name="Total 5 7 2 5" xfId="24244"/>
    <cellStyle name="Calculation 8 4 2 5" xfId="24245"/>
    <cellStyle name="Input 12 4 2 5" xfId="24246"/>
    <cellStyle name="Input 11 4 2 5" xfId="24247"/>
    <cellStyle name="Calculation 9 4 2 5" xfId="24248"/>
    <cellStyle name="Output 8 4 2 5" xfId="24249"/>
    <cellStyle name="Note 4 5 5 2 5" xfId="24250"/>
    <cellStyle name="Total 8 4 2 5" xfId="24251"/>
    <cellStyle name="Total 9 4 2 5" xfId="24252"/>
    <cellStyle name="Input 2 9 3 2 5" xfId="24253"/>
    <cellStyle name="Note 2 2 2 3 3 2 5" xfId="24254"/>
    <cellStyle name="Note 7 2 3 5 2 5" xfId="24255"/>
    <cellStyle name="Note 3 2 6 5 2 5" xfId="24256"/>
    <cellStyle name="Output 13 5 2 5" xfId="24257"/>
    <cellStyle name="Input 14 5 2 5" xfId="24258"/>
    <cellStyle name="Input 5 3 5 2 5" xfId="24259"/>
    <cellStyle name="Output 5 2 4 2 5" xfId="24260"/>
    <cellStyle name="Output 4 3 4 2 5" xfId="24261"/>
    <cellStyle name="Output 3 3 4 2 5" xfId="24262"/>
    <cellStyle name="Output 2 7 4 2 5" xfId="24263"/>
    <cellStyle name="Output 11 4 2 5" xfId="24264"/>
    <cellStyle name="Input 5 3 4 2 5" xfId="24265"/>
    <cellStyle name="Input 4 3 4 2 5" xfId="24266"/>
    <cellStyle name="Input 3 3 4 2 5" xfId="24267"/>
    <cellStyle name="Input 2 7 4 2 5" xfId="24268"/>
    <cellStyle name="Calculation 10 4 2 5" xfId="24269"/>
    <cellStyle name="Input 14 4 2 5" xfId="24270"/>
    <cellStyle name="Input 16 4 2 5" xfId="24271"/>
    <cellStyle name="Input 17 4 2 5" xfId="24272"/>
    <cellStyle name="Input 15 4 2 5" xfId="24273"/>
    <cellStyle name="Input 13 4 2 5" xfId="24274"/>
    <cellStyle name="Calculation 5 2 4 2 5" xfId="24275"/>
    <cellStyle name="Calculation 4 3 4 2 5" xfId="24276"/>
    <cellStyle name="Calculation 3 3 4 2 5" xfId="24277"/>
    <cellStyle name="Calculation 2 7 4 2 5" xfId="24278"/>
    <cellStyle name="Calculation 11 4 2 5" xfId="24279"/>
    <cellStyle name="Output 10 4 2 5" xfId="24280"/>
    <cellStyle name="Note 12 4 2 5" xfId="24281"/>
    <cellStyle name="Note 2 7 4 2 5" xfId="24282"/>
    <cellStyle name="Note 2 2 4 4 2 5" xfId="24283"/>
    <cellStyle name="Note 3 5 4 2 5" xfId="24284"/>
    <cellStyle name="Note 3 2 5 4 2 5" xfId="24285"/>
    <cellStyle name="Note 4 4 4 2 5" xfId="24286"/>
    <cellStyle name="Note 4 2 3 4 2 5" xfId="24287"/>
    <cellStyle name="Note 5 3 4 2 5" xfId="24288"/>
    <cellStyle name="Note 5 2 2 4 2 5" xfId="24289"/>
    <cellStyle name="Note 6 3 4 2 5" xfId="24290"/>
    <cellStyle name="Note 6 2 2 4 2 5" xfId="24291"/>
    <cellStyle name="Note 7 3 4 2 5" xfId="24292"/>
    <cellStyle name="Note 7 2 2 4 2 5" xfId="24293"/>
    <cellStyle name="Note 8 2 4 2 5" xfId="24294"/>
    <cellStyle name="Note 9 2 4 2 5" xfId="24295"/>
    <cellStyle name="Output 12 4 2 5" xfId="24296"/>
    <cellStyle name="Output 2 8 4 2 5" xfId="24297"/>
    <cellStyle name="Output 3 4 4 2 5" xfId="24298"/>
    <cellStyle name="Output 4 4 4 2 5" xfId="24299"/>
    <cellStyle name="Output 5 3 4 2 5" xfId="24300"/>
    <cellStyle name="Total 10 4 2 5" xfId="24301"/>
    <cellStyle name="Total 11 4 2 5" xfId="24302"/>
    <cellStyle name="Total 2 8 4 2 5" xfId="24303"/>
    <cellStyle name="Total 3 3 4 2 5" xfId="24304"/>
    <cellStyle name="Total 4 3 4 2 5" xfId="24305"/>
    <cellStyle name="Total 5 2 4 2 5" xfId="24306"/>
    <cellStyle name="Total 12 4 2 5" xfId="24307"/>
    <cellStyle name="Total 2 9 4 2 5" xfId="24308"/>
    <cellStyle name="Total 3 4 4 2 5" xfId="24309"/>
    <cellStyle name="Total 4 4 4 2 5" xfId="24310"/>
    <cellStyle name="Total 5 3 4 2 5" xfId="24311"/>
    <cellStyle name="Note 2 4 2 3 3 2 5" xfId="24312"/>
    <cellStyle name="Note 6 2 3 5 2 5" xfId="24313"/>
    <cellStyle name="Input 19 5 2 5" xfId="24314"/>
    <cellStyle name="Input 2 7 5 2 5" xfId="24315"/>
    <cellStyle name="Input 18 4 2 5" xfId="24316"/>
    <cellStyle name="Calculation 12 4 2 5" xfId="24317"/>
    <cellStyle name="Input 19 4 2 5" xfId="24318"/>
    <cellStyle name="Note 13 4 2 5" xfId="24319"/>
    <cellStyle name="Output 13 4 2 5" xfId="24320"/>
    <cellStyle name="Total 13 4 2 5" xfId="24321"/>
    <cellStyle name="Calculation 2 8 4 2 5" xfId="24322"/>
    <cellStyle name="Calculation 3 4 4 2 5" xfId="24323"/>
    <cellStyle name="Calculation 4 4 4 2 5" xfId="24324"/>
    <cellStyle name="Calculation 5 3 4 2 5" xfId="24325"/>
    <cellStyle name="Input 2 8 4 2 5" xfId="24326"/>
    <cellStyle name="Input 3 4 4 2 5" xfId="24327"/>
    <cellStyle name="Input 4 4 4 2 5" xfId="24328"/>
    <cellStyle name="Input 5 4 4 2 5" xfId="24329"/>
    <cellStyle name="Note 2 8 4 2 5" xfId="24330"/>
    <cellStyle name="Note 2 2 5 4 2 5" xfId="24331"/>
    <cellStyle name="Note 3 6 4 2 5" xfId="24332"/>
    <cellStyle name="Note 3 2 6 4 2 5" xfId="24333"/>
    <cellStyle name="Note 4 5 4 2 5" xfId="24334"/>
    <cellStyle name="Note 4 2 4 4 2 5" xfId="24335"/>
    <cellStyle name="Note 5 4 4 2 5" xfId="24336"/>
    <cellStyle name="Note 5 2 3 4 2 5" xfId="24337"/>
    <cellStyle name="Note 6 4 4 2 5" xfId="24338"/>
    <cellStyle name="Note 6 2 3 4 2 5" xfId="24339"/>
    <cellStyle name="Note 7 4 4 2 5" xfId="24340"/>
    <cellStyle name="Note 7 2 3 4 2 5" xfId="24341"/>
    <cellStyle name="Note 8 3 4 2 5" xfId="24342"/>
    <cellStyle name="Output 2 9 4 2 5" xfId="24343"/>
    <cellStyle name="Output 3 5 4 2 5" xfId="24344"/>
    <cellStyle name="Output 4 5 4 2 5" xfId="24345"/>
    <cellStyle name="Output 5 4 4 2 5" xfId="24346"/>
    <cellStyle name="Total 2 10 4 2 5" xfId="24347"/>
    <cellStyle name="Total 3 5 4 2 5" xfId="24348"/>
    <cellStyle name="Total 4 5 4 2 5" xfId="24349"/>
    <cellStyle name="Total 5 4 4 2 5" xfId="24350"/>
    <cellStyle name="Input 20 4 2 5" xfId="24351"/>
    <cellStyle name="Input 21 4 2 5" xfId="24352"/>
    <cellStyle name="Note 4 2 6 2 2 5" xfId="24353"/>
    <cellStyle name="Note 3 3 3 2 2 5" xfId="24354"/>
    <cellStyle name="Note 2 5 3 2 2 5" xfId="24355"/>
    <cellStyle name="Note 2 4 2 3 2 2 5" xfId="24356"/>
    <cellStyle name="Note 2 3 2 3 2 2 5" xfId="24357"/>
    <cellStyle name="Note 2 2 2 3 2 2 5" xfId="24358"/>
    <cellStyle name="Calculation 2 9 2 2 5" xfId="24359"/>
    <cellStyle name="Calculation 2 2 5 2 2 5" xfId="24360"/>
    <cellStyle name="Calculation 2 2 2 2 2 2 5" xfId="24361"/>
    <cellStyle name="Calculation 2 2 3 2 2 2 5" xfId="24362"/>
    <cellStyle name="Calculation 2 2 4 2 2 2 5" xfId="24363"/>
    <cellStyle name="Calculation 2 3 2 2 2 5" xfId="24364"/>
    <cellStyle name="Calculation 2 4 2 2 2 5" xfId="24365"/>
    <cellStyle name="Calculation 2 5 2 2 2 5" xfId="24366"/>
    <cellStyle name="Calculation 3 5 2 2 5" xfId="24367"/>
    <cellStyle name="Header2 2 2 2 4" xfId="24368"/>
    <cellStyle name="Input 2 5 3 2 2 5" xfId="24369"/>
    <cellStyle name="Input 2 9 2 2 5" xfId="24370"/>
    <cellStyle name="Input 2 2 5 2 2 5" xfId="24371"/>
    <cellStyle name="Input 2 2 2 2 2 2 5" xfId="24372"/>
    <cellStyle name="Input 2 2 3 2 2 2 5" xfId="24373"/>
    <cellStyle name="Input 2 2 4 2 2 2 5" xfId="24374"/>
    <cellStyle name="Input 2 3 2 2 2 5" xfId="24375"/>
    <cellStyle name="Input 2 4 2 2 2 5" xfId="24376"/>
    <cellStyle name="Input 2 5 2 2 2 5" xfId="24377"/>
    <cellStyle name="Input 3 5 2 2 5" xfId="24378"/>
    <cellStyle name="Input 4 5 2 2 5" xfId="24379"/>
    <cellStyle name="Input 5 5 2 2 5" xfId="24380"/>
    <cellStyle name="Input 6 3 2 2 5" xfId="24381"/>
    <cellStyle name="Input 7 2 2 2 5" xfId="24382"/>
    <cellStyle name="Input 8 2 2 2 5" xfId="24383"/>
    <cellStyle name="Calculation 2 5 3 2 2 5" xfId="24384"/>
    <cellStyle name="Total 2 4 3 2 2 5" xfId="24385"/>
    <cellStyle name="Total 2 2 4 3 2 2 5" xfId="24386"/>
    <cellStyle name="Total 2 2 3 3 2 2 5" xfId="24387"/>
    <cellStyle name="Total 2 12 2 2 5" xfId="24388"/>
    <cellStyle name="Note 2 9 2 2 5" xfId="24389"/>
    <cellStyle name="Note 2 2 6 2 2 5" xfId="24390"/>
    <cellStyle name="Note 2 3 3 2 2 5" xfId="24391"/>
    <cellStyle name="Note 2 4 3 2 2 5" xfId="24392"/>
    <cellStyle name="Note 3 7 2 2 5" xfId="24393"/>
    <cellStyle name="Note 3 2 7 2 2 5" xfId="24394"/>
    <cellStyle name="Output 2 10 2 2 5" xfId="24395"/>
    <cellStyle name="Output 2 2 5 2 2 5" xfId="24396"/>
    <cellStyle name="Output 2 2 2 2 2 2 5" xfId="24397"/>
    <cellStyle name="Output 2 2 3 2 2 2 5" xfId="24398"/>
    <cellStyle name="Output 2 2 4 2 2 2 5" xfId="24399"/>
    <cellStyle name="Output 2 3 2 2 2 5" xfId="24400"/>
    <cellStyle name="Output 2 4 2 2 2 5" xfId="24401"/>
    <cellStyle name="Output 2 5 2 2 2 5" xfId="24402"/>
    <cellStyle name="Output 3 6 2 2 5" xfId="24403"/>
    <cellStyle name="Input 7 3 2 2 5" xfId="24404"/>
    <cellStyle name="Input 5 6 2 2 5" xfId="24405"/>
    <cellStyle name="Input 3 6 2 2 5" xfId="24406"/>
    <cellStyle name="Input 2 4 3 2 2 5" xfId="24407"/>
    <cellStyle name="Input 2 2 4 3 2 2 5" xfId="24408"/>
    <cellStyle name="Input 2 2 2 3 2 2 5" xfId="24409"/>
    <cellStyle name="Input 2 10 2 2 5" xfId="24410"/>
    <cellStyle name="Calculation 3 6 2 2 5" xfId="24411"/>
    <cellStyle name="Calculation 2 4 3 2 2 5" xfId="24412"/>
    <cellStyle name="Calculation 2 2 4 3 2 2 5" xfId="24413"/>
    <cellStyle name="Calculation 2 2 2 3 2 2 5" xfId="24414"/>
    <cellStyle name="Calculation 2 10 2 2 5" xfId="24415"/>
    <cellStyle name="StmtTtl2 2 2 2 5" xfId="24416"/>
    <cellStyle name="Total 2 11 2 2 5" xfId="24417"/>
    <cellStyle name="Total 2 2 5 2 2 5" xfId="24418"/>
    <cellStyle name="Total 2 2 2 2 2 2 5" xfId="24419"/>
    <cellStyle name="Total 2 2 3 2 2 2 5" xfId="24420"/>
    <cellStyle name="Total 2 2 4 2 2 2 5" xfId="24421"/>
    <cellStyle name="Total 2 3 2 2 2 5" xfId="24422"/>
    <cellStyle name="Total 2 4 2 2 2 5" xfId="24423"/>
    <cellStyle name="Total 2 5 2 2 2 5" xfId="24424"/>
    <cellStyle name="Total 2 6 2 2 2 5" xfId="24425"/>
    <cellStyle name="Total 3 6 2 2 5" xfId="24426"/>
    <cellStyle name="Calculation 2 2 2 2 3 2 5" xfId="24427"/>
    <cellStyle name="Output 3 5 5 2 5" xfId="24428"/>
    <cellStyle name="Input 12 5 2 5" xfId="24429"/>
    <cellStyle name="Output 2 5 3 2 2 5" xfId="24430"/>
    <cellStyle name="Output 2 3 3 2 2 5" xfId="24431"/>
    <cellStyle name="Output 2 2 3 3 2 2 5" xfId="24432"/>
    <cellStyle name="Output 2 2 6 2 2 5" xfId="24433"/>
    <cellStyle name="Note 4 7 2 2 5" xfId="24434"/>
    <cellStyle name="Note 3 2 2 3 2 2 5" xfId="24435"/>
    <cellStyle name="Note 3 8 2 2 5" xfId="24436"/>
    <cellStyle name="Note 2 4 4 2 2 5" xfId="24437"/>
    <cellStyle name="Note 2 2 7 2 2 5" xfId="24438"/>
    <cellStyle name="Note 3 2 2 2 2 2 5" xfId="24439"/>
    <cellStyle name="Note 4 6 2 2 5" xfId="24440"/>
    <cellStyle name="Total 3 7 2 2 5" xfId="24441"/>
    <cellStyle name="Total 2 5 3 2 2 5" xfId="24442"/>
    <cellStyle name="Total 2 3 3 2 2 5" xfId="24443"/>
    <cellStyle name="Total 2 2 6 2 2 5" xfId="24444"/>
    <cellStyle name="Total 2 2 2 3 2 2 5" xfId="24445"/>
    <cellStyle name="StmtTtl2 3 2 2 5" xfId="24446"/>
    <cellStyle name="Output 3 7 2 2 5" xfId="24447"/>
    <cellStyle name="Note 2 5 2 2 2 5" xfId="24448"/>
    <cellStyle name="Note 2 2 2 2 2 2 5" xfId="24449"/>
    <cellStyle name="Note 2 3 2 2 2 2 5" xfId="24450"/>
    <cellStyle name="Note 2 4 2 2 2 2 5" xfId="24451"/>
    <cellStyle name="Note 3 3 2 2 2 5" xfId="24452"/>
    <cellStyle name="Input 8 3 2 2 5" xfId="24453"/>
    <cellStyle name="Input 6 4 2 2 5" xfId="24454"/>
    <cellStyle name="Input 4 6 2 2 5" xfId="24455"/>
    <cellStyle name="Input 2 3 3 2 2 5" xfId="24456"/>
    <cellStyle name="Input 2 2 3 3 2 2 5" xfId="24457"/>
    <cellStyle name="Input 2 2 6 2 2 5" xfId="24458"/>
    <cellStyle name="Calculation 2 3 3 2 2 5" xfId="24459"/>
    <cellStyle name="Calculation 2 2 3 3 2 2 5" xfId="24460"/>
    <cellStyle name="Calculation 2 2 6 2 2 5" xfId="24461"/>
    <cellStyle name="Output 2 4 3 2 2 5" xfId="24462"/>
    <cellStyle name="Output 2 2 4 3 2 2 5" xfId="24463"/>
    <cellStyle name="Output 2 2 2 3 2 2 5" xfId="24464"/>
    <cellStyle name="Output 2 11 2 2 5" xfId="24465"/>
    <cellStyle name="Note 3 2 8 2 2 5" xfId="24466"/>
    <cellStyle name="Note 2 3 4 2 2 5" xfId="24467"/>
    <cellStyle name="Note 2 10 2 2 5" xfId="24468"/>
    <cellStyle name="Note 4 2 5 2 2 5" xfId="24469"/>
    <cellStyle name="Style 21 3 2 5" xfId="24470"/>
    <cellStyle name="Style 21 2 3 2 5" xfId="24471"/>
    <cellStyle name="Style 22 3 2 5" xfId="24472"/>
    <cellStyle name="Style 22 2 3 2 5" xfId="24473"/>
    <cellStyle name="Style 23 3 2 5" xfId="24474"/>
    <cellStyle name="Style 23 2 3 2 5" xfId="24475"/>
    <cellStyle name="Style 24 3 2 5" xfId="24476"/>
    <cellStyle name="Style 24 2 3 2 5" xfId="24477"/>
    <cellStyle name="Style 25 3 2 5" xfId="24478"/>
    <cellStyle name="Style 25 2 3 2 5" xfId="24479"/>
    <cellStyle name="Style 26 3 2 5" xfId="24480"/>
    <cellStyle name="Style 26 2 3 2 5" xfId="24481"/>
    <cellStyle name="styleColumnTitles 3 2 5" xfId="24482"/>
    <cellStyle name="styleColumnTitles 2 3 2 5" xfId="24483"/>
    <cellStyle name="styleDateRange 3 2 5" xfId="24484"/>
    <cellStyle name="styleDateRange 2 3 2 5" xfId="24485"/>
    <cellStyle name="styleSeriesAttributes 3 2 5" xfId="24486"/>
    <cellStyle name="styleSeriesAttributes 2 3 2 5" xfId="24487"/>
    <cellStyle name="styleSeriesData 3 2 5" xfId="24488"/>
    <cellStyle name="styleSeriesData 2 3 2 5" xfId="24489"/>
    <cellStyle name="styleSeriesDataForecast 3 2 5" xfId="24490"/>
    <cellStyle name="styleSeriesDataForecast 2 3 2 5" xfId="24491"/>
    <cellStyle name="styleSeriesDataForecastNA 3 2 5" xfId="24492"/>
    <cellStyle name="styleSeriesDataForecastNA 2 3 2 5" xfId="24493"/>
    <cellStyle name="styleSeriesDataNA 3 2 5" xfId="24494"/>
    <cellStyle name="styleSeriesDataNA 2 3 2 5" xfId="24495"/>
    <cellStyle name="Style 21 2 2 2 2 5" xfId="24496"/>
    <cellStyle name="Style 22 2 2 2 2 5" xfId="24497"/>
    <cellStyle name="Style 23 2 2 2 2 5" xfId="24498"/>
    <cellStyle name="Style 24 2 2 2 2 5" xfId="24499"/>
    <cellStyle name="Style 25 2 2 2 2 5" xfId="24500"/>
    <cellStyle name="Style 26 2 2 2 2 5" xfId="24501"/>
    <cellStyle name="styleColumnTitles 2 2 2 2 5" xfId="24502"/>
    <cellStyle name="styleDateRange 2 2 2 2 5" xfId="24503"/>
    <cellStyle name="styleSeriesAttributes 2 2 2 2 5" xfId="24504"/>
    <cellStyle name="styleSeriesData 2 2 2 2 5" xfId="24505"/>
    <cellStyle name="styleSeriesDataForecast 2 2 2 2 5" xfId="24506"/>
    <cellStyle name="styleSeriesDataForecastNA 2 2 2 2 5" xfId="24507"/>
    <cellStyle name="styleSeriesDataNA 2 2 2 2 5" xfId="24508"/>
    <cellStyle name="Total 2 6 3 2 2 5" xfId="24509"/>
    <cellStyle name="Note 3 3 3 3 2 5" xfId="24510"/>
    <cellStyle name="Note 5 2 3 5 2 5" xfId="24511"/>
    <cellStyle name="Input 4 3 5 2 5" xfId="24512"/>
    <cellStyle name="Calculation 7 2 2 2 5" xfId="24513"/>
    <cellStyle name="Calculation 2 6 2 2 2 5" xfId="24514"/>
    <cellStyle name="Calculation 3 2 2 2 2 5" xfId="24515"/>
    <cellStyle name="Calculation 4 2 2 2 2 5" xfId="24516"/>
    <cellStyle name="Calculation 5 4 2 2 5" xfId="24517"/>
    <cellStyle name="Output 9 2 2 2 5" xfId="24518"/>
    <cellStyle name="Input 10 2 2 2 5" xfId="24519"/>
    <cellStyle name="Input 2 6 2 2 2 5" xfId="24520"/>
    <cellStyle name="Input 3 2 2 2 2 5" xfId="24521"/>
    <cellStyle name="Input 4 2 2 2 2 5" xfId="24522"/>
    <cellStyle name="Input 5 2 2 2 2 5" xfId="24523"/>
    <cellStyle name="Note 11 2 2 2 5" xfId="24524"/>
    <cellStyle name="Note 2 6 2 2 2 5" xfId="24525"/>
    <cellStyle name="Note 2 2 3 2 2 2 5" xfId="24526"/>
    <cellStyle name="Note 3 4 2 2 2 5" xfId="24527"/>
    <cellStyle name="Note 3 2 4 2 2 2 5" xfId="24528"/>
    <cellStyle name="Note 4 3 2 2 2 5" xfId="24529"/>
    <cellStyle name="Note 4 2 2 2 2 2 5" xfId="24530"/>
    <cellStyle name="Note 5 5 2 2 5" xfId="24531"/>
    <cellStyle name="Note 5 2 4 2 2 5" xfId="24532"/>
    <cellStyle name="Note 6 5 2 2 5" xfId="24533"/>
    <cellStyle name="Note 6 2 4 2 2 5" xfId="24534"/>
    <cellStyle name="Note 7 5 2 2 5" xfId="24535"/>
    <cellStyle name="Note 7 2 4 2 2 5" xfId="24536"/>
    <cellStyle name="Note 8 4 2 2 5" xfId="24537"/>
    <cellStyle name="Note 9 3 2 2 5" xfId="24538"/>
    <cellStyle name="Output 7 2 2 2 5" xfId="24539"/>
    <cellStyle name="Output 2 6 2 2 2 5" xfId="24540"/>
    <cellStyle name="Output 3 2 2 2 2 5" xfId="24541"/>
    <cellStyle name="Output 4 2 2 2 2 5" xfId="24542"/>
    <cellStyle name="Output 5 5 2 2 5" xfId="24543"/>
    <cellStyle name="Total 7 2 2 2 5" xfId="24544"/>
    <cellStyle name="Total 2 7 2 2 2 5" xfId="24545"/>
    <cellStyle name="Total 3 2 2 2 2 5" xfId="24546"/>
    <cellStyle name="Total 4 2 2 2 2 5" xfId="24547"/>
    <cellStyle name="Total 5 5 2 2 5" xfId="24548"/>
    <cellStyle name="Calculation 8 2 2 2 5" xfId="24549"/>
    <cellStyle name="Input 12 2 2 2 5" xfId="24550"/>
    <cellStyle name="Input 11 2 2 2 5" xfId="24551"/>
    <cellStyle name="Calculation 9 2 2 2 5" xfId="24552"/>
    <cellStyle name="Output 8 2 2 2 5" xfId="24553"/>
    <cellStyle name="Total 8 2 2 2 5" xfId="24554"/>
    <cellStyle name="Total 9 2 2 2 5" xfId="24555"/>
    <cellStyle name="Note 2 3 2 3 3 2 5" xfId="24556"/>
    <cellStyle name="Note 7 4 5 2 5" xfId="24557"/>
    <cellStyle name="Note 13 5 2 5" xfId="24558"/>
    <cellStyle name="Calculation 10 5 2 5" xfId="24559"/>
    <cellStyle name="Output 5 2 2 2 2 5" xfId="24560"/>
    <cellStyle name="Output 4 3 2 2 2 5" xfId="24561"/>
    <cellStyle name="Output 3 3 2 2 2 5" xfId="24562"/>
    <cellStyle name="Output 2 7 2 2 2 5" xfId="24563"/>
    <cellStyle name="Output 11 2 2 2 5" xfId="24564"/>
    <cellStyle name="Input 5 3 2 2 2 5" xfId="24565"/>
    <cellStyle name="Input 4 3 2 2 2 5" xfId="24566"/>
    <cellStyle name="Input 3 3 2 2 2 5" xfId="24567"/>
    <cellStyle name="Input 2 7 2 2 2 5" xfId="24568"/>
    <cellStyle name="Calculation 10 2 2 2 5" xfId="24569"/>
    <cellStyle name="Input 14 2 2 2 5" xfId="24570"/>
    <cellStyle name="Input 16 2 2 2 5" xfId="24571"/>
    <cellStyle name="Input 17 2 2 2 5" xfId="24572"/>
    <cellStyle name="Input 15 2 2 2 5" xfId="24573"/>
    <cellStyle name="Input 13 2 2 2 5" xfId="24574"/>
    <cellStyle name="Calculation 5 2 2 2 2 5" xfId="24575"/>
    <cellStyle name="Calculation 4 3 2 2 2 5" xfId="24576"/>
    <cellStyle name="Calculation 3 3 2 2 2 5" xfId="24577"/>
    <cellStyle name="Calculation 2 7 2 2 2 5" xfId="24578"/>
    <cellStyle name="Calculation 11 2 2 2 5" xfId="24579"/>
    <cellStyle name="Output 10 2 2 2 5" xfId="24580"/>
    <cellStyle name="Note 12 2 2 2 5" xfId="24581"/>
    <cellStyle name="Note 2 7 2 2 2 5" xfId="24582"/>
    <cellStyle name="Note 2 2 4 2 2 2 5" xfId="24583"/>
    <cellStyle name="Note 3 5 2 2 2 5" xfId="24584"/>
    <cellStyle name="Note 3 2 5 2 2 2 5" xfId="24585"/>
    <cellStyle name="Note 4 4 2 2 2 5" xfId="24586"/>
    <cellStyle name="Note 4 2 3 2 2 2 5" xfId="24587"/>
    <cellStyle name="Note 5 3 2 2 2 5" xfId="24588"/>
    <cellStyle name="Note 5 2 2 2 2 2 5" xfId="24589"/>
    <cellStyle name="Note 6 3 2 2 2 5" xfId="24590"/>
    <cellStyle name="Note 6 2 2 2 2 2 5" xfId="24591"/>
    <cellStyle name="Note 7 3 2 2 2 5" xfId="24592"/>
    <cellStyle name="Note 7 2 2 2 2 2 5" xfId="24593"/>
    <cellStyle name="Note 8 2 2 2 2 5" xfId="24594"/>
    <cellStyle name="Note 9 2 2 2 2 5" xfId="24595"/>
    <cellStyle name="Output 12 2 2 2 5" xfId="24596"/>
    <cellStyle name="Output 2 8 2 2 2 5" xfId="24597"/>
    <cellStyle name="Output 3 4 2 2 2 5" xfId="24598"/>
    <cellStyle name="Output 4 4 2 2 2 5" xfId="24599"/>
    <cellStyle name="Output 5 3 2 2 2 5" xfId="24600"/>
    <cellStyle name="Total 10 2 2 2 5" xfId="24601"/>
    <cellStyle name="Total 11 2 2 2 5" xfId="24602"/>
    <cellStyle name="Total 2 8 2 2 2 5" xfId="24603"/>
    <cellStyle name="Total 3 3 2 2 2 5" xfId="24604"/>
    <cellStyle name="Total 4 3 2 2 2 5" xfId="24605"/>
    <cellStyle name="Total 5 2 2 2 2 5" xfId="24606"/>
    <cellStyle name="Total 12 2 2 2 5" xfId="24607"/>
    <cellStyle name="Total 2 9 2 2 2 5" xfId="24608"/>
    <cellStyle name="Total 3 4 2 2 2 5" xfId="24609"/>
    <cellStyle name="Total 4 4 2 2 2 5" xfId="24610"/>
    <cellStyle name="Total 5 3 2 2 2 5" xfId="24611"/>
    <cellStyle name="Note 2 5 3 3 2 5" xfId="24612"/>
    <cellStyle name="Note 6 4 5 2 5" xfId="24613"/>
    <cellStyle name="Calculation 12 5 2 5" xfId="24614"/>
    <cellStyle name="Input 3 3 5 2 5" xfId="24615"/>
    <cellStyle name="Input 18 2 2 2 5" xfId="24616"/>
    <cellStyle name="Calculation 12 2 2 2 5" xfId="24617"/>
    <cellStyle name="Input 19 2 2 2 5" xfId="24618"/>
    <cellStyle name="Note 13 2 2 2 5" xfId="24619"/>
    <cellStyle name="Output 13 2 2 2 5" xfId="24620"/>
    <cellStyle name="Total 13 2 2 2 5" xfId="24621"/>
    <cellStyle name="Calculation 2 8 2 2 2 5" xfId="24622"/>
    <cellStyle name="Calculation 3 4 2 2 2 5" xfId="24623"/>
    <cellStyle name="Calculation 4 4 2 2 2 5" xfId="24624"/>
    <cellStyle name="Calculation 5 3 2 2 2 5" xfId="24625"/>
    <cellStyle name="Input 2 8 2 2 2 5" xfId="24626"/>
    <cellStyle name="Input 3 4 2 2 2 5" xfId="24627"/>
    <cellStyle name="Input 4 4 2 2 2 5" xfId="24628"/>
    <cellStyle name="Input 5 4 2 2 2 5" xfId="24629"/>
    <cellStyle name="Note 2 8 2 2 2 5" xfId="24630"/>
    <cellStyle name="Note 2 2 5 2 2 2 5" xfId="24631"/>
    <cellStyle name="Note 3 6 2 2 2 5" xfId="24632"/>
    <cellStyle name="Note 3 2 6 2 2 2 5" xfId="24633"/>
    <cellStyle name="Note 4 5 2 2 2 5" xfId="24634"/>
    <cellStyle name="Note 4 2 4 2 2 2 5" xfId="24635"/>
    <cellStyle name="Note 5 4 2 2 2 5" xfId="24636"/>
    <cellStyle name="Note 5 2 3 2 2 2 5" xfId="24637"/>
    <cellStyle name="Note 6 4 2 2 2 5" xfId="24638"/>
    <cellStyle name="Note 6 2 3 2 2 2 5" xfId="24639"/>
    <cellStyle name="Note 7 4 2 2 2 5" xfId="24640"/>
    <cellStyle name="Note 7 2 3 2 2 2 5" xfId="24641"/>
    <cellStyle name="Note 8 3 2 2 2 5" xfId="24642"/>
    <cellStyle name="Output 2 9 2 2 2 5" xfId="24643"/>
    <cellStyle name="Output 3 5 2 2 2 5" xfId="24644"/>
    <cellStyle name="Output 4 5 2 2 2 5" xfId="24645"/>
    <cellStyle name="Output 5 4 2 2 2 5" xfId="24646"/>
    <cellStyle name="Total 2 10 2 2 2 5" xfId="24647"/>
    <cellStyle name="Total 3 5 2 2 2 5" xfId="24648"/>
    <cellStyle name="Total 4 5 2 2 2 5" xfId="24649"/>
    <cellStyle name="Total 5 4 2 2 2 5" xfId="24650"/>
    <cellStyle name="Input 20 2 2 2 5" xfId="24651"/>
    <cellStyle name="Input 21 2 2 2 5" xfId="24652"/>
    <cellStyle name="Note 2 9 3 2 5" xfId="24653"/>
    <cellStyle name="Note 2 2 6 3 2 5" xfId="24654"/>
    <cellStyle name="Note 2 3 3 3 2 5" xfId="24655"/>
    <cellStyle name="Note 2 4 3 3 2 5" xfId="24656"/>
    <cellStyle name="Note 3 7 3 2 5" xfId="24657"/>
    <cellStyle name="Note 3 2 7 3 2 5" xfId="24658"/>
    <cellStyle name="Output 2 10 3 2 5" xfId="24659"/>
    <cellStyle name="Output 2 2 5 3 2 5" xfId="24660"/>
    <cellStyle name="Output 2 2 2 2 3 2 5" xfId="24661"/>
    <cellStyle name="Output 2 2 3 2 3 2 5" xfId="24662"/>
    <cellStyle name="Output 2 2 4 2 3 2 5" xfId="24663"/>
    <cellStyle name="Output 2 3 2 3 2 5" xfId="24664"/>
    <cellStyle name="Output 2 4 2 3 2 5" xfId="24665"/>
    <cellStyle name="Output 2 5 2 3 2 5" xfId="24666"/>
    <cellStyle name="Output 3 6 3 2 5" xfId="24667"/>
    <cellStyle name="Input 7 3 3 2 5" xfId="24668"/>
    <cellStyle name="Input 5 6 3 2 5" xfId="24669"/>
    <cellStyle name="Input 3 6 3 2 5" xfId="24670"/>
    <cellStyle name="Input 2 4 3 3 2 5" xfId="24671"/>
    <cellStyle name="Input 2 2 4 3 3 2 5" xfId="24672"/>
    <cellStyle name="Input 2 2 2 3 3 2 5" xfId="24673"/>
    <cellStyle name="Input 2 10 3 2 5" xfId="24674"/>
    <cellStyle name="Calculation 3 6 3 2 5" xfId="24675"/>
    <cellStyle name="Calculation 2 4 3 3 2 5" xfId="24676"/>
    <cellStyle name="Calculation 2 2 4 3 3 2 5" xfId="24677"/>
    <cellStyle name="Calculation 2 2 2 3 3 2 5" xfId="24678"/>
    <cellStyle name="Calculation 2 10 3 2 5" xfId="24679"/>
    <cellStyle name="StmtTtl2 2 3 2 5" xfId="24680"/>
    <cellStyle name="Total 2 11 3 2 5" xfId="24681"/>
    <cellStyle name="Total 2 2 5 3 2 5" xfId="24682"/>
    <cellStyle name="Total 2 2 2 2 3 2 5" xfId="24683"/>
    <cellStyle name="Total 2 2 3 2 3 2 5" xfId="24684"/>
    <cellStyle name="Total 2 2 4 2 3 2 5" xfId="24685"/>
    <cellStyle name="Total 2 3 2 3 2 5" xfId="24686"/>
    <cellStyle name="Total 2 4 2 3 2 5" xfId="24687"/>
    <cellStyle name="Total 2 5 2 3 2 5" xfId="24688"/>
    <cellStyle name="Total 2 6 2 3 2 5" xfId="24689"/>
    <cellStyle name="Total 3 6 3 2 5" xfId="24690"/>
    <cellStyle name="Output 2 5 3 3 2 5" xfId="24691"/>
    <cellStyle name="Output 2 3 3 3 2 5" xfId="24692"/>
    <cellStyle name="Output 2 2 3 3 3 2 5" xfId="24693"/>
    <cellStyle name="Output 2 2 6 3 2 5" xfId="24694"/>
    <cellStyle name="Note 4 7 3 2 5" xfId="24695"/>
    <cellStyle name="Note 3 2 2 3 3 2 5" xfId="24696"/>
    <cellStyle name="Note 3 8 3 2 5" xfId="24697"/>
    <cellStyle name="Note 2 4 4 3 2 5" xfId="24698"/>
    <cellStyle name="Note 2 2 7 3 2 5" xfId="24699"/>
    <cellStyle name="Note 3 2 2 2 3 2 5" xfId="24700"/>
    <cellStyle name="Note 4 6 3 2 5" xfId="24701"/>
    <cellStyle name="Total 3 7 3 2 5" xfId="24702"/>
    <cellStyle name="Total 2 5 3 3 2 5" xfId="24703"/>
    <cellStyle name="Total 2 3 3 3 2 5" xfId="24704"/>
    <cellStyle name="Total 2 2 6 3 2 5" xfId="24705"/>
    <cellStyle name="Total 2 2 2 3 3 2 5" xfId="24706"/>
    <cellStyle name="StmtTtl2 3 3 2 5" xfId="24707"/>
    <cellStyle name="Output 3 7 3 2 5" xfId="24708"/>
    <cellStyle name="Note 2 5 2 3 2 5" xfId="24709"/>
    <cellStyle name="Note 2 2 2 2 3 2 5" xfId="24710"/>
    <cellStyle name="Note 2 3 2 2 3 2 5" xfId="24711"/>
    <cellStyle name="Note 2 4 2 2 3 2 5" xfId="24712"/>
    <cellStyle name="Note 3 3 2 3 2 5" xfId="24713"/>
    <cellStyle name="Input 8 3 3 2 5" xfId="24714"/>
    <cellStyle name="Input 6 4 3 2 5" xfId="24715"/>
    <cellStyle name="Input 4 6 3 2 5" xfId="24716"/>
    <cellStyle name="Input 2 3 3 3 2 5" xfId="24717"/>
    <cellStyle name="Input 2 2 3 3 3 2 5" xfId="24718"/>
    <cellStyle name="Input 2 2 6 3 2 5" xfId="24719"/>
    <cellStyle name="Calculation 2 3 3 3 2 5" xfId="24720"/>
    <cellStyle name="Calculation 2 2 3 3 3 2 5" xfId="24721"/>
    <cellStyle name="Calculation 2 2 6 3 2 5" xfId="24722"/>
    <cellStyle name="Output 2 4 3 3 2 5" xfId="24723"/>
    <cellStyle name="Output 2 2 4 3 3 2 5" xfId="24724"/>
    <cellStyle name="Output 2 2 2 3 3 2 5" xfId="24725"/>
    <cellStyle name="Output 2 11 3 2 5" xfId="24726"/>
    <cellStyle name="Note 3 2 8 3 2 5" xfId="24727"/>
    <cellStyle name="Note 2 3 4 3 2 5" xfId="24728"/>
    <cellStyle name="Note 2 10 3 2 5" xfId="24729"/>
    <cellStyle name="Note 4 2 5 3 2 5" xfId="24730"/>
    <cellStyle name="Style 21 4 2 5" xfId="24731"/>
    <cellStyle name="Style 21 2 4 2 5" xfId="24732"/>
    <cellStyle name="Style 22 4 2 5" xfId="24733"/>
    <cellStyle name="Style 22 2 4 2 5" xfId="24734"/>
    <cellStyle name="Style 23 4 2 5" xfId="24735"/>
    <cellStyle name="Style 23 2 4 2 5" xfId="24736"/>
    <cellStyle name="Style 24 4 2 5" xfId="24737"/>
    <cellStyle name="Style 24 2 4 2 5" xfId="24738"/>
    <cellStyle name="Style 25 4 2 5" xfId="24739"/>
    <cellStyle name="Style 25 2 4 2 5" xfId="24740"/>
    <cellStyle name="Style 26 4 2 5" xfId="24741"/>
    <cellStyle name="Style 26 2 4 2 5" xfId="24742"/>
    <cellStyle name="styleColumnTitles 4 2 5" xfId="24743"/>
    <cellStyle name="styleColumnTitles 2 4 2 5" xfId="24744"/>
    <cellStyle name="styleDateRange 4 2 5" xfId="24745"/>
    <cellStyle name="styleDateRange 2 4 2 5" xfId="24746"/>
    <cellStyle name="styleSeriesAttributes 4 2 5" xfId="24747"/>
    <cellStyle name="styleSeriesAttributes 2 4 2 5" xfId="24748"/>
    <cellStyle name="styleSeriesData 4 2 5" xfId="24749"/>
    <cellStyle name="styleSeriesData 2 4 2 5" xfId="24750"/>
    <cellStyle name="styleSeriesDataForecast 4 2 5" xfId="24751"/>
    <cellStyle name="styleSeriesDataForecast 2 4 2 5" xfId="24752"/>
    <cellStyle name="styleSeriesDataForecastNA 4 2 5" xfId="24753"/>
    <cellStyle name="styleSeriesDataForecastNA 2 4 2 5" xfId="24754"/>
    <cellStyle name="styleSeriesDataNA 4 2 5" xfId="24755"/>
    <cellStyle name="styleSeriesDataNA 2 4 2 5" xfId="24756"/>
    <cellStyle name="Style 21 2 2 3 2 5" xfId="24757"/>
    <cellStyle name="Style 22 2 2 3 2 5" xfId="24758"/>
    <cellStyle name="Style 23 2 2 3 2 5" xfId="24759"/>
    <cellStyle name="Style 24 2 2 3 2 5" xfId="24760"/>
    <cellStyle name="Style 25 2 2 3 2 5" xfId="24761"/>
    <cellStyle name="Style 26 2 2 3 2 5" xfId="24762"/>
    <cellStyle name="styleColumnTitles 2 2 3 2 5" xfId="24763"/>
    <cellStyle name="styleDateRange 2 2 3 2 5" xfId="24764"/>
    <cellStyle name="styleSeriesAttributes 2 2 3 2 5" xfId="24765"/>
    <cellStyle name="styleSeriesData 2 2 3 2 5" xfId="24766"/>
    <cellStyle name="styleSeriesDataForecast 2 2 3 2 5" xfId="24767"/>
    <cellStyle name="styleSeriesDataForecastNA 2 2 3 2 5" xfId="24768"/>
    <cellStyle name="styleSeriesDataNA 2 2 3 2 5" xfId="24769"/>
    <cellStyle name="Total 2 6 3 3 2 5" xfId="24770"/>
    <cellStyle name="Calculation 7 2 3 2 5" xfId="24771"/>
    <cellStyle name="Calculation 2 6 2 3 2 5" xfId="24772"/>
    <cellStyle name="Calculation 3 2 2 3 2 5" xfId="24773"/>
    <cellStyle name="Calculation 4 2 2 3 2 5" xfId="24774"/>
    <cellStyle name="Calculation 5 4 3 2 5" xfId="24775"/>
    <cellStyle name="Output 9 2 3 2 5" xfId="24776"/>
    <cellStyle name="Input 10 2 3 2 5" xfId="24777"/>
    <cellStyle name="Input 2 6 2 3 2 5" xfId="24778"/>
    <cellStyle name="Input 3 2 2 3 2 5" xfId="24779"/>
    <cellStyle name="Input 4 2 2 3 2 5" xfId="24780"/>
    <cellStyle name="Input 5 2 2 3 2 5" xfId="24781"/>
    <cellStyle name="Note 11 2 3 2 5" xfId="24782"/>
    <cellStyle name="Note 2 6 2 3 2 5" xfId="24783"/>
    <cellStyle name="Note 2 2 3 2 3 2 5" xfId="24784"/>
    <cellStyle name="Note 3 4 2 3 2 5" xfId="24785"/>
    <cellStyle name="Note 3 2 4 2 3 2 5" xfId="24786"/>
    <cellStyle name="Note 4 3 2 3 2 5" xfId="24787"/>
    <cellStyle name="Note 4 2 2 2 3 2 5" xfId="24788"/>
    <cellStyle name="Note 5 5 3 2 5" xfId="24789"/>
    <cellStyle name="Note 5 2 4 3 2 5" xfId="24790"/>
    <cellStyle name="Note 6 5 3 2 5" xfId="24791"/>
    <cellStyle name="Note 6 2 4 3 2 5" xfId="24792"/>
    <cellStyle name="Note 7 5 3 2 5" xfId="24793"/>
    <cellStyle name="Note 7 2 4 3 2 5" xfId="24794"/>
    <cellStyle name="Note 8 4 3 2 5" xfId="24795"/>
    <cellStyle name="Note 9 3 3 2 5" xfId="24796"/>
    <cellStyle name="Output 7 2 3 2 5" xfId="24797"/>
    <cellStyle name="Output 2 6 2 3 2 5" xfId="24798"/>
    <cellStyle name="Output 3 2 2 3 2 5" xfId="24799"/>
    <cellStyle name="Output 4 2 2 3 2 5" xfId="24800"/>
    <cellStyle name="Output 5 5 3 2 5" xfId="24801"/>
    <cellStyle name="Total 7 2 3 2 5" xfId="24802"/>
    <cellStyle name="Total 2 7 2 3 2 5" xfId="24803"/>
    <cellStyle name="Total 3 2 2 3 2 5" xfId="24804"/>
    <cellStyle name="Total 4 2 2 3 2 5" xfId="24805"/>
    <cellStyle name="Total 5 5 3 2 5" xfId="24806"/>
    <cellStyle name="Calculation 8 2 3 2 5" xfId="24807"/>
    <cellStyle name="Input 12 2 3 2 5" xfId="24808"/>
    <cellStyle name="Input 11 2 3 2 5" xfId="24809"/>
    <cellStyle name="Calculation 9 2 3 2 5" xfId="24810"/>
    <cellStyle name="Output 8 2 3 2 5" xfId="24811"/>
    <cellStyle name="Total 8 2 3 2 5" xfId="24812"/>
    <cellStyle name="Total 9 2 3 2 5" xfId="24813"/>
    <cellStyle name="Output 5 2 2 3 2 5" xfId="24814"/>
    <cellStyle name="Output 4 3 2 3 2 5" xfId="24815"/>
    <cellStyle name="Output 3 3 2 3 2 5" xfId="24816"/>
    <cellStyle name="Output 2 7 2 3 2 5" xfId="24817"/>
    <cellStyle name="Output 11 2 3 2 5" xfId="24818"/>
    <cellStyle name="Input 5 3 2 3 2 5" xfId="24819"/>
    <cellStyle name="Input 4 3 2 3 2 5" xfId="24820"/>
    <cellStyle name="Input 3 3 2 3 2 5" xfId="24821"/>
    <cellStyle name="Input 2 7 2 3 2 5" xfId="24822"/>
    <cellStyle name="Calculation 10 2 3 2 5" xfId="24823"/>
    <cellStyle name="Input 14 2 3 2 5" xfId="24824"/>
    <cellStyle name="Input 16 2 3 2 5" xfId="24825"/>
    <cellStyle name="Input 17 2 3 2 5" xfId="24826"/>
    <cellStyle name="Input 15 2 3 2 5" xfId="24827"/>
    <cellStyle name="Input 13 2 3 2 5" xfId="24828"/>
    <cellStyle name="Calculation 5 2 2 3 2 5" xfId="24829"/>
    <cellStyle name="Calculation 4 3 2 3 2 5" xfId="24830"/>
    <cellStyle name="Calculation 3 3 2 3 2 5" xfId="24831"/>
    <cellStyle name="Calculation 2 7 2 3 2 5" xfId="24832"/>
    <cellStyle name="Calculation 11 2 3 2 5" xfId="24833"/>
    <cellStyle name="Output 10 2 3 2 5" xfId="24834"/>
    <cellStyle name="Note 12 2 3 2 5" xfId="24835"/>
    <cellStyle name="Note 2 7 2 3 2 5" xfId="24836"/>
    <cellStyle name="Note 2 2 4 2 3 2 5" xfId="24837"/>
    <cellStyle name="Note 3 5 2 3 2 5" xfId="24838"/>
    <cellStyle name="Note 3 2 5 2 3 2 5" xfId="24839"/>
    <cellStyle name="Note 4 4 2 3 2 5" xfId="24840"/>
    <cellStyle name="Note 4 2 3 2 3 2 5" xfId="24841"/>
    <cellStyle name="Note 5 3 2 3 2 5" xfId="24842"/>
    <cellStyle name="Note 5 2 2 2 3 2 5" xfId="24843"/>
    <cellStyle name="Note 6 3 2 3 2 5" xfId="24844"/>
    <cellStyle name="Note 6 2 2 2 3 2 5" xfId="24845"/>
    <cellStyle name="Note 7 3 2 3 2 5" xfId="24846"/>
    <cellStyle name="Note 7 2 2 2 3 2 5" xfId="24847"/>
    <cellStyle name="Note 8 2 2 3 2 5" xfId="24848"/>
    <cellStyle name="Note 9 2 2 3 2 5" xfId="24849"/>
    <cellStyle name="Output 12 2 3 2 5" xfId="24850"/>
    <cellStyle name="Output 2 8 2 3 2 5" xfId="24851"/>
    <cellStyle name="Output 3 4 2 3 2 5" xfId="24852"/>
    <cellStyle name="Output 4 4 2 3 2 5" xfId="24853"/>
    <cellStyle name="Output 5 3 2 3 2 5" xfId="24854"/>
    <cellStyle name="Total 10 2 3 2 5" xfId="24855"/>
    <cellStyle name="Total 11 2 3 2 5" xfId="24856"/>
    <cellStyle name="Total 2 8 2 3 2 5" xfId="24857"/>
    <cellStyle name="Total 3 3 2 3 2 5" xfId="24858"/>
    <cellStyle name="Total 4 3 2 3 2 5" xfId="24859"/>
    <cellStyle name="Total 5 2 2 3 2 5" xfId="24860"/>
    <cellStyle name="Total 12 2 3 2 5" xfId="24861"/>
    <cellStyle name="Total 2 9 2 3 2 5" xfId="24862"/>
    <cellStyle name="Total 3 4 2 3 2 5" xfId="24863"/>
    <cellStyle name="Total 4 4 2 3 2 5" xfId="24864"/>
    <cellStyle name="Total 5 3 2 3 2 5" xfId="24865"/>
    <cellStyle name="Input 18 2 3 2 5" xfId="24866"/>
    <cellStyle name="Calculation 12 2 3 2 5" xfId="24867"/>
    <cellStyle name="Input 19 2 3 2 5" xfId="24868"/>
    <cellStyle name="Note 13 2 3 2 5" xfId="24869"/>
    <cellStyle name="Output 13 2 3 2 5" xfId="24870"/>
    <cellStyle name="Total 13 2 3 2 5" xfId="24871"/>
    <cellStyle name="Calculation 2 8 2 3 2 5" xfId="24872"/>
    <cellStyle name="Calculation 3 4 2 3 2 5" xfId="24873"/>
    <cellStyle name="Calculation 4 4 2 3 2 5" xfId="24874"/>
    <cellStyle name="Calculation 5 3 2 3 2 5" xfId="24875"/>
    <cellStyle name="Input 2 8 2 3 2 5" xfId="24876"/>
    <cellStyle name="Input 3 4 2 3 2 5" xfId="24877"/>
    <cellStyle name="Input 4 4 2 3 2 5" xfId="24878"/>
    <cellStyle name="Input 5 4 2 3 2 5" xfId="24879"/>
    <cellStyle name="Note 2 8 2 3 2 5" xfId="24880"/>
    <cellStyle name="Note 2 2 5 2 3 2 5" xfId="24881"/>
    <cellStyle name="Note 3 6 2 3 2 5" xfId="24882"/>
    <cellStyle name="Note 3 2 6 2 3 2 5" xfId="24883"/>
    <cellStyle name="Note 4 5 2 3 2 5" xfId="24884"/>
    <cellStyle name="Note 4 2 4 2 3 2 5" xfId="24885"/>
    <cellStyle name="Note 5 4 2 3 2 5" xfId="24886"/>
    <cellStyle name="Note 5 2 3 2 3 2 5" xfId="24887"/>
    <cellStyle name="Note 6 4 2 3 2 5" xfId="24888"/>
    <cellStyle name="Note 6 2 3 2 3 2 5" xfId="24889"/>
    <cellStyle name="Note 7 4 2 3 2 5" xfId="24890"/>
    <cellStyle name="Note 7 2 3 2 3 2 5" xfId="24891"/>
    <cellStyle name="Note 8 3 2 3 2 5" xfId="24892"/>
    <cellStyle name="Output 2 9 2 3 2 5" xfId="24893"/>
    <cellStyle name="Output 3 5 2 3 2 5" xfId="24894"/>
    <cellStyle name="Output 4 5 2 3 2 5" xfId="24895"/>
    <cellStyle name="Output 5 4 2 3 2 5" xfId="24896"/>
    <cellStyle name="Total 2 10 2 3 2 5" xfId="24897"/>
    <cellStyle name="Total 3 5 2 3 2 5" xfId="24898"/>
    <cellStyle name="Total 4 5 2 3 2 5" xfId="24899"/>
    <cellStyle name="Total 5 4 2 3 2 5" xfId="24900"/>
    <cellStyle name="Input 20 2 3 2 5" xfId="24901"/>
    <cellStyle name="Input 21 2 3 2 5" xfId="24902"/>
    <cellStyle name="20% - Accent1 4 5 2 2" xfId="24903"/>
    <cellStyle name="20% - Accent2 4 5 2 2" xfId="24904"/>
    <cellStyle name="20% - Accent3 4 5 2 2" xfId="24905"/>
    <cellStyle name="20% - Accent4 4 5 2 2" xfId="24906"/>
    <cellStyle name="20% - Accent5 4 5 2 2" xfId="24907"/>
    <cellStyle name="20% - Accent6 4 5 2 2" xfId="24908"/>
    <cellStyle name="40% - Accent1 4 5 2 2" xfId="24909"/>
    <cellStyle name="40% - Accent2 4 5 2 2" xfId="24910"/>
    <cellStyle name="40% - Accent3 4 5 2 2" xfId="24911"/>
    <cellStyle name="40% - Accent4 4 5 2 2" xfId="24912"/>
    <cellStyle name="40% - Accent5 4 5 2 2" xfId="24913"/>
    <cellStyle name="40% - Accent6 4 5 2 2" xfId="24914"/>
    <cellStyle name="Normal 10 3 4 2 2" xfId="24915"/>
    <cellStyle name="Normal 11 3 3 4 2 2" xfId="24916"/>
    <cellStyle name="Normal 18 3 3 4 2 2" xfId="24917"/>
    <cellStyle name="Normal 182 3 4 2 2" xfId="24918"/>
    <cellStyle name="Normal 183 3 4 2 2" xfId="24919"/>
    <cellStyle name="Normal 184 3 4 2 2" xfId="24920"/>
    <cellStyle name="Normal 185 2 3 4 2 2" xfId="24921"/>
    <cellStyle name="Normal 199 3 4 2 2" xfId="24922"/>
    <cellStyle name="Normal 20 3 3 4 2 2" xfId="24923"/>
    <cellStyle name="Normal 221 2 4 2 2" xfId="24924"/>
    <cellStyle name="Normal 222 2 4 2 2" xfId="24925"/>
    <cellStyle name="Normal 264 4 2 2" xfId="24926"/>
    <cellStyle name="Normal 3 3 2 3 4 2 2" xfId="24927"/>
    <cellStyle name="Normal 4 2 2 2 3 4 2 2" xfId="24928"/>
    <cellStyle name="Normal 4 2 2 4 4 2 2" xfId="24929"/>
    <cellStyle name="Normal 4 2 3 3 4 2 2" xfId="24930"/>
    <cellStyle name="Normal 4 2 5 4 2 2" xfId="24931"/>
    <cellStyle name="Normal 4 3 2 3 4 2 2" xfId="24932"/>
    <cellStyle name="Normal 4 3 5 4 2 2" xfId="24933"/>
    <cellStyle name="Normal 4 3 6 4 2 2" xfId="24934"/>
    <cellStyle name="Normal 4 4 2 3 4 2 2" xfId="24935"/>
    <cellStyle name="Normal 4 4 4 4 2 2" xfId="24936"/>
    <cellStyle name="Normal 4 7 4 2 2" xfId="24937"/>
    <cellStyle name="Normal 49 3 3 4 2 2" xfId="24938"/>
    <cellStyle name="Normal 5 2 3 4 2 2" xfId="24939"/>
    <cellStyle name="Normal 5 4 4 2 2" xfId="24940"/>
    <cellStyle name="Normal 6 2 3 4 2 2" xfId="24941"/>
    <cellStyle name="Normal 6 4 4 2 2" xfId="24942"/>
    <cellStyle name="Normal 7 2 3 4 2 2" xfId="24943"/>
    <cellStyle name="Normal 7 4 4 2 2" xfId="24944"/>
    <cellStyle name="Normal 8 2 3 4 2 2" xfId="24945"/>
    <cellStyle name="Normal 8 4 4 2 2" xfId="24946"/>
    <cellStyle name="Normal 9 3 4 2 2" xfId="24947"/>
    <cellStyle name="Comma 19 4 2 2" xfId="24948"/>
    <cellStyle name="Comma 6 10 4 2 2" xfId="24949"/>
    <cellStyle name="Comma 8 6 4 2 2" xfId="24950"/>
    <cellStyle name="Normal 51 3 4 2 2" xfId="24951"/>
    <cellStyle name="Normal 52 3 4 2 2" xfId="24952"/>
    <cellStyle name="Normal 345 6 2 2" xfId="24953"/>
    <cellStyle name="Comma 20 4 2 2" xfId="24954"/>
    <cellStyle name="20% - Accent1 6 6 2 2" xfId="24955"/>
    <cellStyle name="20% - Accent2 6 6 2 2" xfId="24956"/>
    <cellStyle name="20% - Accent3 6 6 2 2" xfId="24957"/>
    <cellStyle name="20% - Accent4 6 6 2 2" xfId="24958"/>
    <cellStyle name="20% - Accent5 6 6 2 2" xfId="24959"/>
    <cellStyle name="20% - Accent6 6 6 2 2" xfId="24960"/>
    <cellStyle name="40% - Accent1 6 6 2 2" xfId="24961"/>
    <cellStyle name="40% - Accent2 6 6 2 2" xfId="24962"/>
    <cellStyle name="40% - Accent3 6 6 2 2" xfId="24963"/>
    <cellStyle name="40% - Accent4 6 6 2 2" xfId="24964"/>
    <cellStyle name="40% - Accent5 6 6 2 2" xfId="24965"/>
    <cellStyle name="40% - Accent6 6 6 2 2" xfId="24966"/>
    <cellStyle name="Calculation 7 6 2 5" xfId="24967"/>
    <cellStyle name="Calculation 2 6 6 2 5" xfId="24968"/>
    <cellStyle name="Calculation 3 2 6 2 5" xfId="24969"/>
    <cellStyle name="Calculation 4 2 6 2 5" xfId="24970"/>
    <cellStyle name="Calculation 5 7 2 5" xfId="24971"/>
    <cellStyle name="Output 9 5 2 5" xfId="24972"/>
    <cellStyle name="Input 10 6 2 5" xfId="24973"/>
    <cellStyle name="Input 2 6 6 2 5" xfId="24974"/>
    <cellStyle name="Input 3 2 6 2 5" xfId="24975"/>
    <cellStyle name="Input 4 2 6 2 5" xfId="24976"/>
    <cellStyle name="Input 5 2 6 2 5" xfId="24977"/>
    <cellStyle name="Normal 10 5 4 2 2" xfId="24978"/>
    <cellStyle name="Normal 11 5 4 2 2" xfId="24979"/>
    <cellStyle name="Normal 14 3 4 2 2" xfId="24980"/>
    <cellStyle name="Normal 2 2 2 2 4 2 2" xfId="24981"/>
    <cellStyle name="Normal 8 6 4 2 2" xfId="24982"/>
    <cellStyle name="Note 11 5 2 5" xfId="24983"/>
    <cellStyle name="Note 2 6 5 2 5" xfId="24984"/>
    <cellStyle name="Note 2 2 3 5 2 5" xfId="24985"/>
    <cellStyle name="Note 3 4 5 2 5" xfId="24986"/>
    <cellStyle name="Note 3 2 4 5 2 5" xfId="24987"/>
    <cellStyle name="Note 4 3 5 2 5" xfId="24988"/>
    <cellStyle name="Note 4 2 2 5 2 5" xfId="24989"/>
    <cellStyle name="Note 5 8 2 5" xfId="24990"/>
    <cellStyle name="Note 5 2 7 2 5" xfId="24991"/>
    <cellStyle name="Note 6 8 2 5" xfId="24992"/>
    <cellStyle name="Note 6 2 7 2 5" xfId="24993"/>
    <cellStyle name="Note 7 8 2 5" xfId="24994"/>
    <cellStyle name="Note 7 2 7 2 5" xfId="24995"/>
    <cellStyle name="Note 8 7 2 5" xfId="24996"/>
    <cellStyle name="Note 9 6 2 5" xfId="24997"/>
    <cellStyle name="Output 7 5 2 5" xfId="24998"/>
    <cellStyle name="Output 2 6 5 2 5" xfId="24999"/>
    <cellStyle name="Output 3 2 5 2 5" xfId="25000"/>
    <cellStyle name="Output 4 2 5 2 5" xfId="25001"/>
    <cellStyle name="Output 5 8 2 5" xfId="25002"/>
    <cellStyle name="Total 7 5 2 5" xfId="25003"/>
    <cellStyle name="Total 2 7 5 2 5" xfId="25004"/>
    <cellStyle name="Total 3 2 5 2 5" xfId="25005"/>
    <cellStyle name="Total 4 2 5 2 5" xfId="25006"/>
    <cellStyle name="Total 5 8 2 5" xfId="25007"/>
    <cellStyle name="Calculation 8 6 2 5" xfId="25008"/>
    <cellStyle name="Input 12 6 2 5" xfId="25009"/>
    <cellStyle name="Input 11 6 2 5" xfId="25010"/>
    <cellStyle name="Calculation 9 6 2 5" xfId="25011"/>
    <cellStyle name="Output 8 5 2 5" xfId="25012"/>
    <cellStyle name="Total 8 5 2 5" xfId="25013"/>
    <cellStyle name="Total 9 5 2 5" xfId="25014"/>
    <cellStyle name="20% - Accent1 6 2 4 2 2" xfId="25015"/>
    <cellStyle name="20% - Accent2 6 2 4 2 2" xfId="25016"/>
    <cellStyle name="20% - Accent3 6 2 4 2 2" xfId="25017"/>
    <cellStyle name="20% - Accent4 6 2 4 2 2" xfId="25018"/>
    <cellStyle name="20% - Accent5 6 2 4 2 2" xfId="25019"/>
    <cellStyle name="20% - Accent6 6 2 4 2 2" xfId="25020"/>
    <cellStyle name="40% - Accent1 6 2 4 2 2" xfId="25021"/>
    <cellStyle name="40% - Accent2 6 2 4 2 2" xfId="25022"/>
    <cellStyle name="40% - Accent3 6 2 4 2 2" xfId="25023"/>
    <cellStyle name="40% - Accent4 6 2 4 2 2" xfId="25024"/>
    <cellStyle name="Output 5 2 5 2 5" xfId="25025"/>
    <cellStyle name="Output 4 3 5 2 5" xfId="25026"/>
    <cellStyle name="Output 3 3 5 2 5" xfId="25027"/>
    <cellStyle name="Output 2 7 5 2 5" xfId="25028"/>
    <cellStyle name="Output 11 5 2 5" xfId="25029"/>
    <cellStyle name="40% - Accent5 6 2 4 2 2" xfId="25030"/>
    <cellStyle name="40% - Accent6 6 2 4 2 2" xfId="25031"/>
    <cellStyle name="Input 5 3 6 2 5" xfId="25032"/>
    <cellStyle name="Input 4 3 6 2 5" xfId="25033"/>
    <cellStyle name="Input 3 3 6 2 5" xfId="25034"/>
    <cellStyle name="Input 2 7 6 2 5" xfId="25035"/>
    <cellStyle name="Calculation 10 6 2 5" xfId="25036"/>
    <cellStyle name="Input 14 6 2 5" xfId="25037"/>
    <cellStyle name="Input 16 6 2 5" xfId="25038"/>
    <cellStyle name="Input 17 6 2 5" xfId="25039"/>
    <cellStyle name="Input 15 6 2 5" xfId="25040"/>
    <cellStyle name="Input 13 6 2 5" xfId="25041"/>
    <cellStyle name="Calculation 5 2 6 2 5" xfId="25042"/>
    <cellStyle name="Calculation 4 3 6 2 5" xfId="25043"/>
    <cellStyle name="Calculation 3 3 6 2 5" xfId="25044"/>
    <cellStyle name="Calculation 2 7 6 2 5" xfId="25045"/>
    <cellStyle name="Calculation 11 6 2 5" xfId="25046"/>
    <cellStyle name="Normal 10 6 4 2 2" xfId="25047"/>
    <cellStyle name="Normal 11 6 4 2 2" xfId="25048"/>
    <cellStyle name="Normal 14 4 4 2 2" xfId="25049"/>
    <cellStyle name="Normal 2 2 2 3 4 2 2" xfId="25050"/>
    <cellStyle name="Normal 8 7 4 2 2" xfId="25051"/>
    <cellStyle name="Output 10 5 2 5" xfId="25052"/>
    <cellStyle name="Note 12 5 2 5" xfId="25053"/>
    <cellStyle name="Note 2 7 5 2 5" xfId="25054"/>
    <cellStyle name="Note 2 2 4 5 2 5" xfId="25055"/>
    <cellStyle name="Note 3 5 5 2 5" xfId="25056"/>
    <cellStyle name="Note 3 2 5 5 2 5" xfId="25057"/>
    <cellStyle name="Note 4 4 5 2 5" xfId="25058"/>
    <cellStyle name="Note 4 2 3 5 2 5" xfId="25059"/>
    <cellStyle name="Note 5 3 5 2 5" xfId="25060"/>
    <cellStyle name="Note 5 2 2 5 2 5" xfId="25061"/>
    <cellStyle name="Note 6 3 5 2 5" xfId="25062"/>
    <cellStyle name="Note 6 2 2 5 2 5" xfId="25063"/>
    <cellStyle name="Note 7 3 5 2 5" xfId="25064"/>
    <cellStyle name="Note 7 2 2 5 2 5" xfId="25065"/>
    <cellStyle name="Note 8 2 5 2 5" xfId="25066"/>
    <cellStyle name="Note 9 2 5 2 5" xfId="25067"/>
    <cellStyle name="Output 12 5 2 5" xfId="25068"/>
    <cellStyle name="Output 2 8 5 2 5" xfId="25069"/>
    <cellStyle name="Output 3 4 5 2 5" xfId="25070"/>
    <cellStyle name="Output 4 4 5 2 5" xfId="25071"/>
    <cellStyle name="Output 5 3 5 2 5" xfId="25072"/>
    <cellStyle name="Total 10 5 2 5" xfId="25073"/>
    <cellStyle name="Total 11 5 2 5" xfId="25074"/>
    <cellStyle name="Total 2 8 5 2 5" xfId="25075"/>
    <cellStyle name="Total 3 3 5 2 5" xfId="25076"/>
    <cellStyle name="Total 4 3 5 2 5" xfId="25077"/>
    <cellStyle name="Total 5 2 5 2 5" xfId="25078"/>
    <cellStyle name="Total 12 5 2 5" xfId="25079"/>
    <cellStyle name="Total 2 9 5 2 5" xfId="25080"/>
    <cellStyle name="Total 3 4 5 2 5" xfId="25081"/>
    <cellStyle name="Total 4 4 5 2 5" xfId="25082"/>
    <cellStyle name="Total 5 3 5 2 5" xfId="25083"/>
    <cellStyle name="20% - Accent1 6 3 4 2 2" xfId="25084"/>
    <cellStyle name="20% - Accent2 6 3 4 2 2" xfId="25085"/>
    <cellStyle name="20% - Accent3 6 3 4 2 2" xfId="25086"/>
    <cellStyle name="20% - Accent4 6 3 4 2 2" xfId="25087"/>
    <cellStyle name="20% - Accent5 6 3 4 2 2" xfId="25088"/>
    <cellStyle name="20% - Accent6 6 3 4 2 2" xfId="25089"/>
    <cellStyle name="40% - Accent1 6 3 4 2 2" xfId="25090"/>
    <cellStyle name="40% - Accent2 6 3 4 2 2" xfId="25091"/>
    <cellStyle name="40% - Accent3 6 3 4 2 2" xfId="25092"/>
    <cellStyle name="40% - Accent4 6 3 4 2 2" xfId="25093"/>
    <cellStyle name="40% - Accent5 6 3 4 2 2" xfId="25094"/>
    <cellStyle name="40% - Accent6 6 3 4 2 2" xfId="25095"/>
    <cellStyle name="Input 18 6 2 5" xfId="25096"/>
    <cellStyle name="Normal 10 7 4 2 2" xfId="25097"/>
    <cellStyle name="Normal 11 7 4 2 2" xfId="25098"/>
    <cellStyle name="Normal 14 5 4 2 2" xfId="25099"/>
    <cellStyle name="Normal 2 2 2 4 4 2 2" xfId="25100"/>
    <cellStyle name="Normal 8 8 4 2 2" xfId="25101"/>
    <cellStyle name="Calculation 12 6 2 5" xfId="25102"/>
    <cellStyle name="Input 19 6 2 5" xfId="25103"/>
    <cellStyle name="Note 13 6 2 5" xfId="25104"/>
    <cellStyle name="Output 13 6 2 5" xfId="25105"/>
    <cellStyle name="Total 13 6 2 5" xfId="25106"/>
    <cellStyle name="Normal 8 9 4 2 2" xfId="25107"/>
    <cellStyle name="Comma 13 4 4 2 2" xfId="25108"/>
    <cellStyle name="Currency 7 5 4 2 2" xfId="25109"/>
    <cellStyle name="Calculation 2 8 6 2 5" xfId="25110"/>
    <cellStyle name="Calculation 3 4 6 2 5" xfId="25111"/>
    <cellStyle name="Calculation 4 4 6 2 5" xfId="25112"/>
    <cellStyle name="Calculation 5 3 6 2 5" xfId="25113"/>
    <cellStyle name="Input 2 8 6 2 5" xfId="25114"/>
    <cellStyle name="Input 3 4 6 2 5" xfId="25115"/>
    <cellStyle name="Input 4 4 6 2 5" xfId="25116"/>
    <cellStyle name="Input 5 4 6 2 5" xfId="25117"/>
    <cellStyle name="Normal 10 8 4 2 2" xfId="25118"/>
    <cellStyle name="Note 2 8 6 2 5" xfId="25119"/>
    <cellStyle name="Note 2 2 5 6 2 5" xfId="25120"/>
    <cellStyle name="Note 3 6 6 2 5" xfId="25121"/>
    <cellStyle name="Note 3 2 6 6 2 5" xfId="25122"/>
    <cellStyle name="Note 4 5 6 2 5" xfId="25123"/>
    <cellStyle name="Note 4 2 4 6 2 5" xfId="25124"/>
    <cellStyle name="Note 5 4 6 2 5" xfId="25125"/>
    <cellStyle name="Note 5 2 3 6 2 5" xfId="25126"/>
    <cellStyle name="Note 6 4 6 2 5" xfId="25127"/>
    <cellStyle name="Note 6 2 3 6 2 5" xfId="25128"/>
    <cellStyle name="Note 7 4 6 2 5" xfId="25129"/>
    <cellStyle name="Note 7 2 3 6 2 5" xfId="25130"/>
    <cellStyle name="Note 8 3 6 2 5" xfId="25131"/>
    <cellStyle name="Output 2 9 6 2 5" xfId="25132"/>
    <cellStyle name="Output 3 5 6 2 5" xfId="25133"/>
    <cellStyle name="Output 4 5 6 2 5" xfId="25134"/>
    <cellStyle name="Output 5 4 6 2 5" xfId="25135"/>
    <cellStyle name="Total 2 10 6 2 5" xfId="25136"/>
    <cellStyle name="Total 3 5 6 2 5" xfId="25137"/>
    <cellStyle name="Total 4 5 6 2 5" xfId="25138"/>
    <cellStyle name="Total 5 4 6 2 5" xfId="25139"/>
    <cellStyle name="Normal 11 8 4 2 2" xfId="25140"/>
    <cellStyle name="Normal 14 6 4 2 2" xfId="25141"/>
    <cellStyle name="Normal 43 3 4 2 2" xfId="25142"/>
    <cellStyle name="Normal 44 3 4 2 2" xfId="25143"/>
    <cellStyle name="Input 20 6 2 5" xfId="25144"/>
    <cellStyle name="Normal 8 10 4 2 2" xfId="25145"/>
    <cellStyle name="Comma 13 5 4 2 2" xfId="25146"/>
    <cellStyle name="Currency 7 6 4 2 2" xfId="25147"/>
    <cellStyle name="Normal 10 9 4 2 2" xfId="25148"/>
    <cellStyle name="Normal 11 9 4 2 2" xfId="25149"/>
    <cellStyle name="Normal 14 7 4 2 2" xfId="25150"/>
    <cellStyle name="Normal 43 4 4 2 2" xfId="25151"/>
    <cellStyle name="Normal 44 4 4 2 2" xfId="25152"/>
    <cellStyle name="Normal 355 4 2 2" xfId="25153"/>
    <cellStyle name="Comma 22 4 2 2" xfId="25154"/>
    <cellStyle name="Input 21 6 2 5" xfId="25155"/>
    <cellStyle name="Normal 8 11 4 2 2" xfId="25156"/>
    <cellStyle name="Comma 13 6 4 2 2" xfId="25157"/>
    <cellStyle name="Currency 7 7 4 2 2" xfId="25158"/>
    <cellStyle name="Normal 10 10 4 2 2" xfId="25159"/>
    <cellStyle name="Normal 11 10 4 2 2" xfId="25160"/>
    <cellStyle name="Normal 14 8 4 2 2" xfId="25161"/>
    <cellStyle name="Normal 43 5 4 2 2" xfId="25162"/>
    <cellStyle name="Normal 44 5 4 2 2" xfId="25163"/>
    <cellStyle name="Normal 356 2 2 2" xfId="25164"/>
    <cellStyle name="Input 10 3 2 2 5" xfId="25165"/>
    <cellStyle name="Input 2 4 4 2 2 5" xfId="25166"/>
    <cellStyle name="Input 7 4 2 2 5" xfId="25167"/>
    <cellStyle name="Note 4 2 6 4 2 5" xfId="25168"/>
    <cellStyle name="Note 3 3 3 4 2 5" xfId="25169"/>
    <cellStyle name="Note 2 5 3 4 2 5" xfId="25170"/>
    <cellStyle name="Note 2 4 2 3 4 2 5" xfId="25171"/>
    <cellStyle name="Note 2 3 2 3 4 2 5" xfId="25172"/>
    <cellStyle name="Note 2 2 2 3 4 2 5" xfId="25173"/>
    <cellStyle name="Input 6 6 2 5" xfId="25174"/>
    <cellStyle name="Input 4 7 2 5" xfId="25175"/>
    <cellStyle name="Input 2 4 5 2 5" xfId="25176"/>
    <cellStyle name="Input 2 2 4 5 2 5" xfId="25177"/>
    <cellStyle name="Input 2 2 2 5 2 5" xfId="25178"/>
    <cellStyle name="Input 2 12 2 5" xfId="25179"/>
    <cellStyle name="Input 24 2 5" xfId="25180"/>
    <cellStyle name="Note 14 2 5" xfId="25181"/>
    <cellStyle name="Note 2 11 2 5" xfId="25182"/>
    <cellStyle name="Note 2 2 8 2 5" xfId="25183"/>
    <cellStyle name="Calculation 2 9 4 2 5" xfId="25184"/>
    <cellStyle name="Calculation 2 2 5 4 2 5" xfId="25185"/>
    <cellStyle name="Calculation 2 2 2 2 4 2 5" xfId="25186"/>
    <cellStyle name="Calculation 2 2 3 2 4 2 5" xfId="25187"/>
    <cellStyle name="Calculation 2 2 4 2 4 2 5" xfId="25188"/>
    <cellStyle name="Calculation 2 3 2 4 2 5" xfId="25189"/>
    <cellStyle name="Calculation 2 4 2 4 2 5" xfId="25190"/>
    <cellStyle name="Calculation 2 5 2 4 2 5" xfId="25191"/>
    <cellStyle name="Calculation 3 5 4 2 5" xfId="25192"/>
    <cellStyle name="Note 3 2 10 2 5" xfId="25193"/>
    <cellStyle name="Note 3 2 2 5 2 5" xfId="25194"/>
    <cellStyle name="Note 4 8 2 5" xfId="25195"/>
    <cellStyle name="Output 3 8 2 2 5" xfId="25196"/>
    <cellStyle name="Calculation 2 3 5 2 5" xfId="25197"/>
    <cellStyle name="Calculation 2 2 4 5 2 5" xfId="25198"/>
    <cellStyle name="Calculation 2 2 3 5 2 5" xfId="25199"/>
    <cellStyle name="Calculation 2 2 2 5 2 5" xfId="25200"/>
    <cellStyle name="Calculation 2 2 8 2 5" xfId="25201"/>
    <cellStyle name="Calculation 13 2 5" xfId="25202"/>
    <cellStyle name="Comma 3 2 2 8 3 2 2 2" xfId="25203"/>
    <cellStyle name="Comma 3 4 5 3 2 2 2" xfId="25204"/>
    <cellStyle name="Comma 3 5 5 3 2 2 2" xfId="25205"/>
    <cellStyle name="Comma 4 2 8 3 2 2 2" xfId="25206"/>
    <cellStyle name="Comma 6 10 2 2 2 2" xfId="25207"/>
    <cellStyle name="Comma 8 6 2 2 2 2" xfId="25208"/>
    <cellStyle name="Total 2 2 2 4 2 2 5" xfId="25209"/>
    <cellStyle name="Total 2 2 4 4 2 2 5" xfId="25210"/>
    <cellStyle name="Normal 358 2 2" xfId="25211"/>
    <cellStyle name="Normal 359 2 2" xfId="25212"/>
    <cellStyle name="Total 14 2 5" xfId="25213"/>
    <cellStyle name="Header2 2 4 2 5" xfId="25214"/>
    <cellStyle name="Input 2 5 3 4 2 5" xfId="25215"/>
    <cellStyle name="Input 2 9 4 2 5" xfId="25216"/>
    <cellStyle name="Input 2 2 5 4 2 5" xfId="25217"/>
    <cellStyle name="Input 2 2 2 2 4 2 5" xfId="25218"/>
    <cellStyle name="Input 2 2 3 2 4 2 5" xfId="25219"/>
    <cellStyle name="Input 2 2 4 2 4 2 5" xfId="25220"/>
    <cellStyle name="Input 2 3 2 4 2 5" xfId="25221"/>
    <cellStyle name="Input 2 4 2 4 2 5" xfId="25222"/>
    <cellStyle name="Input 2 5 2 4 2 5" xfId="25223"/>
    <cellStyle name="Input 3 5 4 2 5" xfId="25224"/>
    <cellStyle name="Input 4 5 4 2 5" xfId="25225"/>
    <cellStyle name="Input 5 5 4 2 5" xfId="25226"/>
    <cellStyle name="Input 6 3 4 2 5" xfId="25227"/>
    <cellStyle name="Input 7 2 4 2 5" xfId="25228"/>
    <cellStyle name="Input 8 2 4 2 5" xfId="25229"/>
    <cellStyle name="Normal 10 3 2 2 2 2" xfId="25230"/>
    <cellStyle name="Normal 11 11 2 2 2" xfId="25231"/>
    <cellStyle name="Calculation 2 5 3 4 2 5" xfId="25232"/>
    <cellStyle name="Comma 19 2 2 2 2" xfId="25233"/>
    <cellStyle name="Total 2 4 3 4 2 5" xfId="25234"/>
    <cellStyle name="Total 2 2 4 3 4 2 5" xfId="25235"/>
    <cellStyle name="Total 2 2 3 3 4 2 5" xfId="25236"/>
    <cellStyle name="Total 2 12 4 2 5" xfId="25237"/>
    <cellStyle name="Output 14 2 5" xfId="25238"/>
    <cellStyle name="Note 2 4 6 2 5" xfId="25239"/>
    <cellStyle name="Normal 18 5 2 2 2" xfId="25240"/>
    <cellStyle name="Calculation 2 2 7 2 2 5" xfId="25241"/>
    <cellStyle name="Calculation 2 2 4 4 2 2 5" xfId="25242"/>
    <cellStyle name="Normal 20 5 2 2 2" xfId="25243"/>
    <cellStyle name="Header2 3 2 2 5" xfId="25244"/>
    <cellStyle name="Input 2 2 7 2 2 5" xfId="25245"/>
    <cellStyle name="Input 2 3 4 2 2 5" xfId="25246"/>
    <cellStyle name="Input [yellow] 3 2 5" xfId="25247"/>
    <cellStyle name="Normal 4 2 7 2 2 2" xfId="25248"/>
    <cellStyle name="Normal 4 2 2 5 2 2 2" xfId="25249"/>
    <cellStyle name="Normal 4 3 8 2 2 2" xfId="25250"/>
    <cellStyle name="Normal 4 4 5 2 2 2" xfId="25251"/>
    <cellStyle name="Normal 4 7 2 2 2 2" xfId="25252"/>
    <cellStyle name="Normal 49 5 2 2 2" xfId="25253"/>
    <cellStyle name="Normal 5 4 2 2 2 2" xfId="25254"/>
    <cellStyle name="Normal 51 3 2 2 2 2" xfId="25255"/>
    <cellStyle name="Normal 52 3 2 2 2 2" xfId="25256"/>
    <cellStyle name="Normal 6 4 2 2 2 2" xfId="25257"/>
    <cellStyle name="Normal 7 4 2 2 2 2" xfId="25258"/>
    <cellStyle name="Total 2 2 7 2 2 5" xfId="25259"/>
    <cellStyle name="Total 2 4 4 2 2 5" xfId="25260"/>
    <cellStyle name="Normal 8 4 2 2 2 2" xfId="25261"/>
    <cellStyle name="Normal 9 3 2 2 2 2" xfId="25262"/>
    <cellStyle name="Note 2 9 4 2 5" xfId="25263"/>
    <cellStyle name="Note 2 2 6 4 2 5" xfId="25264"/>
    <cellStyle name="Note 2 3 3 4 2 5" xfId="25265"/>
    <cellStyle name="Note 2 4 3 4 2 5" xfId="25266"/>
    <cellStyle name="Note 3 7 4 2 5" xfId="25267"/>
    <cellStyle name="Note 3 2 7 4 2 5" xfId="25268"/>
    <cellStyle name="Output 2 10 4 2 5" xfId="25269"/>
    <cellStyle name="Output 2 2 5 4 2 5" xfId="25270"/>
    <cellStyle name="Output 2 2 2 2 4 2 5" xfId="25271"/>
    <cellStyle name="Output 2 2 3 2 4 2 5" xfId="25272"/>
    <cellStyle name="Output 2 2 4 2 4 2 5" xfId="25273"/>
    <cellStyle name="Output 2 3 2 4 2 5" xfId="25274"/>
    <cellStyle name="Output 2 4 2 4 2 5" xfId="25275"/>
    <cellStyle name="Output 2 5 2 4 2 5" xfId="25276"/>
    <cellStyle name="Output 3 6 4 2 5" xfId="25277"/>
    <cellStyle name="Input 7 3 4 2 5" xfId="25278"/>
    <cellStyle name="Input 5 6 4 2 5" xfId="25279"/>
    <cellStyle name="Input 3 6 4 2 5" xfId="25280"/>
    <cellStyle name="Input 2 4 3 4 2 5" xfId="25281"/>
    <cellStyle name="Input 2 2 4 3 4 2 5" xfId="25282"/>
    <cellStyle name="Input 2 2 2 3 4 2 5" xfId="25283"/>
    <cellStyle name="Input 2 10 4 2 5" xfId="25284"/>
    <cellStyle name="Percent 18 5 2 2 2" xfId="25285"/>
    <cellStyle name="Percent 2 2 2 5 3 2 2 2" xfId="25286"/>
    <cellStyle name="Percent 20 5 2 2 2" xfId="25287"/>
    <cellStyle name="Calculation 3 6 4 2 5" xfId="25288"/>
    <cellStyle name="Calculation 2 4 3 4 2 5" xfId="25289"/>
    <cellStyle name="Calculation 2 2 4 3 4 2 5" xfId="25290"/>
    <cellStyle name="Calculation 2 2 2 3 4 2 5" xfId="25291"/>
    <cellStyle name="Calculation 2 10 4 2 5" xfId="25292"/>
    <cellStyle name="StmtTtl2 2 4 2 5" xfId="25293"/>
    <cellStyle name="Total 2 11 4 2 5" xfId="25294"/>
    <cellStyle name="Total 2 2 5 4 2 5" xfId="25295"/>
    <cellStyle name="Total 2 2 2 2 4 2 5" xfId="25296"/>
    <cellStyle name="Total 2 2 3 2 4 2 5" xfId="25297"/>
    <cellStyle name="Total 2 2 4 2 4 2 5" xfId="25298"/>
    <cellStyle name="Total 2 3 2 4 2 5" xfId="25299"/>
    <cellStyle name="Total 2 4 2 4 2 5" xfId="25300"/>
    <cellStyle name="Total 2 5 2 4 2 5" xfId="25301"/>
    <cellStyle name="Total 2 6 2 4 2 5" xfId="25302"/>
    <cellStyle name="Total 3 6 4 2 5" xfId="25303"/>
    <cellStyle name="20% - Accent1 4 3 2 2 2" xfId="25304"/>
    <cellStyle name="20% - Accent2 4 3 2 2 2" xfId="25305"/>
    <cellStyle name="20% - Accent3 4 3 2 2 2" xfId="25306"/>
    <cellStyle name="20% - Accent4 4 3 2 2 2" xfId="25307"/>
    <cellStyle name="20% - Accent5 4 3 2 2 2" xfId="25308"/>
    <cellStyle name="20% - Accent6 4 3 2 2 2" xfId="25309"/>
    <cellStyle name="40% - Accent1 4 3 2 2 2" xfId="25310"/>
    <cellStyle name="40% - Accent2 4 3 2 2 2" xfId="25311"/>
    <cellStyle name="40% - Accent3 4 3 2 2 2" xfId="25312"/>
    <cellStyle name="40% - Accent4 4 3 2 2 2" xfId="25313"/>
    <cellStyle name="40% - Accent5 4 3 2 2 2" xfId="25314"/>
    <cellStyle name="40% - Accent6 4 3 2 2 2" xfId="25315"/>
    <cellStyle name="Output 2 5 3 4 2 5" xfId="25316"/>
    <cellStyle name="Input 8 5 2 5" xfId="25317"/>
    <cellStyle name="Note 3 9 2 5" xfId="25318"/>
    <cellStyle name="Note 2 3 5 2 2 5" xfId="25319"/>
    <cellStyle name="Note 2 4 5 2 2 5" xfId="25320"/>
    <cellStyle name="Note 3 2 9 2 2 5" xfId="25321"/>
    <cellStyle name="Output 2 12 2 2 5" xfId="25322"/>
    <cellStyle name="Output 2 2 7 2 2 5" xfId="25323"/>
    <cellStyle name="Output 2 2 2 4 2 2 5" xfId="25324"/>
    <cellStyle name="Output 2 3 4 2 2 5" xfId="25325"/>
    <cellStyle name="Output 2 4 4 2 2 5" xfId="25326"/>
    <cellStyle name="Normal 11 3 3 2 2 2 2" xfId="25327"/>
    <cellStyle name="Calculation 2 4 4 2 2 5" xfId="25328"/>
    <cellStyle name="Normal 18 3 3 2 2 2 2" xfId="25329"/>
    <cellStyle name="Normal 182 3 2 2 2 2" xfId="25330"/>
    <cellStyle name="Normal 183 3 2 2 2 2" xfId="25331"/>
    <cellStyle name="Normal 184 3 2 2 2 2" xfId="25332"/>
    <cellStyle name="Normal 185 2 3 2 2 2 2" xfId="25333"/>
    <cellStyle name="Normal 199 3 2 2 2 2" xfId="25334"/>
    <cellStyle name="Normal 20 3 3 2 2 2 2" xfId="25335"/>
    <cellStyle name="Input 2 2 2 4 2 2 5" xfId="25336"/>
    <cellStyle name="Normal 221 2 2 2 2 2" xfId="25337"/>
    <cellStyle name="Normal 222 2 2 2 2 2" xfId="25338"/>
    <cellStyle name="Output 2 3 3 4 2 5" xfId="25339"/>
    <cellStyle name="Output 2 2 3 3 4 2 5" xfId="25340"/>
    <cellStyle name="Output 2 2 6 4 2 5" xfId="25341"/>
    <cellStyle name="Note 4 7 4 2 5" xfId="25342"/>
    <cellStyle name="Note 3 2 2 3 4 2 5" xfId="25343"/>
    <cellStyle name="Note 3 8 4 2 5" xfId="25344"/>
    <cellStyle name="Note 2 4 4 4 2 5" xfId="25345"/>
    <cellStyle name="Note 2 2 7 4 2 5" xfId="25346"/>
    <cellStyle name="Normal 264 2 2 2 2" xfId="25347"/>
    <cellStyle name="Input 7 5 2 5" xfId="25348"/>
    <cellStyle name="Input 3 7 2 5" xfId="25349"/>
    <cellStyle name="Input 2 2 3 5 2 5" xfId="25350"/>
    <cellStyle name="Normal 3 3 2 3 2 2 2 2" xfId="25351"/>
    <cellStyle name="Normal 4 2 2 2 3 2 2 2 2" xfId="25352"/>
    <cellStyle name="Normal 4 2 2 4 2 2 2 2" xfId="25353"/>
    <cellStyle name="Normal 4 2 3 3 2 2 2 2" xfId="25354"/>
    <cellStyle name="Normal 4 2 5 2 2 2 2" xfId="25355"/>
    <cellStyle name="Normal 4 3 2 3 2 2 2 2" xfId="25356"/>
    <cellStyle name="Normal 4 3 5 2 2 2 2" xfId="25357"/>
    <cellStyle name="Normal 4 3 6 2 2 2 2" xfId="25358"/>
    <cellStyle name="Normal 4 4 2 3 2 2 2 2" xfId="25359"/>
    <cellStyle name="Normal 4 4 4 2 2 2 2" xfId="25360"/>
    <cellStyle name="Normal 49 3 3 2 2 2 2" xfId="25361"/>
    <cellStyle name="Normal 5 2 3 2 2 2 2" xfId="25362"/>
    <cellStyle name="Normal 6 2 3 2 2 2 2" xfId="25363"/>
    <cellStyle name="Normal 7 2 3 2 2 2 2" xfId="25364"/>
    <cellStyle name="Normal 8 2 3 2 2 2 2" xfId="25365"/>
    <cellStyle name="Note 3 2 2 2 4 2 5" xfId="25366"/>
    <cellStyle name="Note 4 6 4 2 5" xfId="25367"/>
    <cellStyle name="Comma 23 2 2 2" xfId="25368"/>
    <cellStyle name="Percent 240 2 2 2" xfId="25369"/>
    <cellStyle name="Calculation 2 12 2 5" xfId="25370"/>
    <cellStyle name="Calculation 2 4 5 2 5" xfId="25371"/>
    <cellStyle name="Total 2 13 2 2 5" xfId="25372"/>
    <cellStyle name="Total 3 8 2 2 5" xfId="25373"/>
    <cellStyle name="Total 2 3 4 2 2 5" xfId="25374"/>
    <cellStyle name="Total 3 7 4 2 5" xfId="25375"/>
    <cellStyle name="Total 2 5 3 4 2 5" xfId="25376"/>
    <cellStyle name="Total 2 3 3 4 2 5" xfId="25377"/>
    <cellStyle name="Total 2 2 6 4 2 5" xfId="25378"/>
    <cellStyle name="Total 2 2 2 3 4 2 5" xfId="25379"/>
    <cellStyle name="StmtTtl2 3 4 2 5" xfId="25380"/>
    <cellStyle name="Calculation 2 11 2 2 5" xfId="25381"/>
    <cellStyle name="Input 23 2 5" xfId="25382"/>
    <cellStyle name="Input 2 11 2 2 5" xfId="25383"/>
    <cellStyle name="Input 2 2 4 4 2 2 5" xfId="25384"/>
    <cellStyle name="Input 8 4 2 2 5" xfId="25385"/>
    <cellStyle name="Output 3 7 4 2 5" xfId="25386"/>
    <cellStyle name="Input 22 2 5" xfId="25387"/>
    <cellStyle name="Header2 4 2 2 5" xfId="25388"/>
    <cellStyle name="StmtTtl2 4 2 2 5" xfId="25389"/>
    <cellStyle name="Total 2 2 3 4 2 2 5" xfId="25390"/>
    <cellStyle name="Total 2 5 4 2 2 5" xfId="25391"/>
    <cellStyle name="Note 2 5 2 4 2 5" xfId="25392"/>
    <cellStyle name="Note 2 2 2 2 4 2 5" xfId="25393"/>
    <cellStyle name="Note 2 3 2 2 4 2 5" xfId="25394"/>
    <cellStyle name="Note 2 4 2 2 4 2 5" xfId="25395"/>
    <cellStyle name="Note 3 3 2 4 2 5" xfId="25396"/>
    <cellStyle name="Input 8 3 4 2 5" xfId="25397"/>
    <cellStyle name="Input 6 4 4 2 5" xfId="25398"/>
    <cellStyle name="Input 4 6 4 2 5" xfId="25399"/>
    <cellStyle name="Input 2 3 3 4 2 5" xfId="25400"/>
    <cellStyle name="Input 2 2 3 3 4 2 5" xfId="25401"/>
    <cellStyle name="Input 2 2 6 4 2 5" xfId="25402"/>
    <cellStyle name="Calculation 2 3 3 4 2 5" xfId="25403"/>
    <cellStyle name="Calculation 2 2 3 3 4 2 5" xfId="25404"/>
    <cellStyle name="Calculation 2 2 6 4 2 5" xfId="25405"/>
    <cellStyle name="Calculation 3 8 2 5" xfId="25406"/>
    <cellStyle name="Note 3 2 2 4 2 2 5" xfId="25407"/>
    <cellStyle name="Output 2 2 4 4 2 2 5" xfId="25408"/>
    <cellStyle name="Output 2 2 3 4 2 2 5" xfId="25409"/>
    <cellStyle name="Input 2 2 3 4 2 2 5" xfId="25410"/>
    <cellStyle name="Output 2 4 3 4 2 5" xfId="25411"/>
    <cellStyle name="Output 2 2 4 3 4 2 5" xfId="25412"/>
    <cellStyle name="Output 2 2 2 3 4 2 5" xfId="25413"/>
    <cellStyle name="Output 2 11 4 2 5" xfId="25414"/>
    <cellStyle name="Note 3 2 8 4 2 5" xfId="25415"/>
    <cellStyle name="Note 2 3 4 4 2 5" xfId="25416"/>
    <cellStyle name="Note 2 10 4 2 5" xfId="25417"/>
    <cellStyle name="Input 5 8 2 5" xfId="25418"/>
    <cellStyle name="Input 2 3 5 2 5" xfId="25419"/>
    <cellStyle name="Input 2 2 8 2 5" xfId="25420"/>
    <cellStyle name="Note 4 2 5 4 2 5" xfId="25421"/>
    <cellStyle name="Style 21 5 2 5" xfId="25422"/>
    <cellStyle name="Style 21 2 5 2 5" xfId="25423"/>
    <cellStyle name="Style 22 5 2 5" xfId="25424"/>
    <cellStyle name="Style 22 2 5 2 5" xfId="25425"/>
    <cellStyle name="Style 23 5 2 5" xfId="25426"/>
    <cellStyle name="Style 23 2 5 2 5" xfId="25427"/>
    <cellStyle name="Style 24 5 2 5" xfId="25428"/>
    <cellStyle name="Style 24 2 5 2 5" xfId="25429"/>
    <cellStyle name="Style 25 5 2 5" xfId="25430"/>
    <cellStyle name="Style 25 2 5 2 5" xfId="25431"/>
    <cellStyle name="Style 26 5 2 5" xfId="25432"/>
    <cellStyle name="Style 26 2 5 2 5" xfId="25433"/>
    <cellStyle name="styleColumnTitles 5 2 5" xfId="25434"/>
    <cellStyle name="styleColumnTitles 2 5 2 5" xfId="25435"/>
    <cellStyle name="styleDateRange 5 2 5" xfId="25436"/>
    <cellStyle name="styleDateRange 2 5 2 5" xfId="25437"/>
    <cellStyle name="styleSeriesAttributes 5 2 5" xfId="25438"/>
    <cellStyle name="styleSeriesAttributes 2 5 2 5" xfId="25439"/>
    <cellStyle name="styleSeriesData 5 2 5" xfId="25440"/>
    <cellStyle name="styleSeriesData 2 5 2 5" xfId="25441"/>
    <cellStyle name="styleSeriesDataForecast 5 2 5" xfId="25442"/>
    <cellStyle name="styleSeriesDataForecast 2 5 2 5" xfId="25443"/>
    <cellStyle name="styleSeriesDataForecastNA 5 2 5" xfId="25444"/>
    <cellStyle name="styleSeriesDataForecastNA 2 5 2 5" xfId="25445"/>
    <cellStyle name="styleSeriesDataNA 5 2 5" xfId="25446"/>
    <cellStyle name="styleSeriesDataNA 2 5 2 5" xfId="25447"/>
    <cellStyle name="Style 21 2 2 4 2 5" xfId="25448"/>
    <cellStyle name="Style 22 2 2 4 2 5" xfId="25449"/>
    <cellStyle name="Style 23 2 2 4 2 5" xfId="25450"/>
    <cellStyle name="Style 24 2 2 4 2 5" xfId="25451"/>
    <cellStyle name="Style 25 2 2 4 2 5" xfId="25452"/>
    <cellStyle name="Style 26 2 2 4 2 5" xfId="25453"/>
    <cellStyle name="styleColumnTitles 2 2 4 2 5" xfId="25454"/>
    <cellStyle name="styleDateRange 2 2 4 2 5" xfId="25455"/>
    <cellStyle name="styleSeriesAttributes 2 2 4 2 5" xfId="25456"/>
    <cellStyle name="styleSeriesData 2 2 4 2 5" xfId="25457"/>
    <cellStyle name="styleSeriesDataForecast 2 2 4 2 5" xfId="25458"/>
    <cellStyle name="styleSeriesDataForecastNA 2 2 4 2 5" xfId="25459"/>
    <cellStyle name="styleSeriesDataNA 2 2 4 2 5" xfId="25460"/>
    <cellStyle name="Calculation 3 7 2 2 5" xfId="25461"/>
    <cellStyle name="Calculation 2 3 4 2 2 5" xfId="25462"/>
    <cellStyle name="Calculation 2 2 3 4 2 2 5" xfId="25463"/>
    <cellStyle name="Calculation 2 2 2 4 2 2 5" xfId="25464"/>
    <cellStyle name="Note 2 3 6 2 5" xfId="25465"/>
    <cellStyle name="Total 2 6 3 4 2 5" xfId="25466"/>
    <cellStyle name="Normal 357 2 2" xfId="25467"/>
    <cellStyle name="Normal 345 4 2 2 2" xfId="25468"/>
    <cellStyle name="Comma 20 2 2 2 2" xfId="25469"/>
    <cellStyle name="20% - Accent1 6 4 2 2 2" xfId="25470"/>
    <cellStyle name="20% - Accent2 6 4 2 2 2" xfId="25471"/>
    <cellStyle name="20% - Accent3 6 4 2 2 2" xfId="25472"/>
    <cellStyle name="20% - Accent4 6 4 2 2 2" xfId="25473"/>
    <cellStyle name="20% - Accent5 6 4 2 2 2" xfId="25474"/>
    <cellStyle name="20% - Accent6 6 4 2 2 2" xfId="25475"/>
    <cellStyle name="40% - Accent1 6 4 2 2 2" xfId="25476"/>
    <cellStyle name="40% - Accent2 6 4 2 2 2" xfId="25477"/>
    <cellStyle name="40% - Accent3 6 4 2 2 2" xfId="25478"/>
    <cellStyle name="40% - Accent4 6 4 2 2 2" xfId="25479"/>
    <cellStyle name="40% - Accent5 6 4 2 2 2" xfId="25480"/>
    <cellStyle name="40% - Accent6 6 4 2 2 2" xfId="25481"/>
    <cellStyle name="Calculation 7 2 4 2 5" xfId="25482"/>
    <cellStyle name="Calculation 2 6 2 4 2 5" xfId="25483"/>
    <cellStyle name="Calculation 3 2 2 4 2 5" xfId="25484"/>
    <cellStyle name="Calculation 4 2 2 4 2 5" xfId="25485"/>
    <cellStyle name="Calculation 5 4 4 2 5" xfId="25486"/>
    <cellStyle name="Output 9 2 4 2 5" xfId="25487"/>
    <cellStyle name="Input 10 2 4 2 5" xfId="25488"/>
    <cellStyle name="Input 2 6 2 4 2 5" xfId="25489"/>
    <cellStyle name="Input 3 2 2 4 2 5" xfId="25490"/>
    <cellStyle name="Input 4 2 2 4 2 5" xfId="25491"/>
    <cellStyle name="Input 5 2 2 4 2 5" xfId="25492"/>
    <cellStyle name="Normal 10 5 2 2 2 2" xfId="25493"/>
    <cellStyle name="Normal 11 5 2 2 2 2" xfId="25494"/>
    <cellStyle name="Normal 14 3 2 2 2 2" xfId="25495"/>
    <cellStyle name="Normal 2 2 2 2 2 2 2 2" xfId="25496"/>
    <cellStyle name="Normal 8 6 2 2 2 2" xfId="25497"/>
    <cellStyle name="Note 11 2 4 2 5" xfId="25498"/>
    <cellStyle name="Note 2 6 2 4 2 5" xfId="25499"/>
    <cellStyle name="Note 2 2 3 2 4 2 5" xfId="25500"/>
    <cellStyle name="Note 3 4 2 4 2 5" xfId="25501"/>
    <cellStyle name="Note 3 2 4 2 4 2 5" xfId="25502"/>
    <cellStyle name="Note 4 3 2 4 2 5" xfId="25503"/>
    <cellStyle name="Note 4 2 2 2 4 2 5" xfId="25504"/>
    <cellStyle name="Note 5 5 4 2 5" xfId="25505"/>
    <cellStyle name="Note 5 2 4 4 2 5" xfId="25506"/>
    <cellStyle name="Note 6 5 4 2 5" xfId="25507"/>
    <cellStyle name="Note 6 2 4 4 2 5" xfId="25508"/>
    <cellStyle name="Note 7 5 4 2 5" xfId="25509"/>
    <cellStyle name="Note 7 2 4 4 2 5" xfId="25510"/>
    <cellStyle name="Note 8 4 4 2 5" xfId="25511"/>
    <cellStyle name="Note 9 3 4 2 5" xfId="25512"/>
    <cellStyle name="Output 7 2 4 2 5" xfId="25513"/>
    <cellStyle name="Output 2 6 2 4 2 5" xfId="25514"/>
    <cellStyle name="Output 3 2 2 4 2 5" xfId="25515"/>
    <cellStyle name="Output 4 2 2 4 2 5" xfId="25516"/>
    <cellStyle name="Output 5 5 4 2 5" xfId="25517"/>
    <cellStyle name="Input 5 7 2 2 5" xfId="25518"/>
    <cellStyle name="Input 6 5 2 2 5" xfId="25519"/>
    <cellStyle name="Total 7 2 4 2 5" xfId="25520"/>
    <cellStyle name="Total 2 7 2 4 2 5" xfId="25521"/>
    <cellStyle name="Total 3 2 2 4 2 5" xfId="25522"/>
    <cellStyle name="Total 4 2 2 4 2 5" xfId="25523"/>
    <cellStyle name="Total 5 5 4 2 5" xfId="25524"/>
    <cellStyle name="Calculation 8 2 4 2 5" xfId="25525"/>
    <cellStyle name="Input 12 2 4 2 5" xfId="25526"/>
    <cellStyle name="Input 11 2 4 2 5" xfId="25527"/>
    <cellStyle name="Calculation 9 2 4 2 5" xfId="25528"/>
    <cellStyle name="Output 8 2 4 2 5" xfId="25529"/>
    <cellStyle name="Total 8 2 4 2 5" xfId="25530"/>
    <cellStyle name="Total 9 2 4 2 5" xfId="25531"/>
    <cellStyle name="20% - Accent1 6 2 2 2 2 2" xfId="25532"/>
    <cellStyle name="20% - Accent2 6 2 2 2 2 2" xfId="25533"/>
    <cellStyle name="20% - Accent3 6 2 2 2 2 2" xfId="25534"/>
    <cellStyle name="20% - Accent4 6 2 2 2 2 2" xfId="25535"/>
    <cellStyle name="20% - Accent5 6 2 2 2 2 2" xfId="25536"/>
    <cellStyle name="20% - Accent6 6 2 2 2 2 2" xfId="25537"/>
    <cellStyle name="40% - Accent1 6 2 2 2 2 2" xfId="25538"/>
    <cellStyle name="40% - Accent2 6 2 2 2 2 2" xfId="25539"/>
    <cellStyle name="40% - Accent3 6 2 2 2 2 2" xfId="25540"/>
    <cellStyle name="40% - Accent4 6 2 2 2 2 2" xfId="25541"/>
    <cellStyle name="Output 5 2 2 4 2 5" xfId="25542"/>
    <cellStyle name="Output 4 3 2 4 2 5" xfId="25543"/>
    <cellStyle name="Output 3 3 2 4 2 5" xfId="25544"/>
    <cellStyle name="Output 2 7 2 4 2 5" xfId="25545"/>
    <cellStyle name="Output 11 2 4 2 5" xfId="25546"/>
    <cellStyle name="40% - Accent5 6 2 2 2 2 2" xfId="25547"/>
    <cellStyle name="40% - Accent6 6 2 2 2 2 2" xfId="25548"/>
    <cellStyle name="Input 5 3 2 4 2 5" xfId="25549"/>
    <cellStyle name="Input 4 3 2 4 2 5" xfId="25550"/>
    <cellStyle name="Input 3 3 2 4 2 5" xfId="25551"/>
    <cellStyle name="Input 2 7 2 4 2 5" xfId="25552"/>
    <cellStyle name="Calculation 10 2 4 2 5" xfId="25553"/>
    <cellStyle name="Input 14 2 4 2 5" xfId="25554"/>
    <cellStyle name="Input 16 2 4 2 5" xfId="25555"/>
    <cellStyle name="Input 17 2 4 2 5" xfId="25556"/>
    <cellStyle name="Input 15 2 4 2 5" xfId="25557"/>
    <cellStyle name="Input 13 2 4 2 5" xfId="25558"/>
    <cellStyle name="Calculation 5 2 2 4 2 5" xfId="25559"/>
    <cellStyle name="Calculation 4 3 2 4 2 5" xfId="25560"/>
    <cellStyle name="Calculation 3 3 2 4 2 5" xfId="25561"/>
    <cellStyle name="Calculation 2 7 2 4 2 5" xfId="25562"/>
    <cellStyle name="Calculation 11 2 4 2 5" xfId="25563"/>
    <cellStyle name="Normal 10 6 2 2 2 2" xfId="25564"/>
    <cellStyle name="Normal 11 6 2 2 2 2" xfId="25565"/>
    <cellStyle name="Normal 14 4 2 2 2 2" xfId="25566"/>
    <cellStyle name="Normal 2 2 2 3 2 2 2 2" xfId="25567"/>
    <cellStyle name="Normal 8 7 2 2 2 2" xfId="25568"/>
    <cellStyle name="Output 10 2 4 2 5" xfId="25569"/>
    <cellStyle name="Note 12 2 4 2 5" xfId="25570"/>
    <cellStyle name="Note 2 7 2 4 2 5" xfId="25571"/>
    <cellStyle name="Note 2 2 4 2 4 2 5" xfId="25572"/>
    <cellStyle name="Note 3 5 2 4 2 5" xfId="25573"/>
    <cellStyle name="Note 3 2 5 2 4 2 5" xfId="25574"/>
    <cellStyle name="Note 4 4 2 4 2 5" xfId="25575"/>
    <cellStyle name="Note 4 2 3 2 4 2 5" xfId="25576"/>
    <cellStyle name="Note 5 3 2 4 2 5" xfId="25577"/>
    <cellStyle name="Note 5 2 2 2 4 2 5" xfId="25578"/>
    <cellStyle name="Note 6 3 2 4 2 5" xfId="25579"/>
    <cellStyle name="Note 6 2 2 2 4 2 5" xfId="25580"/>
    <cellStyle name="Note 7 3 2 4 2 5" xfId="25581"/>
    <cellStyle name="Note 7 2 2 2 4 2 5" xfId="25582"/>
    <cellStyle name="Note 8 2 2 4 2 5" xfId="25583"/>
    <cellStyle name="Note 9 2 2 4 2 5" xfId="25584"/>
    <cellStyle name="Output 12 2 4 2 5" xfId="25585"/>
    <cellStyle name="Output 2 8 2 4 2 5" xfId="25586"/>
    <cellStyle name="Output 3 4 2 4 2 5" xfId="25587"/>
    <cellStyle name="Output 4 4 2 4 2 5" xfId="25588"/>
    <cellStyle name="Output 5 3 2 4 2 5" xfId="25589"/>
    <cellStyle name="Total 10 2 4 2 5" xfId="25590"/>
    <cellStyle name="Total 11 2 4 2 5" xfId="25591"/>
    <cellStyle name="Total 2 8 2 4 2 5" xfId="25592"/>
    <cellStyle name="Total 3 3 2 4 2 5" xfId="25593"/>
    <cellStyle name="Total 4 3 2 4 2 5" xfId="25594"/>
    <cellStyle name="Total 5 2 2 4 2 5" xfId="25595"/>
    <cellStyle name="Total 12 2 4 2 5" xfId="25596"/>
    <cellStyle name="Total 2 9 2 4 2 5" xfId="25597"/>
    <cellStyle name="Total 3 4 2 4 2 5" xfId="25598"/>
    <cellStyle name="Total 4 4 2 4 2 5" xfId="25599"/>
    <cellStyle name="Total 5 3 2 4 2 5" xfId="25600"/>
    <cellStyle name="20% - Accent1 6 3 2 2 2 2" xfId="25601"/>
    <cellStyle name="20% - Accent2 6 3 2 2 2 2" xfId="25602"/>
    <cellStyle name="20% - Accent3 6 3 2 2 2 2" xfId="25603"/>
    <cellStyle name="20% - Accent4 6 3 2 2 2 2" xfId="25604"/>
    <cellStyle name="20% - Accent5 6 3 2 2 2 2" xfId="25605"/>
    <cellStyle name="20% - Accent6 6 3 2 2 2 2" xfId="25606"/>
    <cellStyle name="40% - Accent1 6 3 2 2 2 2" xfId="25607"/>
    <cellStyle name="40% - Accent2 6 3 2 2 2 2" xfId="25608"/>
    <cellStyle name="40% - Accent3 6 3 2 2 2 2" xfId="25609"/>
    <cellStyle name="40% - Accent4 6 3 2 2 2 2" xfId="25610"/>
    <cellStyle name="40% - Accent5 6 3 2 2 2 2" xfId="25611"/>
    <cellStyle name="40% - Accent6 6 3 2 2 2 2" xfId="25612"/>
    <cellStyle name="Input 18 2 4 2 5" xfId="25613"/>
    <cellStyle name="Normal 10 7 2 2 2 2" xfId="25614"/>
    <cellStyle name="Normal 11 7 2 2 2 2" xfId="25615"/>
    <cellStyle name="Normal 14 5 2 2 2 2" xfId="25616"/>
    <cellStyle name="Normal 2 2 2 4 2 2 2 2" xfId="25617"/>
    <cellStyle name="Normal 8 8 2 2 2 2" xfId="25618"/>
    <cellStyle name="Calculation 12 2 4 2 5" xfId="25619"/>
    <cellStyle name="Input 19 2 4 2 5" xfId="25620"/>
    <cellStyle name="Note 13 2 4 2 5" xfId="25621"/>
    <cellStyle name="Output 13 2 4 2 5" xfId="25622"/>
    <cellStyle name="Total 13 2 4 2 5" xfId="25623"/>
    <cellStyle name="Normal 8 9 2 2 2 2" xfId="25624"/>
    <cellStyle name="Comma 13 4 2 2 2 2" xfId="25625"/>
    <cellStyle name="Currency 7 5 2 2 2 2" xfId="25626"/>
    <cellStyle name="Calculation 2 8 2 4 2 5" xfId="25627"/>
    <cellStyle name="Calculation 3 4 2 4 2 5" xfId="25628"/>
    <cellStyle name="Calculation 4 4 2 4 2 5" xfId="25629"/>
    <cellStyle name="Calculation 5 3 2 4 2 5" xfId="25630"/>
    <cellStyle name="Input 2 8 2 4 2 5" xfId="25631"/>
    <cellStyle name="Input 3 4 2 4 2 5" xfId="25632"/>
    <cellStyle name="Input 4 4 2 4 2 5" xfId="25633"/>
    <cellStyle name="Input 5 4 2 4 2 5" xfId="25634"/>
    <cellStyle name="Normal 10 8 2 2 2 2" xfId="25635"/>
    <cellStyle name="Note 2 8 2 4 2 5" xfId="25636"/>
    <cellStyle name="Note 2 2 5 2 4 2 5" xfId="25637"/>
    <cellStyle name="Note 3 6 2 4 2 5" xfId="25638"/>
    <cellStyle name="Note 3 2 6 2 4 2 5" xfId="25639"/>
    <cellStyle name="Note 4 5 2 4 2 5" xfId="25640"/>
    <cellStyle name="Note 4 2 4 2 4 2 5" xfId="25641"/>
    <cellStyle name="Note 5 4 2 4 2 5" xfId="25642"/>
    <cellStyle name="Note 5 2 3 2 4 2 5" xfId="25643"/>
    <cellStyle name="Note 6 4 2 4 2 5" xfId="25644"/>
    <cellStyle name="Note 6 2 3 2 4 2 5" xfId="25645"/>
    <cellStyle name="Note 7 4 2 4 2 5" xfId="25646"/>
    <cellStyle name="Note 7 2 3 2 4 2 5" xfId="25647"/>
    <cellStyle name="Note 8 3 2 4 2 5" xfId="25648"/>
    <cellStyle name="Output 2 9 2 4 2 5" xfId="25649"/>
    <cellStyle name="Output 3 5 2 4 2 5" xfId="25650"/>
    <cellStyle name="Output 4 5 2 4 2 5" xfId="25651"/>
    <cellStyle name="Output 5 4 2 4 2 5" xfId="25652"/>
    <cellStyle name="Total 2 10 2 4 2 5" xfId="25653"/>
    <cellStyle name="Total 3 5 2 4 2 5" xfId="25654"/>
    <cellStyle name="Total 4 5 2 4 2 5" xfId="25655"/>
    <cellStyle name="Total 5 4 2 4 2 5" xfId="25656"/>
    <cellStyle name="Normal 11 8 2 2 2 2" xfId="25657"/>
    <cellStyle name="Normal 14 6 2 2 2 2" xfId="25658"/>
    <cellStyle name="Normal 43 3 2 2 2 2" xfId="25659"/>
    <cellStyle name="Normal 44 3 2 2 2 2" xfId="25660"/>
    <cellStyle name="Input 20 2 4 2 5" xfId="25661"/>
    <cellStyle name="Normal 8 10 2 2 2 2" xfId="25662"/>
    <cellStyle name="Comma 13 5 2 2 2 2" xfId="25663"/>
    <cellStyle name="Currency 7 6 2 2 2 2" xfId="25664"/>
    <cellStyle name="Normal 10 9 2 2 2 2" xfId="25665"/>
    <cellStyle name="Normal 11 9 2 2 2 2" xfId="25666"/>
    <cellStyle name="Normal 14 7 2 2 2 2" xfId="25667"/>
    <cellStyle name="Normal 43 4 2 2 2 2" xfId="25668"/>
    <cellStyle name="Normal 44 4 2 2 2 2" xfId="25669"/>
    <cellStyle name="Normal 355 2 2 2 2" xfId="25670"/>
    <cellStyle name="Comma 22 2 2 2 2" xfId="25671"/>
    <cellStyle name="Input 21 2 4 2 5" xfId="25672"/>
    <cellStyle name="Normal 8 11 2 2 2 2" xfId="25673"/>
    <cellStyle name="Comma 13 6 2 2 2 2" xfId="25674"/>
    <cellStyle name="Currency 7 7 2 2 2 2" xfId="25675"/>
    <cellStyle name="Normal 10 10 2 2 2 2" xfId="25676"/>
    <cellStyle name="Normal 11 10 2 2 2 2" xfId="25677"/>
    <cellStyle name="Normal 14 8 2 2 2 2" xfId="25678"/>
    <cellStyle name="Normal 43 5 2 2 2 2" xfId="25679"/>
    <cellStyle name="Normal 44 5 2 2 2 2" xfId="25680"/>
    <cellStyle name="Calculation 2 5 4 3 5" xfId="25681"/>
    <cellStyle name="Input 2 5 4 3 5" xfId="25682"/>
    <cellStyle name="Note 2 2 2 4 3 5" xfId="25683"/>
    <cellStyle name="Note 2 3 2 4 3 5" xfId="25684"/>
    <cellStyle name="Note 2 4 2 4 3 5" xfId="25685"/>
    <cellStyle name="Note 2 5 4 3 5" xfId="25686"/>
    <cellStyle name="Note 3 3 4 3 5" xfId="25687"/>
    <cellStyle name="Output 2 5 4 3 5" xfId="25688"/>
    <cellStyle name="Total 2 6 4 3 5" xfId="25689"/>
    <cellStyle name="Output 5 4 2 2 4 2" xfId="25690"/>
    <cellStyle name="Output 7 2 2 4 2" xfId="25691"/>
    <cellStyle name="Note 6 3 2 2 4 2" xfId="25692"/>
    <cellStyle name="Note 7 3 2 2 4 2" xfId="25693"/>
    <cellStyle name="Note 7 2 2 2 2 4 2" xfId="25694"/>
    <cellStyle name="Note 9 3 2 4 2" xfId="25695"/>
    <cellStyle name="Note 5 2 4 2 4 2" xfId="25696"/>
    <cellStyle name="Output 3 4 2 2 4 2" xfId="25697"/>
    <cellStyle name="Output 12 2 2 4 2" xfId="25698"/>
    <cellStyle name="Note 2 8 2 2 4 2" xfId="25699"/>
    <cellStyle name="Note 6 5 2 4 2" xfId="25700"/>
    <cellStyle name="Output 2 8 2 2 4 2" xfId="25701"/>
    <cellStyle name="Note 6 2 4 2 4 2" xfId="25702"/>
    <cellStyle name="Note 2 2 5 10 2" xfId="25703"/>
    <cellStyle name="Note 8 4 2 4 2" xfId="25704"/>
    <cellStyle name="Total 3 5 2 2 4 2" xfId="25705"/>
    <cellStyle name="Style 23 3 4 2" xfId="25706"/>
    <cellStyle name="20% - Accent1 15 2" xfId="25707"/>
    <cellStyle name="40% - Accent1 15 2" xfId="25708"/>
    <cellStyle name="Note 2 3 4 2 4 2" xfId="25709"/>
    <cellStyle name="Style 23 2 3 4 2" xfId="25710"/>
    <cellStyle name="20% - Accent2 15 2" xfId="25711"/>
    <cellStyle name="40% - Accent2 13 2" xfId="25712"/>
    <cellStyle name="Note 4 2 5 2 4 2" xfId="25713"/>
    <cellStyle name="Style 24 3 4 2" xfId="25714"/>
    <cellStyle name="20% - Accent3 15 2" xfId="25715"/>
    <cellStyle name="40% - Accent3 15 2" xfId="25716"/>
    <cellStyle name="Style 21 3 4 2" xfId="25717"/>
    <cellStyle name="Note 3 4 2 2 4 2" xfId="25718"/>
    <cellStyle name="20% - Accent4 15 2" xfId="25719"/>
    <cellStyle name="40% - Accent4 15 2" xfId="25720"/>
    <cellStyle name="Style 21 2 3 4 2" xfId="25721"/>
    <cellStyle name="Note 4 3 2 2 4 2" xfId="25722"/>
    <cellStyle name="20% - Accent5 13 2" xfId="25723"/>
    <cellStyle name="40% - Accent5 13 2" xfId="25724"/>
    <cellStyle name="Style 22 3 4 2" xfId="25725"/>
    <cellStyle name="Note 4 2 2 2 2 4 2" xfId="25726"/>
    <cellStyle name="20% - Accent6 13 2" xfId="25727"/>
    <cellStyle name="40% - Accent6 15 2" xfId="25728"/>
    <cellStyle name="Style 22 2 3 4 2" xfId="25729"/>
    <cellStyle name="Normal 360 2" xfId="25730"/>
    <cellStyle name="Comma 24 2" xfId="25731"/>
    <cellStyle name="Comma 26 2" xfId="25732"/>
    <cellStyle name="Normal 361 2" xfId="25733"/>
    <cellStyle name="Note 15 2" xfId="25734"/>
    <cellStyle name="Comma 25 2" xfId="25735"/>
    <cellStyle name="Calculation 12 5 4 2" xfId="25736"/>
    <cellStyle name="Note 6 4 5 4 2" xfId="25737"/>
    <cellStyle name="Currency 12 2" xfId="25738"/>
    <cellStyle name="Normal 362 2" xfId="25739"/>
    <cellStyle name="Total 4 4 2 2 4 2" xfId="25740"/>
    <cellStyle name="Normal 3 4 4 2" xfId="25741"/>
    <cellStyle name="20% - Accent1 12 2" xfId="25742"/>
    <cellStyle name="40% - Accent1 12 2" xfId="25743"/>
    <cellStyle name="20% - Accent2 12 2" xfId="25744"/>
    <cellStyle name="40% - Accent2 10 2" xfId="25745"/>
    <cellStyle name="20% - Accent3 12 2" xfId="25746"/>
    <cellStyle name="40% - Accent3 12 2" xfId="25747"/>
    <cellStyle name="20% - Accent4 12 2" xfId="25748"/>
    <cellStyle name="40% - Accent4 12 2" xfId="25749"/>
    <cellStyle name="20% - Accent5 10 2" xfId="25750"/>
    <cellStyle name="40% - Accent5 10 2" xfId="25751"/>
    <cellStyle name="20% - Accent6 10 2" xfId="25752"/>
    <cellStyle name="40% - Accent6 12 2" xfId="25753"/>
    <cellStyle name="Normal 13 4 2" xfId="25754"/>
    <cellStyle name="Comma 6 12 2" xfId="25755"/>
    <cellStyle name="Note 2 13 2" xfId="25756"/>
    <cellStyle name="Normal 3 4 5 2" xfId="25757"/>
    <cellStyle name="Normal 363 2" xfId="25758"/>
    <cellStyle name="Comma 27 2" xfId="25759"/>
    <cellStyle name="Normal 364 2" xfId="25760"/>
    <cellStyle name="Note 16 2" xfId="25761"/>
    <cellStyle name="Comma 28 2" xfId="25762"/>
    <cellStyle name="20% - Accent1 13 2" xfId="25763"/>
    <cellStyle name="40% - Accent1 13 2" xfId="25764"/>
    <cellStyle name="20% - Accent2 13 2" xfId="25765"/>
    <cellStyle name="40% - Accent2 11 2" xfId="25766"/>
    <cellStyle name="20% - Accent3 13 2" xfId="25767"/>
    <cellStyle name="40% - Accent3 13 2" xfId="25768"/>
    <cellStyle name="20% - Accent4 13 2" xfId="25769"/>
    <cellStyle name="40% - Accent4 13 2" xfId="25770"/>
    <cellStyle name="20% - Accent5 11 2" xfId="25771"/>
    <cellStyle name="40% - Accent5 11 2" xfId="25772"/>
    <cellStyle name="20% - Accent6 11 2" xfId="25773"/>
    <cellStyle name="40% - Accent6 13 2" xfId="25774"/>
    <cellStyle name="Normal 365 2" xfId="25775"/>
    <cellStyle name="Normal 3 4 6 2" xfId="25776"/>
    <cellStyle name="Comma 29 2" xfId="25777"/>
    <cellStyle name="20% - Accent1 14 2" xfId="25778"/>
    <cellStyle name="40% - Accent1 14 2" xfId="25779"/>
    <cellStyle name="20% - Accent2 14 2" xfId="25780"/>
    <cellStyle name="40% - Accent2 12 2" xfId="25781"/>
    <cellStyle name="20% - Accent3 14 2" xfId="25782"/>
    <cellStyle name="40% - Accent3 14 2" xfId="25783"/>
    <cellStyle name="20% - Accent4 14 2" xfId="25784"/>
    <cellStyle name="40% - Accent4 14 2" xfId="25785"/>
    <cellStyle name="20% - Accent5 12 2" xfId="25786"/>
    <cellStyle name="40% - Accent5 12 2" xfId="25787"/>
    <cellStyle name="20% - Accent6 12 2" xfId="25788"/>
    <cellStyle name="40% - Accent6 14 2" xfId="25789"/>
    <cellStyle name="Normal 13 5 2" xfId="25790"/>
    <cellStyle name="Comma 6 13 2" xfId="25791"/>
    <cellStyle name="Note 2 14 2" xfId="25792"/>
    <cellStyle name="Normal 3 4 7 2" xfId="25793"/>
    <cellStyle name="Normal 2 8 2 2" xfId="25794"/>
    <cellStyle name="Comma 2 2 5 2" xfId="25795"/>
    <cellStyle name="Currency 3 4 2" xfId="25796"/>
    <cellStyle name="Currency 4 6 2" xfId="25797"/>
    <cellStyle name="Currency 5 3 2" xfId="25798"/>
    <cellStyle name="Percent 3 6 2" xfId="25799"/>
    <cellStyle name="Percent 4 6 2" xfId="25800"/>
    <cellStyle name="Note 3 2 8 2 4 2" xfId="25801"/>
    <cellStyle name="Output 2 2 2 3 2 4 2" xfId="25802"/>
    <cellStyle name="Calculation 2 2 4 3 2 4 2" xfId="25803"/>
    <cellStyle name="Calculation 2 4 3 2 4 2" xfId="25804"/>
    <cellStyle name="Calculation 3 6 2 4 2" xfId="25805"/>
    <cellStyle name="Input 2 10 2 4 2" xfId="25806"/>
    <cellStyle name="Input 2 2 2 3 2 4 2" xfId="25807"/>
    <cellStyle name="Input 2 2 4 3 2 4 2" xfId="25808"/>
    <cellStyle name="Input 2 4 3 2 4 2" xfId="25809"/>
    <cellStyle name="Input 3 6 2 4 2" xfId="25810"/>
    <cellStyle name="Input 7 3 2 4 2" xfId="25811"/>
    <cellStyle name="Output 3 6 2 4 2" xfId="25812"/>
    <cellStyle name="Output 2 4 2 2 4 2" xfId="25813"/>
    <cellStyle name="Input 21 4 4 2" xfId="25814"/>
    <cellStyle name="Input 20 4 4 2" xfId="25815"/>
    <cellStyle name="Total 5 4 4 4 2" xfId="25816"/>
    <cellStyle name="Total 4 5 4 4 2" xfId="25817"/>
    <cellStyle name="Total 3 5 4 4 2" xfId="25818"/>
    <cellStyle name="Total 2 10 4 4 2" xfId="25819"/>
    <cellStyle name="Output 5 4 4 4 2" xfId="25820"/>
    <cellStyle name="Output 4 5 4 4 2" xfId="25821"/>
    <cellStyle name="Output 2 9 4 4 2" xfId="25822"/>
    <cellStyle name="Note 8 3 4 4 2" xfId="25823"/>
    <cellStyle name="Note 7 4 4 4 2" xfId="25824"/>
    <cellStyle name="Note 6 2 2 4 4 2" xfId="25825"/>
    <cellStyle name="Note 6 3 4 4 2" xfId="25826"/>
    <cellStyle name="Note 5 2 2 4 4 2" xfId="25827"/>
    <cellStyle name="Note 5 3 4 4 2" xfId="25828"/>
    <cellStyle name="Note 4 2 3 4 4 2" xfId="25829"/>
    <cellStyle name="Note 4 4 4 4 2" xfId="25830"/>
    <cellStyle name="Note 3 2 5 4 4 2" xfId="25831"/>
    <cellStyle name="Note 3 5 4 4 2" xfId="25832"/>
    <cellStyle name="Note 2 7 4 4 2" xfId="25833"/>
    <cellStyle name="Note 12 4 4 2" xfId="25834"/>
    <cellStyle name="Calculation 11 4 4 2" xfId="25835"/>
    <cellStyle name="Input 13 5 5 2" xfId="25836"/>
    <cellStyle name="Calculation 12 2 7 2" xfId="25837"/>
    <cellStyle name="Input 18 2 7 2" xfId="25838"/>
    <cellStyle name="Note 2 3 2 4 6 2" xfId="25839"/>
    <cellStyle name="Input 6 4 8 2" xfId="25840"/>
    <cellStyle name="Note 3 4 2 8 2" xfId="25841"/>
    <cellStyle name="Calculation 11 2 7 2" xfId="25842"/>
    <cellStyle name="Calculation 2 7 2 7 2" xfId="25843"/>
    <cellStyle name="Calculation 3 3 2 7 2" xfId="25844"/>
    <cellStyle name="Calculation 4 3 2 7 2" xfId="25845"/>
    <cellStyle name="Calculation 5 2 2 7 2" xfId="25846"/>
    <cellStyle name="Input 15 2 7 2" xfId="25847"/>
    <cellStyle name="Input 17 2 7 2" xfId="25848"/>
    <cellStyle name="Input 14 2 7 2" xfId="25849"/>
    <cellStyle name="Note 5 5 7 2" xfId="25850"/>
    <cellStyle name="Note 4 2 2 2 7 2" xfId="25851"/>
    <cellStyle name="Note 4 3 2 7 2" xfId="25852"/>
    <cellStyle name="Note 3 2 4 2 7 2" xfId="25853"/>
    <cellStyle name="Note 3 4 2 7 2" xfId="25854"/>
    <cellStyle name="Note 2 2 3 2 7 2" xfId="25855"/>
    <cellStyle name="Note 2 6 2 7 2" xfId="25856"/>
    <cellStyle name="Note 11 2 7 2" xfId="25857"/>
    <cellStyle name="styleSeriesDataNA 2 8 2" xfId="25858"/>
    <cellStyle name="styleSeriesDataNA 8 2" xfId="25859"/>
    <cellStyle name="styleSeriesDataForecastNA 2 8 2" xfId="25860"/>
    <cellStyle name="styleSeriesDataForecastNA 8 2" xfId="25861"/>
    <cellStyle name="styleSeriesDataForecast 2 8 2" xfId="25862"/>
    <cellStyle name="styleSeriesDataForecast 8 2" xfId="25863"/>
    <cellStyle name="styleSeriesData 2 8 2" xfId="25864"/>
    <cellStyle name="styleSeriesData 8 2" xfId="25865"/>
    <cellStyle name="styleSeriesAttributes 8 2" xfId="25866"/>
    <cellStyle name="Input 2 2 6 7 2" xfId="25867"/>
    <cellStyle name="Input 2 2 3 3 7 2" xfId="25868"/>
    <cellStyle name="Input 2 3 3 7 2" xfId="25869"/>
    <cellStyle name="Input 4 6 7 2" xfId="25870"/>
    <cellStyle name="Input 6 4 7 2" xfId="25871"/>
    <cellStyle name="Input 8 3 7 2" xfId="25872"/>
    <cellStyle name="Note 3 3 2 7 2" xfId="25873"/>
    <cellStyle name="Note 2 4 2 2 7 2" xfId="25874"/>
    <cellStyle name="Note 2 2 2 2 7 2" xfId="25875"/>
    <cellStyle name="Note 2 5 2 7 2" xfId="25876"/>
    <cellStyle name="StmtTtl2 3 7 2" xfId="25877"/>
    <cellStyle name="Note 9 2 2 8 2" xfId="25878"/>
    <cellStyle name="Note 2 2 5 2 8 2" xfId="25879"/>
    <cellStyle name="Input 12 4 5 2" xfId="25880"/>
    <cellStyle name="Total 3 4 4 5 2" xfId="25881"/>
    <cellStyle name="Input 2 9 2 5 2" xfId="25882"/>
    <cellStyle name="Output 2 3 3 2 5 2" xfId="25883"/>
    <cellStyle name="styleSeriesDataNA 3 5 2" xfId="25884"/>
    <cellStyle name="Output 13 2 2 5 2" xfId="25885"/>
    <cellStyle name="Total 3 6 7 2" xfId="25886"/>
    <cellStyle name="Total 2 5 2 7 2" xfId="25887"/>
    <cellStyle name="StmtTtl2 2 7 2" xfId="25888"/>
    <cellStyle name="Calculation 2 10 7 2" xfId="25889"/>
    <cellStyle name="Calculation 2 2 2 3 7 2" xfId="25890"/>
    <cellStyle name="Calculation 2 2 4 3 7 2" xfId="25891"/>
    <cellStyle name="Calculation 2 4 3 7 2" xfId="25892"/>
    <cellStyle name="Calculation 3 6 7 2" xfId="25893"/>
    <cellStyle name="Input 2 10 7 2" xfId="25894"/>
    <cellStyle name="Input 2 2 4 3 7 2" xfId="25895"/>
    <cellStyle name="Output 2 2 3 2 7 2" xfId="25896"/>
    <cellStyle name="Output 2 2 2 2 7 2" xfId="25897"/>
    <cellStyle name="Output 2 2 5 7 2" xfId="25898"/>
    <cellStyle name="Output 2 10 7 2" xfId="25899"/>
    <cellStyle name="Note 3 2 7 7 2" xfId="25900"/>
    <cellStyle name="Note 3 7 7 2" xfId="25901"/>
    <cellStyle name="Note 2 4 3 7 2" xfId="25902"/>
    <cellStyle name="Note 2 2 6 7 2" xfId="25903"/>
    <cellStyle name="Note 2 9 7 2" xfId="25904"/>
    <cellStyle name="Total 2 2 3 3 7 2" xfId="25905"/>
    <cellStyle name="Input 7 2 7 2" xfId="25906"/>
    <cellStyle name="Input 6 3 7 2" xfId="25907"/>
    <cellStyle name="Input 5 5 7 2" xfId="25908"/>
    <cellStyle name="Input 4 5 7 2" xfId="25909"/>
    <cellStyle name="Input 3 5 7 2" xfId="25910"/>
    <cellStyle name="Input 2 5 2 7 2" xfId="25911"/>
    <cellStyle name="Input 2 4 2 7 2" xfId="25912"/>
    <cellStyle name="Input 2 2 4 2 7 2" xfId="25913"/>
    <cellStyle name="Input 2 2 3 2 7 2" xfId="25914"/>
    <cellStyle name="Input 2 2 5 7 2" xfId="25915"/>
    <cellStyle name="Calculation 3 5 7 2" xfId="25916"/>
    <cellStyle name="Calculation 2 5 2 7 2" xfId="25917"/>
    <cellStyle name="Calculation 2 4 2 7 2" xfId="25918"/>
    <cellStyle name="Calculation 2 3 2 7 2" xfId="25919"/>
    <cellStyle name="Calculation 2 2 4 2 7 2" xfId="25920"/>
    <cellStyle name="Calculation 2 2 3 2 7 2" xfId="25921"/>
    <cellStyle name="Calculation 2 2 2 2 7 2" xfId="25922"/>
    <cellStyle name="Calculation 2 9 7 2" xfId="25923"/>
    <cellStyle name="Note 2 2 2 3 7 2" xfId="25924"/>
    <cellStyle name="Note 2 4 2 3 7 2" xfId="25925"/>
    <cellStyle name="Output 3 2 3 5 2" xfId="25926"/>
    <cellStyle name="Input 21 3 4 2" xfId="25927"/>
    <cellStyle name="Total 3 5 5 5 2" xfId="25928"/>
    <cellStyle name="Calculation 4 4 5 4 2" xfId="25929"/>
    <cellStyle name="Total 5 4 3 4 2" xfId="25930"/>
    <cellStyle name="Total 4 5 3 4 2" xfId="25931"/>
    <cellStyle name="Total 3 5 3 4 2" xfId="25932"/>
    <cellStyle name="Output 5 4 3 4 2" xfId="25933"/>
    <cellStyle name="Output 4 5 3 4 2" xfId="25934"/>
    <cellStyle name="Output 2 9 3 4 2" xfId="25935"/>
    <cellStyle name="Note 4 2 4 3 4 2" xfId="25936"/>
    <cellStyle name="Note 4 5 3 4 2" xfId="25937"/>
    <cellStyle name="Note 3 2 6 3 4 2" xfId="25938"/>
    <cellStyle name="Note 3 6 3 4 2" xfId="25939"/>
    <cellStyle name="Note 2 2 5 3 4 2" xfId="25940"/>
    <cellStyle name="Note 2 8 3 4 2" xfId="25941"/>
    <cellStyle name="Input 4 4 3 4 2" xfId="25942"/>
    <cellStyle name="Input 3 4 3 4 2" xfId="25943"/>
    <cellStyle name="Calculation 5 3 3 4 2" xfId="25944"/>
    <cellStyle name="Input 19 3 4 2" xfId="25945"/>
    <cellStyle name="Calculation 12 3 4 2" xfId="25946"/>
    <cellStyle name="Input 18 3 4 2" xfId="25947"/>
    <cellStyle name="Total 5 3 9 2" xfId="25948"/>
    <cellStyle name="Note 2 3 2 2 8 2" xfId="25949"/>
    <cellStyle name="Input 5 6 2 5 2" xfId="25950"/>
    <cellStyle name="Note 2 10 2 5 2" xfId="25951"/>
    <cellStyle name="Note 5 5 2 5 2" xfId="25952"/>
    <cellStyle name="Note 8 2 2 2 5 2" xfId="25953"/>
    <cellStyle name="Total 5 3 3 4 2" xfId="25954"/>
    <cellStyle name="Total 4 4 3 4 2" xfId="25955"/>
    <cellStyle name="Total 2 9 3 4 2" xfId="25956"/>
    <cellStyle name="Total 12 3 4 2" xfId="25957"/>
    <cellStyle name="Total 10 3 4 2" xfId="25958"/>
    <cellStyle name="Output 5 3 3 4 2" xfId="25959"/>
    <cellStyle name="Output 4 4 3 4 2" xfId="25960"/>
    <cellStyle name="Output 3 4 3 4 2" xfId="25961"/>
    <cellStyle name="Output 2 8 3 4 2" xfId="25962"/>
    <cellStyle name="Note 9 2 3 4 2" xfId="25963"/>
    <cellStyle name="Note 8 2 3 4 2" xfId="25964"/>
    <cellStyle name="Note 7 3 3 4 2" xfId="25965"/>
    <cellStyle name="Note 3 2 5 3 4 2" xfId="25966"/>
    <cellStyle name="Note 2 7 3 4 2" xfId="25967"/>
    <cellStyle name="Note 12 3 4 2" xfId="25968"/>
    <cellStyle name="Output 10 3 4 2" xfId="25969"/>
    <cellStyle name="Calculation 11 3 4 2" xfId="25970"/>
    <cellStyle name="Calculation 2 7 3 4 2" xfId="25971"/>
    <cellStyle name="Calculation 4 3 3 4 2" xfId="25972"/>
    <cellStyle name="Calculation 10 3 4 2" xfId="25973"/>
    <cellStyle name="Input 3 3 3 4 2" xfId="25974"/>
    <cellStyle name="Input 4 3 3 4 2" xfId="25975"/>
    <cellStyle name="Input 5 3 3 4 2" xfId="25976"/>
    <cellStyle name="Calculation 2 2 3 3 8 2" xfId="25977"/>
    <cellStyle name="Style 21 2 2 8 2" xfId="25978"/>
    <cellStyle name="Output 11 3 4 2" xfId="25979"/>
    <cellStyle name="Output 2 7 3 4 2" xfId="25980"/>
    <cellStyle name="Output 4 3 3 4 2" xfId="25981"/>
    <cellStyle name="Output 5 2 3 4 2" xfId="25982"/>
    <cellStyle name="Note 6 5 8 2" xfId="25983"/>
    <cellStyle name="Note 3 3 3 2 5 2" xfId="25984"/>
    <cellStyle name="Calculation 2 10 2 5 2" xfId="25985"/>
    <cellStyle name="Style 25 3 5 2" xfId="25986"/>
    <cellStyle name="Output 3 2 2 2 5 2" xfId="25987"/>
    <cellStyle name="Total 3 3 2 2 5 2" xfId="25988"/>
    <cellStyle name="Input 10 4 4 2" xfId="25989"/>
    <cellStyle name="Total 9 3 4 2" xfId="25990"/>
    <cellStyle name="Output 8 3 4 2" xfId="25991"/>
    <cellStyle name="Total 3 2 3 4 2" xfId="25992"/>
    <cellStyle name="Total 2 7 3 4 2" xfId="25993"/>
    <cellStyle name="Total 7 3 4 2" xfId="25994"/>
    <cellStyle name="Total 2 10 5 4 2" xfId="25995"/>
    <cellStyle name="Input 2 8 5 4 2" xfId="25996"/>
    <cellStyle name="Calculation 3 3 5 4 2" xfId="25997"/>
    <cellStyle name="Calculation 4 3 5 4 2" xfId="25998"/>
    <cellStyle name="Input 13 5 4 2" xfId="25999"/>
    <cellStyle name="Input 15 5 4 2" xfId="26000"/>
    <cellStyle name="Output 5 6 4 2" xfId="26001"/>
    <cellStyle name="Output 3 2 3 4 2" xfId="26002"/>
    <cellStyle name="Note 9 4 4 2" xfId="26003"/>
    <cellStyle name="Note 8 5 4 2" xfId="26004"/>
    <cellStyle name="Note 7 6 4 2" xfId="26005"/>
    <cellStyle name="Output 4 5 5 4 2" xfId="26006"/>
    <cellStyle name="Input 10 2 8 2" xfId="26007"/>
    <cellStyle name="Input 5 3 2 8 2" xfId="26008"/>
    <cellStyle name="Note 4 2 4 4 5 2" xfId="26009"/>
    <cellStyle name="Output 9 4 4 2" xfId="26010"/>
    <cellStyle name="Output 2 2 5 2 5 2" xfId="26011"/>
    <cellStyle name="Note 3 2 5 2 2 5 2" xfId="26012"/>
    <cellStyle name="Note 2 2 3 4 4 2" xfId="26013"/>
    <cellStyle name="Output 2 5 4 5 2" xfId="26014"/>
    <cellStyle name="Note 3 3 4 5 2" xfId="26015"/>
    <cellStyle name="Note 2 5 4 5 2" xfId="26016"/>
    <cellStyle name="Note 2 4 2 4 5 2" xfId="26017"/>
    <cellStyle name="Note 2 3 2 4 5 2" xfId="26018"/>
    <cellStyle name="Total 2 12 3 4 2" xfId="26019"/>
    <cellStyle name="Input 2 5 4 5 2" xfId="26020"/>
    <cellStyle name="Calculation 2 5 4 5 2" xfId="26021"/>
    <cellStyle name="Input 2 6 4 4 2" xfId="26022"/>
    <cellStyle name="Note 3 2 4 4 4 2" xfId="26023"/>
    <cellStyle name="Input 8 2 3 4 2" xfId="26024"/>
    <cellStyle name="Output 2 3 4 5 2" xfId="26025"/>
    <cellStyle name="Output 2 2 4 4 5 2" xfId="26026"/>
    <cellStyle name="Output 2 2 3 4 5 2" xfId="26027"/>
    <cellStyle name="Output 2 2 2 4 5 2" xfId="26028"/>
    <cellStyle name="Output 2 2 7 5 2" xfId="26029"/>
    <cellStyle name="Input 7 2 3 4 2" xfId="26030"/>
    <cellStyle name="Calculation 3 5 3 4 2" xfId="26031"/>
    <cellStyle name="Input 18 5 4 2" xfId="26032"/>
    <cellStyle name="Calculation 5 2 5 4 2" xfId="26033"/>
    <cellStyle name="Input 8 4 5 2" xfId="26034"/>
    <cellStyle name="Input 7 4 5 2" xfId="26035"/>
    <cellStyle name="Input 6 5 5 2" xfId="26036"/>
    <cellStyle name="Input 5 7 5 2" xfId="26037"/>
    <cellStyle name="Input 2 4 4 5 2" xfId="26038"/>
    <cellStyle name="Input 2 3 4 5 2" xfId="26039"/>
    <cellStyle name="Input 2 2 4 4 5 2" xfId="26040"/>
    <cellStyle name="Input 2 2 2 4 5 2" xfId="26041"/>
    <cellStyle name="Input 2 2 7 5 2" xfId="26042"/>
    <cellStyle name="Header2 3 5 2" xfId="26043"/>
    <cellStyle name="Calculation 3 7 5 2" xfId="26044"/>
    <cellStyle name="Calculation 2 4 4 5 2" xfId="26045"/>
    <cellStyle name="Calculation 2 3 4 5 2" xfId="26046"/>
    <cellStyle name="Calculation 2 2 4 4 5 2" xfId="26047"/>
    <cellStyle name="Calculation 2 2 3 4 5 2" xfId="26048"/>
    <cellStyle name="Calculation 2 2 2 4 5 2" xfId="26049"/>
    <cellStyle name="Calculation 2 2 7 5 2" xfId="26050"/>
    <cellStyle name="Calculation 2 11 5 2" xfId="26051"/>
    <cellStyle name="Total 2 4 3 3 4 2" xfId="26052"/>
    <cellStyle name="Calculation 2 3 2 3 4 2" xfId="26053"/>
    <cellStyle name="Total 13 5 4 2" xfId="26054"/>
    <cellStyle name="styleSeriesDataForecast 2 2 8 2" xfId="26055"/>
    <cellStyle name="Input 16 5 4 2" xfId="26056"/>
    <cellStyle name="Total 7 2 8 2" xfId="26057"/>
    <cellStyle name="Calculation 8 5 4 2" xfId="26058"/>
    <cellStyle name="Note 6 2 2 2 8 2" xfId="26059"/>
    <cellStyle name="Input 4 4 2 8 2" xfId="26060"/>
    <cellStyle name="Input 10 5 4 2" xfId="26061"/>
    <cellStyle name="Total 3 2 4 5 2" xfId="26062"/>
    <cellStyle name="Calculation 4 2 5 4 2" xfId="26063"/>
    <cellStyle name="Total 4 3 4 5 2" xfId="26064"/>
    <cellStyle name="Calculation 2 5 2 2 5 2" xfId="26065"/>
    <cellStyle name="Calculation 2 2 2 2 3 5 2" xfId="26066"/>
    <cellStyle name="styleSeriesDataForecast 3 5 2" xfId="26067"/>
    <cellStyle name="Output 8 2 2 5 2" xfId="26068"/>
    <cellStyle name="Input 3 2 4 4 2" xfId="26069"/>
    <cellStyle name="Input 4 2 4 4 2" xfId="26070"/>
    <cellStyle name="Input 5 2 4 4 2" xfId="26071"/>
    <cellStyle name="Note 2 6 4 4 2" xfId="26072"/>
    <cellStyle name="Note 3 4 4 4 2" xfId="26073"/>
    <cellStyle name="Note 4 3 4 4 2" xfId="26074"/>
    <cellStyle name="Note 5 7 4 2" xfId="26075"/>
    <cellStyle name="Note 6 7 4 2" xfId="26076"/>
    <cellStyle name="Input 15 10 2" xfId="26077"/>
    <cellStyle name="Calculation 4 3 5 5 2" xfId="26078"/>
    <cellStyle name="Input 21 9 2" xfId="26079"/>
    <cellStyle name="Total 2 10 9 2" xfId="26080"/>
    <cellStyle name="Note 4 2 4 9 2" xfId="26081"/>
    <cellStyle name="Note 4 5 9 2" xfId="26082"/>
    <cellStyle name="Note 3 6 9 2" xfId="26083"/>
    <cellStyle name="Note 2 8 9 2" xfId="26084"/>
    <cellStyle name="Input 5 4 9 2" xfId="26085"/>
    <cellStyle name="Input 4 4 9 2" xfId="26086"/>
    <cellStyle name="Note 6 6 5 2" xfId="26087"/>
    <cellStyle name="Calculation 5 3 9 2" xfId="26088"/>
    <cellStyle name="Calculation 4 4 9 2" xfId="26089"/>
    <cellStyle name="Calculation 3 4 9 2" xfId="26090"/>
    <cellStyle name="Calculation 2 8 9 2" xfId="26091"/>
    <cellStyle name="Note 4 2 3 9 2" xfId="26092"/>
    <cellStyle name="Calculation 9 3 5 2" xfId="26093"/>
    <cellStyle name="Total 13 9 2" xfId="26094"/>
    <cellStyle name="Output 13 9 2" xfId="26095"/>
    <cellStyle name="Note 13 9 2" xfId="26096"/>
    <cellStyle name="Input 19 9 2" xfId="26097"/>
    <cellStyle name="Input 4 6 8 2" xfId="26098"/>
    <cellStyle name="Note 3 2 4 2 8 2" xfId="26099"/>
    <cellStyle name="Total 5 3 8 2" xfId="26100"/>
    <cellStyle name="Total 4 4 8 2" xfId="26101"/>
    <cellStyle name="Total 2 9 8 2" xfId="26102"/>
    <cellStyle name="Output 4 4 8 2" xfId="26103"/>
    <cellStyle name="Output 3 4 8 2" xfId="26104"/>
    <cellStyle name="Output 2 8 8 2" xfId="26105"/>
    <cellStyle name="Output 12 8 2" xfId="26106"/>
    <cellStyle name="Note 8 2 8 2" xfId="26107"/>
    <cellStyle name="Note 4 2 3 8 2" xfId="26108"/>
    <cellStyle name="Note 4 4 8 2" xfId="26109"/>
    <cellStyle name="Note 3 5 8 2" xfId="26110"/>
    <cellStyle name="Note 2 7 8 2" xfId="26111"/>
    <cellStyle name="Output 10 8 2" xfId="26112"/>
    <cellStyle name="Calculation 11 9 2" xfId="26113"/>
    <cellStyle name="Calculation 3 3 9 2" xfId="26114"/>
    <cellStyle name="Input 15 9 2" xfId="26115"/>
    <cellStyle name="Input 16 9 2" xfId="26116"/>
    <cellStyle name="Total 3 2 2 2 5 2" xfId="26117"/>
    <cellStyle name="Note 6 2 3 2 2 5 2" xfId="26118"/>
    <cellStyle name="Total 9 8 2" xfId="26119"/>
    <cellStyle name="Total 8 8 2" xfId="26120"/>
    <cellStyle name="Calculation 2 7 2 2 5 2" xfId="26121"/>
    <cellStyle name="Calculation 3 2 2 2 5 2" xfId="26122"/>
    <cellStyle name="Output 5 2 2 8 2" xfId="26123"/>
    <cellStyle name="Output 2 3 3 8 2" xfId="26124"/>
    <cellStyle name="Note 2 4 3 8 2" xfId="26125"/>
    <cellStyle name="Input 2 4 2 8 2" xfId="26126"/>
    <cellStyle name="Calculation 2 2 2 2 8 2" xfId="26127"/>
    <cellStyle name="Calculation 9 9 2" xfId="26128"/>
    <cellStyle name="Total 5 11 2" xfId="26129"/>
    <cellStyle name="Total 4 2 8 2" xfId="26130"/>
    <cellStyle name="Total 3 2 8 2" xfId="26131"/>
    <cellStyle name="Total 2 7 8 2" xfId="26132"/>
    <cellStyle name="Total 7 8 2" xfId="26133"/>
    <cellStyle name="Calculation 4 2 2 2 5 2" xfId="26134"/>
    <cellStyle name="Note 2 2 6 2 5 2" xfId="26135"/>
    <cellStyle name="Note 7 2 10 2" xfId="26136"/>
    <cellStyle name="Note 7 11 2" xfId="26137"/>
    <cellStyle name="Note 6 2 10 2" xfId="26138"/>
    <cellStyle name="Note 6 11 2" xfId="26139"/>
    <cellStyle name="Note 5 2 10 2" xfId="26140"/>
    <cellStyle name="Note 5 11 2" xfId="26141"/>
    <cellStyle name="Note 4 3 8 2" xfId="26142"/>
    <cellStyle name="Note 3 4 8 2" xfId="26143"/>
    <cellStyle name="Note 11 8 2" xfId="26144"/>
    <cellStyle name="Input [yellow] 4 2" xfId="26145"/>
    <cellStyle name="Input 2 6 10 2" xfId="26146"/>
    <cellStyle name="Input 5 2 9 2" xfId="26147"/>
    <cellStyle name="Input 4 2 9 2" xfId="26148"/>
    <cellStyle name="Input 3 2 9 2" xfId="26149"/>
    <cellStyle name="Input 2 6 9 2" xfId="26150"/>
    <cellStyle name="Input 10 9 2" xfId="26151"/>
    <cellStyle name="Note 7 2 11 2" xfId="26152"/>
    <cellStyle name="Output 4 3 2 8 2" xfId="26153"/>
    <cellStyle name="Output 3 3 9 2" xfId="26154"/>
    <cellStyle name="Calculation 7 2 8 2" xfId="26155"/>
    <cellStyle name="Note 5 2 2 9 2" xfId="26156"/>
    <cellStyle name="Note 6 3 9 2" xfId="26157"/>
    <cellStyle name="Note 9 2 9 2" xfId="26158"/>
    <cellStyle name="Note 13 10 2" xfId="26159"/>
    <cellStyle name="Note 6 4 10 2" xfId="26160"/>
    <cellStyle name="Note 7 6 5 2" xfId="26161"/>
    <cellStyle name="Total 9 3 5 2" xfId="26162"/>
    <cellStyle name="Output 2 2 4 2 8 2" xfId="26163"/>
    <cellStyle name="Calculation 2 2 4 3 8 2" xfId="26164"/>
    <cellStyle name="Calculation 2 10 8 2" xfId="26165"/>
    <cellStyle name="Calculation 2 4 3 8 2" xfId="26166"/>
    <cellStyle name="Note 3 2 2 3 8 2" xfId="26167"/>
    <cellStyle name="Note 2 2 7 8 2" xfId="26168"/>
    <cellStyle name="Note 3 2 8 8 2" xfId="26169"/>
    <cellStyle name="styleColumnTitles 2 2 8 2" xfId="26170"/>
    <cellStyle name="Note 3 6 2 8 2" xfId="26171"/>
    <cellStyle name="Note 4 5 2 8 2" xfId="26172"/>
    <cellStyle name="Output 3 2 4 5 2" xfId="26173"/>
    <cellStyle name="Output 4 2 4 5 2" xfId="26174"/>
    <cellStyle name="Input 4 2 4 5 2" xfId="26175"/>
    <cellStyle name="Output 2 9 5 5 2" xfId="26176"/>
    <cellStyle name="Style 25 2 2 2 5 2" xfId="26177"/>
    <cellStyle name="Input 2 8 2 2 5 2" xfId="26178"/>
    <cellStyle name="Total 5 4 2 2 5 2" xfId="26179"/>
    <cellStyle name="Output 2 2 2 2 3 5 2" xfId="26180"/>
    <cellStyle name="Input 5 6 3 5 2" xfId="26181"/>
    <cellStyle name="Note 2 16 2" xfId="26182"/>
    <cellStyle name="Note 2 2 10 2" xfId="26183"/>
    <cellStyle name="Note 3 12 2" xfId="26184"/>
    <cellStyle name="Note 3 2 12 2" xfId="26185"/>
    <cellStyle name="Note 3 2 2 7 2" xfId="26186"/>
    <cellStyle name="Note 4 10 2" xfId="26187"/>
    <cellStyle name="Output 2 14 2" xfId="26188"/>
    <cellStyle name="Output 2 2 9 2" xfId="26189"/>
    <cellStyle name="Output 2 2 2 6 2" xfId="26190"/>
    <cellStyle name="Output 2 2 3 6 2" xfId="26191"/>
    <cellStyle name="Output 2 2 4 6 2" xfId="26192"/>
    <cellStyle name="Output 2 3 6 2" xfId="26193"/>
    <cellStyle name="Output 2 4 6 2" xfId="26194"/>
    <cellStyle name="Output 3 10 2" xfId="26195"/>
    <cellStyle name="Input 3 2 10 2" xfId="26196"/>
    <cellStyle name="Note 2 2 3 9 2" xfId="26197"/>
    <cellStyle name="Note 3 2 4 9 2" xfId="26198"/>
    <cellStyle name="Note 4 3 9 2" xfId="26199"/>
    <cellStyle name="Note 7 12 2" xfId="26200"/>
    <cellStyle name="Note 9 10 2" xfId="26201"/>
    <cellStyle name="Output 2 6 9 2" xfId="26202"/>
    <cellStyle name="Output 4 2 9 2" xfId="26203"/>
    <cellStyle name="Total 2 7 9 2" xfId="26204"/>
    <cellStyle name="Total 4 2 9 2" xfId="26205"/>
    <cellStyle name="Total 5 12 2" xfId="26206"/>
    <cellStyle name="Input 12 10 2" xfId="26207"/>
    <cellStyle name="Total 3 4 9 2" xfId="26208"/>
    <cellStyle name="Output 5 4 10 2" xfId="26209"/>
    <cellStyle name="Total 13 5 5 2" xfId="26210"/>
    <cellStyle name="Calculation 2 2 5 3 5 2" xfId="26211"/>
    <cellStyle name="Calculation 2 3 2 3 5 2" xfId="26212"/>
    <cellStyle name="Calculation 2 11 6 2" xfId="26213"/>
    <cellStyle name="Calculation 2 2 2 4 6 2" xfId="26214"/>
    <cellStyle name="Calculation 2 2 4 4 6 2" xfId="26215"/>
    <cellStyle name="Calculation 2 3 4 6 2" xfId="26216"/>
    <cellStyle name="Calculation 3 7 6 2" xfId="26217"/>
    <cellStyle name="Input 2 4 4 6 2" xfId="26218"/>
    <cellStyle name="Input 5 7 6 2" xfId="26219"/>
    <cellStyle name="Input 6 5 6 2" xfId="26220"/>
    <cellStyle name="Input 7 4 6 2" xfId="26221"/>
    <cellStyle name="Calculation 3 5 3 5 2" xfId="26222"/>
    <cellStyle name="Note 3 2 9 6 2" xfId="26223"/>
    <cellStyle name="Output 2 2 2 4 6 2" xfId="26224"/>
    <cellStyle name="Header2 4 6 2" xfId="26225"/>
    <cellStyle name="Input 17 5 5 2" xfId="26226"/>
    <cellStyle name="Input 5 4 5 5 2" xfId="26227"/>
    <cellStyle name="Note 3 6 5 5 2" xfId="26228"/>
    <cellStyle name="StmtTtl2 4 6 2" xfId="26229"/>
    <cellStyle name="Input 2 5 2 3 5 2" xfId="26230"/>
    <cellStyle name="Total 2 2 4 4 6 2" xfId="26231"/>
    <cellStyle name="Total 2 5 4 6 2" xfId="26232"/>
    <cellStyle name="Total 2 6 4 6 2" xfId="26233"/>
    <cellStyle name="Output 4 5 5 5 2" xfId="26234"/>
    <cellStyle name="Calculation 7 3 5 2" xfId="26235"/>
    <cellStyle name="Note 2 6 3 5 2" xfId="26236"/>
    <cellStyle name="Note 3 4 3 5 2" xfId="26237"/>
    <cellStyle name="Note 5 2 5 5 2" xfId="26238"/>
    <cellStyle name="Output 5 2 3 5 2" xfId="26239"/>
    <cellStyle name="Output 11 3 5 2" xfId="26240"/>
    <cellStyle name="Input 5 3 3 5 2" xfId="26241"/>
    <cellStyle name="Input 15 3 5 2" xfId="26242"/>
    <cellStyle name="Calculation 2 7 3 5 2" xfId="26243"/>
    <cellStyle name="Calculation 11 3 5 2" xfId="26244"/>
    <cellStyle name="Note 3 2 5 3 5 2" xfId="26245"/>
    <cellStyle name="Note 5 3 3 5 2" xfId="26246"/>
    <cellStyle name="Note 6 3 3 5 2" xfId="26247"/>
    <cellStyle name="Note 8 2 3 5 2" xfId="26248"/>
    <cellStyle name="Total 2 8 3 5 2" xfId="26249"/>
    <cellStyle name="Total 5 2 3 5 2" xfId="26250"/>
    <cellStyle name="Total 12 3 5 2" xfId="26251"/>
    <cellStyle name="Total 5 3 3 5 2" xfId="26252"/>
    <cellStyle name="Input 18 3 5 2" xfId="26253"/>
    <cellStyle name="Calculation 2 8 3 5 2" xfId="26254"/>
    <cellStyle name="Calculation 4 4 3 5 2" xfId="26255"/>
    <cellStyle name="Calculation 5 3 3 5 2" xfId="26256"/>
    <cellStyle name="Input 4 4 3 5 2" xfId="26257"/>
    <cellStyle name="Note 4 2 4 3 5 2" xfId="26258"/>
    <cellStyle name="Note 7 4 3 5 2" xfId="26259"/>
    <cellStyle name="Note 7 2 3 3 5 2" xfId="26260"/>
    <cellStyle name="Output 3 5 3 5 2" xfId="26261"/>
    <cellStyle name="Output 4 5 3 5 2" xfId="26262"/>
    <cellStyle name="Input 3 4 5 5 2" xfId="26263"/>
    <cellStyle name="Note 4 2 6 8 2" xfId="26264"/>
    <cellStyle name="Note 2 5 3 8 2" xfId="26265"/>
    <cellStyle name="Note 2 3 2 3 8 2" xfId="26266"/>
    <cellStyle name="Calculation 2 9 8 2" xfId="26267"/>
    <cellStyle name="Header2 2 8 2" xfId="26268"/>
    <cellStyle name="Input 2 9 8 2" xfId="26269"/>
    <cellStyle name="Input 2 2 2 2 8 2" xfId="26270"/>
    <cellStyle name="Total 2 2 4 3 8 2" xfId="26271"/>
    <cellStyle name="Total 2 12 8 2" xfId="26272"/>
    <cellStyle name="Note 2 9 8 2" xfId="26273"/>
    <cellStyle name="Output 2 2 3 2 8 2" xfId="26274"/>
    <cellStyle name="Output 2 4 2 8 2" xfId="26275"/>
    <cellStyle name="Output 3 6 8 2" xfId="26276"/>
    <cellStyle name="Input 3 6 8 2" xfId="26277"/>
    <cellStyle name="Input 2 4 3 8 2" xfId="26278"/>
    <cellStyle name="StmtTtl2 2 8 2" xfId="26279"/>
    <cellStyle name="Total 2 2 5 8 2" xfId="26280"/>
    <cellStyle name="Total 2 3 2 8 2" xfId="26281"/>
    <cellStyle name="Total 2 4 2 8 2" xfId="26282"/>
    <cellStyle name="Total 3 6 8 2" xfId="26283"/>
    <cellStyle name="Total 2 6 3 8 2" xfId="26284"/>
    <cellStyle name="Input 12 2 8 2" xfId="26285"/>
    <cellStyle name="Calculation 9 2 8 2" xfId="26286"/>
    <cellStyle name="Output 8 2 8 2" xfId="26287"/>
    <cellStyle name="Output 4 5 2 8 2" xfId="26288"/>
    <cellStyle name="Calculation 9 4 5 2" xfId="26289"/>
    <cellStyle name="Note 4 5 5 5 2" xfId="26290"/>
    <cellStyle name="Input 2 9 3 5 2" xfId="26291"/>
    <cellStyle name="Output 5 2 4 5 2" xfId="26292"/>
    <cellStyle name="Note 6 2 3 5 5 2" xfId="26293"/>
    <cellStyle name="StmtTtl2 6 2" xfId="26294"/>
    <cellStyle name="Input 18 4 5 2" xfId="26295"/>
    <cellStyle name="Calculation 12 4 5 2" xfId="26296"/>
    <cellStyle name="Input 2 2 4 2 2 5 2" xfId="26297"/>
    <cellStyle name="Input 2 3 2 2 5 2" xfId="26298"/>
    <cellStyle name="Input 2 5 2 2 5 2" xfId="26299"/>
    <cellStyle name="Note 2 2 7 2 5 2" xfId="26300"/>
    <cellStyle name="Note 3 2 2 2 2 5 2" xfId="26301"/>
    <cellStyle name="styleColumnTitles 2 2 2 5 2" xfId="26302"/>
    <cellStyle name="styleSeriesAttributes 2 2 2 5 2" xfId="26303"/>
    <cellStyle name="styleSeriesData 2 2 2 5 2" xfId="26304"/>
    <cellStyle name="Calculation 5 3 2 2 5 2" xfId="26305"/>
    <cellStyle name="Input 3 4 2 2 5 2" xfId="26306"/>
    <cellStyle name="Input 4 4 2 2 5 2" xfId="26307"/>
    <cellStyle name="Input 5 4 2 2 5 2" xfId="26308"/>
    <cellStyle name="Note 2 8 2 2 5 2" xfId="26309"/>
    <cellStyle name="Note 2 2 5 2 2 5 2" xfId="26310"/>
    <cellStyle name="Note 3 6 2 2 5 2" xfId="26311"/>
    <cellStyle name="Note 3 2 6 2 2 5 2" xfId="26312"/>
    <cellStyle name="Note 8 3 2 2 5 2" xfId="26313"/>
    <cellStyle name="Output 2 9 2 2 5 2" xfId="26314"/>
    <cellStyle name="Output 4 5 2 2 5 2" xfId="26315"/>
    <cellStyle name="Output 5 4 2 2 5 2" xfId="26316"/>
    <cellStyle name="Total 2 15 2" xfId="26317"/>
    <cellStyle name="Total 2 2 9 2" xfId="26318"/>
    <cellStyle name="Total 2 2 2 6 2" xfId="26319"/>
    <cellStyle name="Total 2 2 3 6 2" xfId="26320"/>
    <cellStyle name="Total 2 2 4 6 2" xfId="26321"/>
    <cellStyle name="Total 2 3 6 2" xfId="26322"/>
    <cellStyle name="Total 2 4 6 2" xfId="26323"/>
    <cellStyle name="Total 2 5 6 2" xfId="26324"/>
    <cellStyle name="Total 3 10 2" xfId="26325"/>
    <cellStyle name="Total 3 5 2 2 5 2" xfId="26326"/>
    <cellStyle name="Input 20 2 2 5 2" xfId="26327"/>
    <cellStyle name="Output 2 10 3 5 2" xfId="26328"/>
    <cellStyle name="Output 2 2 5 3 5 2" xfId="26329"/>
    <cellStyle name="Output 2 2 3 2 3 5 2" xfId="26330"/>
    <cellStyle name="Output 2 3 2 3 5 2" xfId="26331"/>
    <cellStyle name="Output 2 5 2 3 5 2" xfId="26332"/>
    <cellStyle name="Input 7 3 3 5 2" xfId="26333"/>
    <cellStyle name="Input 2 2 4 3 3 5 2" xfId="26334"/>
    <cellStyle name="Calculation 2 4 3 3 5 2" xfId="26335"/>
    <cellStyle name="Note 5 2 6 4 2" xfId="26336"/>
    <cellStyle name="Output 2 9 2 2 4 2" xfId="26337"/>
    <cellStyle name="Note 6 2 3 2 2 4 2" xfId="26338"/>
    <cellStyle name="Note 5 2 3 2 2 4 2" xfId="26339"/>
    <cellStyle name="Input 5 4 2 2 4 2" xfId="26340"/>
    <cellStyle name="Output 13 2 2 4 2" xfId="26341"/>
    <cellStyle name="Input 19 2 2 4 2" xfId="26342"/>
    <cellStyle name="Total 3 4 2 2 4 2" xfId="26343"/>
    <cellStyle name="Note 8 2 2 2 4 2" xfId="26344"/>
    <cellStyle name="Note 5 5 2 4 2" xfId="26345"/>
    <cellStyle name="Note 2 10 2 4 2" xfId="26346"/>
    <cellStyle name="Input 5 6 2 4 2" xfId="26347"/>
    <cellStyle name="Output 3 5 4 4 2" xfId="26348"/>
    <cellStyle name="Note 2 2 4 4 4 2" xfId="26349"/>
    <cellStyle name="Input 21 2 7 2" xfId="26350"/>
    <cellStyle name="Input 13 2 7 2" xfId="26351"/>
    <cellStyle name="styleSeriesAttributes 2 8 2" xfId="26352"/>
    <cellStyle name="Note 2 3 2 2 7 2" xfId="26353"/>
    <cellStyle name="Note 7 4 5 5 2" xfId="26354"/>
    <cellStyle name="Note 2 3 3 7 2" xfId="26355"/>
    <cellStyle name="Input 2 3 2 7 2" xfId="26356"/>
    <cellStyle name="Calculation 2 2 5 7 2" xfId="26357"/>
    <cellStyle name="Total 2 10 3 4 2" xfId="26358"/>
    <cellStyle name="Input 5 4 3 4 2" xfId="26359"/>
    <cellStyle name="Total 3 4 3 4 2" xfId="26360"/>
    <cellStyle name="Output 12 3 4 2" xfId="26361"/>
    <cellStyle name="Output 3 3 3 4 2" xfId="26362"/>
    <cellStyle name="Total 8 3 4 2" xfId="26363"/>
    <cellStyle name="Calculation 2 5 2 3 4 2" xfId="26364"/>
    <cellStyle name="Total 5 4 5 4 2" xfId="26365"/>
    <cellStyle name="Total 4 5 5 4 2" xfId="26366"/>
    <cellStyle name="Output 5 4 5 4 2" xfId="26367"/>
    <cellStyle name="Calculation 2 8 5 4 2" xfId="26368"/>
    <cellStyle name="Calculation 2 7 5 4 2" xfId="26369"/>
    <cellStyle name="Input 13 4 5 2" xfId="26370"/>
    <cellStyle name="Calculation 2 3 3 2 5 2" xfId="26371"/>
    <cellStyle name="Input 4 2 2 2 5 2" xfId="26372"/>
    <cellStyle name="Note 4 2 2 4 4 2" xfId="26373"/>
    <cellStyle name="Note 2 2 2 4 5 2" xfId="26374"/>
    <cellStyle name="Input 5 5 3 4 2" xfId="26375"/>
    <cellStyle name="Note 4 2 6 3 4 2" xfId="26376"/>
    <cellStyle name="Input 3 2 5 4 2" xfId="26377"/>
    <cellStyle name="Total 2 2 3 3 3 4 2" xfId="26378"/>
    <cellStyle name="Output 2 12 5 2" xfId="26379"/>
    <cellStyle name="Note 3 2 2 4 5 2" xfId="26380"/>
    <cellStyle name="Note 3 2 9 5 2" xfId="26381"/>
    <cellStyle name="Note 2 4 5 5 2" xfId="26382"/>
    <cellStyle name="Input 2 2 3 4 5 2" xfId="26383"/>
    <cellStyle name="Input 2 11 5 2" xfId="26384"/>
    <cellStyle name="Calculation 2 2 3 2 3 4 2" xfId="26385"/>
    <cellStyle name="Calculation 3 2 5 4 2" xfId="26386"/>
    <cellStyle name="Calculation 7 4 4 2" xfId="26387"/>
    <cellStyle name="Input 18 2 2 5 2" xfId="26388"/>
    <cellStyle name="Input 20 9 2" xfId="26389"/>
    <cellStyle name="Total 5 4 9 2" xfId="26390"/>
    <cellStyle name="Note 6 4 9 2" xfId="26391"/>
    <cellStyle name="Note 2 2 5 9 2" xfId="26392"/>
    <cellStyle name="Calculation 5 11 2" xfId="26393"/>
    <cellStyle name="Input 3 4 9 2" xfId="26394"/>
    <cellStyle name="Input 2 8 9 2" xfId="26395"/>
    <cellStyle name="Calculation 12 9 2" xfId="26396"/>
    <cellStyle name="Note 2 4 2 4 6 2" xfId="26397"/>
    <cellStyle name="styleSeriesDataForecastNA 9 2" xfId="26398"/>
    <cellStyle name="Calculation 11 2 8 2" xfId="26399"/>
    <cellStyle name="Total 3 4 8 2" xfId="26400"/>
    <cellStyle name="Total 12 8 2" xfId="26401"/>
    <cellStyle name="Note 2 2 4 8 2" xfId="26402"/>
    <cellStyle name="Calculation 2 7 9 2" xfId="26403"/>
    <cellStyle name="Calculation 4 3 9 2" xfId="26404"/>
    <cellStyle name="Input 14 9 2" xfId="26405"/>
    <cellStyle name="Calculation 10 9 2" xfId="26406"/>
    <cellStyle name="Calculation 4 3 2 2 5 2" xfId="26407"/>
    <cellStyle name="Note 3 3 2 2 5 2" xfId="26408"/>
    <cellStyle name="Output 8 8 2" xfId="26409"/>
    <cellStyle name="Note 4 2 2 8 2" xfId="26410"/>
    <cellStyle name="Input [yellow] 2 3 2" xfId="26411"/>
    <cellStyle name="Note 6 2 11 2" xfId="26412"/>
    <cellStyle name="Input 5 3 10 2" xfId="26413"/>
    <cellStyle name="Note 2 2 4 3 5 2" xfId="26414"/>
    <cellStyle name="Note 3 2 7 8 2" xfId="26415"/>
    <cellStyle name="Calculation 2 2 2 3 8 2" xfId="26416"/>
    <cellStyle name="Total 2 11 8 2" xfId="26417"/>
    <cellStyle name="Note 4 7 8 2" xfId="26418"/>
    <cellStyle name="Note 3 8 8 2" xfId="26419"/>
    <cellStyle name="Output 2 2 6 8 2" xfId="26420"/>
    <cellStyle name="Note 2 3 4 8 2" xfId="26421"/>
    <cellStyle name="Calculation 2 2 3 2 8 2" xfId="26422"/>
    <cellStyle name="Input 2 2 5 2 5 2" xfId="26423"/>
    <cellStyle name="Note 11 9 2" xfId="26424"/>
    <cellStyle name="Note 4 2 2 9 2" xfId="26425"/>
    <cellStyle name="Output 2 7 9 2" xfId="26426"/>
    <cellStyle name="Input 4 3 10 2" xfId="26427"/>
    <cellStyle name="Note 6 2 2 9 2" xfId="26428"/>
    <cellStyle name="Note 7 3 9 2" xfId="26429"/>
    <cellStyle name="Total 3 3 9 2" xfId="26430"/>
    <cellStyle name="Input 18 10 2" xfId="26431"/>
    <cellStyle name="Input 2 8 10 2" xfId="26432"/>
    <cellStyle name="Input 4 4 10 2" xfId="26433"/>
    <cellStyle name="Note 4 5 10 2" xfId="26434"/>
    <cellStyle name="Note 5 4 10 2" xfId="26435"/>
    <cellStyle name="Note 7 4 10 2" xfId="26436"/>
    <cellStyle name="Output 2 9 10 2" xfId="26437"/>
    <cellStyle name="Output 3 5 10 2" xfId="26438"/>
    <cellStyle name="Input 20 10 2" xfId="26439"/>
    <cellStyle name="Note 6 7 5 2" xfId="26440"/>
    <cellStyle name="Note 4 3 4 5 2" xfId="26441"/>
    <cellStyle name="Calculation 5 6 5 2" xfId="26442"/>
    <cellStyle name="Input 16 5 5 2" xfId="26443"/>
    <cellStyle name="Calculation 2 2 3 4 6 2" xfId="26444"/>
    <cellStyle name="Input 2 2 3 4 6 2" xfId="26445"/>
    <cellStyle name="Output 2 7 2 2 5 2" xfId="26446"/>
    <cellStyle name="Note 7 2 3 2 2 5 2" xfId="26447"/>
    <cellStyle name="Input 21 2 2 5 2" xfId="26448"/>
    <cellStyle name="Input 2 4 3 3 5 2" xfId="26449"/>
    <cellStyle name="Calculation 3 6 3 5 2" xfId="26450"/>
    <cellStyle name="Note 2 2 2 6 2" xfId="26451"/>
    <cellStyle name="Note 2 5 6 2" xfId="26452"/>
    <cellStyle name="Note 3 3 6 2" xfId="26453"/>
    <cellStyle name="Note 4 2 8 2" xfId="26454"/>
    <cellStyle name="Output 2 5 6 2" xfId="26455"/>
    <cellStyle name="Input 4 2 10 2" xfId="26456"/>
    <cellStyle name="Note 2 6 9 2" xfId="26457"/>
    <cellStyle name="Note 3 4 9 2" xfId="26458"/>
    <cellStyle name="Note 5 12 2" xfId="26459"/>
    <cellStyle name="Note 8 11 2" xfId="26460"/>
    <cellStyle name="Output 7 9 2" xfId="26461"/>
    <cellStyle name="Output 3 2 9 2" xfId="26462"/>
    <cellStyle name="Output 5 2 9 2" xfId="26463"/>
    <cellStyle name="Output 11 9 2" xfId="26464"/>
    <cellStyle name="Input 3 3 10 2" xfId="26465"/>
    <cellStyle name="Note 7 2 2 9 2" xfId="26466"/>
    <cellStyle name="Output 12 9 2" xfId="26467"/>
    <cellStyle name="Output 4 4 9 2" xfId="26468"/>
    <cellStyle name="Total 10 9 2" xfId="26469"/>
    <cellStyle name="Total 4 3 9 2" xfId="26470"/>
    <cellStyle name="Total 2 9 9 2" xfId="26471"/>
    <cellStyle name="Calculation 12 10 2" xfId="26472"/>
    <cellStyle name="Input 19 10 2" xfId="26473"/>
    <cellStyle name="Input 3 4 10 2" xfId="26474"/>
    <cellStyle name="Input 5 4 10 2" xfId="26475"/>
    <cellStyle name="Note 2 8 10 2" xfId="26476"/>
    <cellStyle name="Note 3 6 10 2" xfId="26477"/>
    <cellStyle name="Note 3 2 6 10 2" xfId="26478"/>
    <cellStyle name="Note 4 2 4 10 2" xfId="26479"/>
    <cellStyle name="Note 5 2 3 10 2" xfId="26480"/>
    <cellStyle name="Note 6 2 3 10 2" xfId="26481"/>
    <cellStyle name="Note 7 2 3 10 2" xfId="26482"/>
    <cellStyle name="Note 8 3 10 2" xfId="26483"/>
    <cellStyle name="Output 4 5 10 2" xfId="26484"/>
    <cellStyle name="Total 2 10 10 2" xfId="26485"/>
    <cellStyle name="Total 3 5 10 2" xfId="26486"/>
    <cellStyle name="Total 4 5 10 2" xfId="26487"/>
    <cellStyle name="Total 5 4 10 2" xfId="26488"/>
    <cellStyle name="Input 10 5 5 2" xfId="26489"/>
    <cellStyle name="Calculation 3 4 5 5 2" xfId="26490"/>
    <cellStyle name="Calculation 2 9 3 5 2" xfId="26491"/>
    <cellStyle name="Calculation 2 2 3 2 3 5 2" xfId="26492"/>
    <cellStyle name="Total 2 4 3 3 5 2" xfId="26493"/>
    <cellStyle name="Calculation 2 2 7 6 2" xfId="26494"/>
    <cellStyle name="Calculation 2 4 4 6 2" xfId="26495"/>
    <cellStyle name="Input 2 2 4 4 6 2" xfId="26496"/>
    <cellStyle name="Input 8 4 6 2" xfId="26497"/>
    <cellStyle name="Calculation 5 2 5 5 2" xfId="26498"/>
    <cellStyle name="Note 2 3 5 6 2" xfId="26499"/>
    <cellStyle name="Note 3 2 2 4 6 2" xfId="26500"/>
    <cellStyle name="Output 2 2 7 6 2" xfId="26501"/>
    <cellStyle name="Input 2 6 5 5 2" xfId="26502"/>
    <cellStyle name="Input 11 5 5 2" xfId="26503"/>
    <cellStyle name="Calculation 11 5 5 2" xfId="26504"/>
    <cellStyle name="Note 2 8 5 5 2" xfId="26505"/>
    <cellStyle name="Calculation 2 4 2 3 5 2" xfId="26506"/>
    <cellStyle name="Total 2 3 4 6 2" xfId="26507"/>
    <cellStyle name="Total 2 4 4 6 2" xfId="26508"/>
    <cellStyle name="Total 3 8 6 2" xfId="26509"/>
    <cellStyle name="Note 4 2 2 4 5 2" xfId="26510"/>
    <cellStyle name="Calculation 2 5 3 3 5 2" xfId="26511"/>
    <cellStyle name="Calculation 2 6 3 5 2" xfId="26512"/>
    <cellStyle name="Note 2 2 3 3 5 2" xfId="26513"/>
    <cellStyle name="Note 5 6 5 2" xfId="26514"/>
    <cellStyle name="Note 7 2 5 5 2" xfId="26515"/>
    <cellStyle name="Input 10 4 5 2" xfId="26516"/>
    <cellStyle name="Calculation 5 2 3 5 2" xfId="26517"/>
    <cellStyle name="Calculation 4 3 3 5 2" xfId="26518"/>
    <cellStyle name="Note 3 5 3 5 2" xfId="26519"/>
    <cellStyle name="Note 4 4 3 5 2" xfId="26520"/>
    <cellStyle name="Note 5 2 2 3 5 2" xfId="26521"/>
    <cellStyle name="Note 6 2 2 3 5 2" xfId="26522"/>
    <cellStyle name="Output 12 3 5 2" xfId="26523"/>
    <cellStyle name="Total 11 3 5 2" xfId="26524"/>
    <cellStyle name="Total 4 3 3 5 2" xfId="26525"/>
    <cellStyle name="Total 2 9 3 5 2" xfId="26526"/>
    <cellStyle name="Calculation 3 4 3 5 2" xfId="26527"/>
    <cellStyle name="Input 2 8 3 5 2" xfId="26528"/>
    <cellStyle name="Input 3 4 3 5 2" xfId="26529"/>
    <cellStyle name="Note 5 2 3 3 5 2" xfId="26530"/>
    <cellStyle name="Note 6 4 3 5 2" xfId="26531"/>
    <cellStyle name="Note 8 3 3 5 2" xfId="26532"/>
    <cellStyle name="Output 2 9 3 5 2" xfId="26533"/>
    <cellStyle name="Output 5 4 3 5 2" xfId="26534"/>
    <cellStyle name="Calculation 5 3 5 5 2" xfId="26535"/>
    <cellStyle name="Calculation 4 4 5 5 2" xfId="26536"/>
    <cellStyle name="Note 3 3 3 8 2" xfId="26537"/>
    <cellStyle name="Note 2 4 2 3 8 2" xfId="26538"/>
    <cellStyle name="Note 2 2 2 3 8 2" xfId="26539"/>
    <cellStyle name="Calculation 3 5 8 2" xfId="26540"/>
    <cellStyle name="Input 2 5 3 8 2" xfId="26541"/>
    <cellStyle name="Input 2 2 5 8 2" xfId="26542"/>
    <cellStyle name="Input 7 2 8 2" xfId="26543"/>
    <cellStyle name="Total 2 4 3 8 2" xfId="26544"/>
    <cellStyle name="Total 2 2 3 3 8 2" xfId="26545"/>
    <cellStyle name="Note 2 2 6 8 2" xfId="26546"/>
    <cellStyle name="Output 2 3 2 8 2" xfId="26547"/>
    <cellStyle name="Input 7 3 8 2" xfId="26548"/>
    <cellStyle name="Input 5 6 8 2" xfId="26549"/>
    <cellStyle name="Input 2 2 4 3 8 2" xfId="26550"/>
    <cellStyle name="Input 2 2 2 3 8 2" xfId="26551"/>
    <cellStyle name="Total 2 2 2 2 8 2" xfId="26552"/>
    <cellStyle name="Total 2 2 4 2 8 2" xfId="26553"/>
    <cellStyle name="Total 2 5 2 8 2" xfId="26554"/>
    <cellStyle name="Total 2 6 2 8 2" xfId="26555"/>
    <cellStyle name="Output 2 5 3 8 2" xfId="26556"/>
    <cellStyle name="Total 8 4 5 2" xfId="26557"/>
    <cellStyle name="Total 5 3 4 5 2" xfId="26558"/>
    <cellStyle name="Input 19 5 5 2" xfId="26559"/>
    <cellStyle name="Input 19 4 5 2" xfId="26560"/>
    <cellStyle name="Note 4 5 2 2 5 2" xfId="26561"/>
    <cellStyle name="Total 2 6 6 2" xfId="26562"/>
    <cellStyle name="Note 2 9 3 5 2" xfId="26563"/>
    <cellStyle name="Input 3 6 3 5 2" xfId="26564"/>
    <cellStyle name="Total 4 2 3 4 2" xfId="26565"/>
    <cellStyle name="Note 9 2 8 2" xfId="26566"/>
    <cellStyle name="Input 2 3 4 6 2" xfId="26567"/>
    <cellStyle name="Input 4 5 3 4 2" xfId="26568"/>
    <cellStyle name="Total 2 2 4 3 3 4 2" xfId="26569"/>
    <cellStyle name="Note 2 3 5 5 2" xfId="26570"/>
    <cellStyle name="Total 2 10 2 2 4 2" xfId="26571"/>
    <cellStyle name="Output 4 5 2 2 4 2" xfId="26572"/>
    <cellStyle name="Note 7 2 3 2 2 4 2" xfId="26573"/>
    <cellStyle name="Note 4 2 4 2 2 4 2" xfId="26574"/>
    <cellStyle name="Note 3 2 6 2 2 4 2" xfId="26575"/>
    <cellStyle name="Note 2 2 5 2 2 4 2" xfId="26576"/>
    <cellStyle name="Input 2 8 2 2 4 2" xfId="26577"/>
    <cellStyle name="Calculation 4 4 2 2 4 2" xfId="26578"/>
    <cellStyle name="Calculation 2 8 2 2 4 2" xfId="26579"/>
    <cellStyle name="Input 21 2 8 2" xfId="26580"/>
    <cellStyle name="Total 5 5 2 4 2" xfId="26581"/>
    <cellStyle name="Note 6 2 2 2 2 4 2" xfId="26582"/>
    <cellStyle name="Note 5 2 2 2 2 4 2" xfId="26583"/>
    <cellStyle name="Calculation 11 2 2 4 2" xfId="26584"/>
    <cellStyle name="Calculation 2 7 2 2 4 2" xfId="26585"/>
    <cellStyle name="styleDateRange 2 3 4 2" xfId="26586"/>
    <cellStyle name="Note 3 2 4 2 2 4 2" xfId="26587"/>
    <cellStyle name="Note 2 2 3 2 2 4 2" xfId="26588"/>
    <cellStyle name="Calculation 4 2 2 2 4 2" xfId="26589"/>
    <cellStyle name="Calculation 3 2 2 2 4 2" xfId="26590"/>
    <cellStyle name="Total 2 3 2 2 4 2" xfId="26591"/>
    <cellStyle name="Output 2 11 2 4 2" xfId="26592"/>
    <cellStyle name="Output 2 2 4 3 2 4 2" xfId="26593"/>
    <cellStyle name="Input 8 3 2 4 2" xfId="26594"/>
    <cellStyle name="Note 3 3 2 2 4 2" xfId="26595"/>
    <cellStyle name="Calculation 2 9 2 4 2" xfId="26596"/>
    <cellStyle name="Output 2 5 2 2 4 2" xfId="26597"/>
    <cellStyle name="Output 2 3 2 2 4 2" xfId="26598"/>
    <cellStyle name="Note 2 2 6 2 4 2" xfId="26599"/>
    <cellStyle name="Note 2 9 2 4 2" xfId="26600"/>
    <cellStyle name="Note 7 2 3 4 4 2" xfId="26601"/>
    <cellStyle name="Note 6 2 3 4 4 2" xfId="26602"/>
    <cellStyle name="Input 5 4 4 4 2" xfId="26603"/>
    <cellStyle name="Input 4 4 4 4 2" xfId="26604"/>
    <cellStyle name="Output 10 4 4 2" xfId="26605"/>
    <cellStyle name="Calculation 2 7 4 4 2" xfId="26606"/>
    <cellStyle name="Input 2 7 4 4 2" xfId="26607"/>
    <cellStyle name="Input 3 3 4 4 2" xfId="26608"/>
    <cellStyle name="Note 4 4 9 2" xfId="26609"/>
    <cellStyle name="Total 5 4 2 7 2" xfId="26610"/>
    <cellStyle name="styleSeriesDataForecast 2 9 2" xfId="26611"/>
    <cellStyle name="Calculation 2 7 2 8 2" xfId="26612"/>
    <cellStyle name="Total 5 3 2 7 2" xfId="26613"/>
    <cellStyle name="Total 4 4 2 7 2" xfId="26614"/>
    <cellStyle name="Output 2 6 2 7 2" xfId="26615"/>
    <cellStyle name="Input 16 2 7 2" xfId="26616"/>
    <cellStyle name="Calculation 10 2 7 2" xfId="26617"/>
    <cellStyle name="Output 4 3 2 7 2" xfId="26618"/>
    <cellStyle name="Output 5 2 2 7 2" xfId="26619"/>
    <cellStyle name="Style 26 2 2 7 2" xfId="26620"/>
    <cellStyle name="Input 5 2 2 7 2" xfId="26621"/>
    <cellStyle name="Calculation 7 2 7 2" xfId="26622"/>
    <cellStyle name="Total 2 2 2 3 8 2" xfId="26623"/>
    <cellStyle name="Style 24 8 2" xfId="26624"/>
    <cellStyle name="Style 23 2 8 2" xfId="26625"/>
    <cellStyle name="Output 5 4 5 5 2" xfId="26626"/>
    <cellStyle name="Output 3 7 7 2" xfId="26627"/>
    <cellStyle name="Total 2 2 2 3 7 2" xfId="26628"/>
    <cellStyle name="Total 2 2 3 2 7 2" xfId="26629"/>
    <cellStyle name="Total 2 6 2 7 2" xfId="26630"/>
    <cellStyle name="Total 2 4 2 7 2" xfId="26631"/>
    <cellStyle name="Total 2 3 2 7 2" xfId="26632"/>
    <cellStyle name="Total 2 2 4 2 7 2" xfId="26633"/>
    <cellStyle name="Input 2 2 2 3 7 2" xfId="26634"/>
    <cellStyle name="Input 2 4 3 7 2" xfId="26635"/>
    <cellStyle name="Input 3 6 7 2" xfId="26636"/>
    <cellStyle name="Input 5 6 7 2" xfId="26637"/>
    <cellStyle name="Calculation 2 5 3 7 2" xfId="26638"/>
    <cellStyle name="Total 2 12 7 2" xfId="26639"/>
    <cellStyle name="Total 2 2 4 3 7 2" xfId="26640"/>
    <cellStyle name="Total 2 4 3 7 2" xfId="26641"/>
    <cellStyle name="Input 5 2 3 5 2" xfId="26642"/>
    <cellStyle name="Input 2 2 2 2 7 2" xfId="26643"/>
    <cellStyle name="Input 2 9 7 2" xfId="26644"/>
    <cellStyle name="Input 2 5 3 7 2" xfId="26645"/>
    <cellStyle name="Header2 2 7 2" xfId="26646"/>
    <cellStyle name="Note 2 3 2 3 7 2" xfId="26647"/>
    <cellStyle name="Note 2 5 3 7 2" xfId="26648"/>
    <cellStyle name="Note 3 3 3 7 2" xfId="26649"/>
    <cellStyle name="Note 4 2 6 7 2" xfId="26650"/>
    <cellStyle name="Calculation 2 7 10 2" xfId="26651"/>
    <cellStyle name="Input 3 4 5 4 2" xfId="26652"/>
    <cellStyle name="Calculation 5 3 5 4 2" xfId="26653"/>
    <cellStyle name="Input 4 4 5 4 2" xfId="26654"/>
    <cellStyle name="Output 3 5 3 4 2" xfId="26655"/>
    <cellStyle name="Note 8 3 3 4 2" xfId="26656"/>
    <cellStyle name="Note 7 2 3 3 4 2" xfId="26657"/>
    <cellStyle name="Note 7 4 3 4 2" xfId="26658"/>
    <cellStyle name="Input 2 8 3 4 2" xfId="26659"/>
    <cellStyle name="Calculation 4 4 3 4 2" xfId="26660"/>
    <cellStyle name="Calculation 3 4 3 4 2" xfId="26661"/>
    <cellStyle name="Calculation 2 8 3 4 2" xfId="26662"/>
    <cellStyle name="Note 2 2 2 4 6 2" xfId="26663"/>
    <cellStyle name="styleSeriesAttributes 2 9 2" xfId="26664"/>
    <cellStyle name="Input 13 2 8 2" xfId="26665"/>
    <cellStyle name="Total 5 2 3 4 2" xfId="26666"/>
    <cellStyle name="Total 4 3 3 4 2" xfId="26667"/>
    <cellStyle name="Note 7 2 2 3 4 2" xfId="26668"/>
    <cellStyle name="Note 6 2 2 3 4 2" xfId="26669"/>
    <cellStyle name="Note 6 3 3 4 2" xfId="26670"/>
    <cellStyle name="Note 5 2 2 3 4 2" xfId="26671"/>
    <cellStyle name="Note 3 5 3 4 2" xfId="26672"/>
    <cellStyle name="Calculation 3 3 3 4 2" xfId="26673"/>
    <cellStyle name="Calculation 5 2 3 4 2" xfId="26674"/>
    <cellStyle name="Input 13 3 4 2" xfId="26675"/>
    <cellStyle name="Input 15 3 4 2" xfId="26676"/>
    <cellStyle name="Calculation 7 8 2" xfId="26677"/>
    <cellStyle name="Calculation 2 6 8 2" xfId="26678"/>
    <cellStyle name="Calculation 3 2 8 2" xfId="26679"/>
    <cellStyle name="Calculation 4 2 8 2" xfId="26680"/>
    <cellStyle name="Calculation 5 9 2" xfId="26681"/>
    <cellStyle name="Calculation 8 3 4 2" xfId="26682"/>
    <cellStyle name="Output 9 7 2" xfId="26683"/>
    <cellStyle name="Calculation 9 3 4 2" xfId="26684"/>
    <cellStyle name="Input 11 3 4 2" xfId="26685"/>
    <cellStyle name="Input 12 3 4 2" xfId="26686"/>
    <cellStyle name="Output 4 2 3 4 2" xfId="26687"/>
    <cellStyle name="Output 7 3 4 2" xfId="26688"/>
    <cellStyle name="Output 2 6 3 4 2" xfId="26689"/>
    <cellStyle name="Note 7 2 5 4 2" xfId="26690"/>
    <cellStyle name="Output 2 9 5 4 2" xfId="26691"/>
    <cellStyle name="Note 8 3 5 4 2" xfId="26692"/>
    <cellStyle name="Note 2 6 4 5 2" xfId="26693"/>
    <cellStyle name="Total 3 5 5 4 2" xfId="26694"/>
    <cellStyle name="Input 2 2 5 3 4 2" xfId="26695"/>
    <cellStyle name="Note 11 4 4 2" xfId="26696"/>
    <cellStyle name="Input 10 3 6 2" xfId="26697"/>
    <cellStyle name="Total 2 2 2 2 7 2" xfId="26698"/>
    <cellStyle name="Total 4 5 9 2" xfId="26699"/>
    <cellStyle name="Note 3 2 6 9 2" xfId="26700"/>
    <cellStyle name="Input 18 9 2" xfId="26701"/>
    <cellStyle name="Note 7 2 2 8 2" xfId="26702"/>
    <cellStyle name="Note 3 2 5 8 2" xfId="26703"/>
    <cellStyle name="Calculation 5 2 9 2" xfId="26704"/>
    <cellStyle name="Note 12 3 5 2" xfId="26705"/>
    <cellStyle name="Calculation 8 10 2" xfId="26706"/>
    <cellStyle name="Input 4 3 9 2" xfId="26707"/>
    <cellStyle name="Input 2 7 9 2" xfId="26708"/>
    <cellStyle name="Input 3 3 9 2" xfId="26709"/>
    <cellStyle name="Total 3 4 2 2 5 2" xfId="26710"/>
    <cellStyle name="Style 25 2 2 7 2" xfId="26711"/>
    <cellStyle name="Note 2 9 2 5 2" xfId="26712"/>
    <cellStyle name="Input 3 3 3 5 2" xfId="26713"/>
    <cellStyle name="Input 11 9 2" xfId="26714"/>
    <cellStyle name="Input 12 9 2" xfId="26715"/>
    <cellStyle name="Input 2 7 3 5 2" xfId="26716"/>
    <cellStyle name="Calculation 8 9 2" xfId="26717"/>
    <cellStyle name="Output 7 2 7 2" xfId="26718"/>
    <cellStyle name="Calculation 11 2 2 5 2" xfId="26719"/>
    <cellStyle name="Output 2 6 8 2" xfId="26720"/>
    <cellStyle name="Output 5 11 2" xfId="26721"/>
    <cellStyle name="Output 4 2 8 2" xfId="26722"/>
    <cellStyle name="Output 3 2 8 2" xfId="26723"/>
    <cellStyle name="Note 3 2 4 8 2" xfId="26724"/>
    <cellStyle name="Note 2 2 3 8 2" xfId="26725"/>
    <cellStyle name="Note 2 6 8 2" xfId="26726"/>
    <cellStyle name="Input 10 8 2" xfId="26727"/>
    <cellStyle name="Input 2 6 8 2" xfId="26728"/>
    <cellStyle name="Input 3 2 8 2" xfId="26729"/>
    <cellStyle name="Input 4 2 8 2" xfId="26730"/>
    <cellStyle name="Input 5 2 8 2" xfId="26731"/>
    <cellStyle name="Note 6 12 2" xfId="26732"/>
    <cellStyle name="Calculation 9 10 2" xfId="26733"/>
    <cellStyle name="Output 8 9 2" xfId="26734"/>
    <cellStyle name="Total 8 9 2" xfId="26735"/>
    <cellStyle name="Input 11 3 5 2" xfId="26736"/>
    <cellStyle name="Note 5 3 9 2" xfId="26737"/>
    <cellStyle name="Note 8 2 9 2" xfId="26738"/>
    <cellStyle name="Output 3 4 9 2" xfId="26739"/>
    <cellStyle name="Calculation 5 10 2" xfId="26740"/>
    <cellStyle name="Input 2 2 3 2 2 5 2" xfId="26741"/>
    <cellStyle name="Note 11 7 2" xfId="26742"/>
    <cellStyle name="Note 2 6 7 2" xfId="26743"/>
    <cellStyle name="Note 2 2 3 7 2" xfId="26744"/>
    <cellStyle name="Note 3 4 7 2" xfId="26745"/>
    <cellStyle name="Note 3 2 4 7 2" xfId="26746"/>
    <cellStyle name="Note 4 3 7 2" xfId="26747"/>
    <cellStyle name="Note 4 2 2 7 2" xfId="26748"/>
    <cellStyle name="Note 5 10 2" xfId="26749"/>
    <cellStyle name="Note 5 2 9 2" xfId="26750"/>
    <cellStyle name="Note 6 10 2" xfId="26751"/>
    <cellStyle name="Note 6 2 9 2" xfId="26752"/>
    <cellStyle name="Note 7 10 2" xfId="26753"/>
    <cellStyle name="Note 7 2 9 2" xfId="26754"/>
    <cellStyle name="Note 8 9 2" xfId="26755"/>
    <cellStyle name="Note 9 8 2" xfId="26756"/>
    <cellStyle name="Output 7 7 2" xfId="26757"/>
    <cellStyle name="Output 2 6 7 2" xfId="26758"/>
    <cellStyle name="Output 3 2 7 2" xfId="26759"/>
    <cellStyle name="Output 4 2 7 2" xfId="26760"/>
    <cellStyle name="Output 5 10 2" xfId="26761"/>
    <cellStyle name="Note 2 2 2 3 2 4 2" xfId="26762"/>
    <cellStyle name="Calculation 2 2 4 2 3 5 2" xfId="26763"/>
    <cellStyle name="Input 21 5 5 2" xfId="26764"/>
    <cellStyle name="Header2 2 3 5 2" xfId="26765"/>
    <cellStyle name="Output 8 3 5 2" xfId="26766"/>
    <cellStyle name="Total 2 2 4 2 2 4 2" xfId="26767"/>
    <cellStyle name="Note 7 3 3 5 2" xfId="26768"/>
    <cellStyle name="Note 7 2 2 3 5 2" xfId="26769"/>
    <cellStyle name="Output 13 3 5 2" xfId="26770"/>
    <cellStyle name="Note 2 4 4 8 2" xfId="26771"/>
    <cellStyle name="styleDateRange 3 4 2" xfId="26772"/>
    <cellStyle name="Total 4 2 2 2 4 2" xfId="26773"/>
    <cellStyle name="Total 8 2 8 2" xfId="26774"/>
    <cellStyle name="Total 9 2 8 2" xfId="26775"/>
    <cellStyle name="Output 2 8 2 8 2" xfId="26776"/>
    <cellStyle name="Output 4 4 2 8 2" xfId="26777"/>
    <cellStyle name="Output 5 3 2 8 2" xfId="26778"/>
    <cellStyle name="Total 11 2 8 2" xfId="26779"/>
    <cellStyle name="Total 3 3 2 8 2" xfId="26780"/>
    <cellStyle name="Total 5 2 2 8 2" xfId="26781"/>
    <cellStyle name="Note 3 2 6 2 8 2" xfId="26782"/>
    <cellStyle name="Note 6 4 2 8 2" xfId="26783"/>
    <cellStyle name="Note 6 2 3 2 8 2" xfId="26784"/>
    <cellStyle name="Note 8 3 2 8 2" xfId="26785"/>
    <cellStyle name="Note 2 2 2 3 3 5 2" xfId="26786"/>
    <cellStyle name="Note 7 2 3 5 5 2" xfId="26787"/>
    <cellStyle name="Note 3 2 6 5 5 2" xfId="26788"/>
    <cellStyle name="Output 13 5 5 2" xfId="26789"/>
    <cellStyle name="Input 14 5 5 2" xfId="26790"/>
    <cellStyle name="Input 5 3 5 5 2" xfId="26791"/>
    <cellStyle name="styleDateRange 2 2 2 5 2" xfId="26792"/>
    <cellStyle name="styleSeriesDataForecast 2 2 2 5 2" xfId="26793"/>
    <cellStyle name="Calculation 10 5 5 2" xfId="26794"/>
    <cellStyle name="Total 7 7 2" xfId="26795"/>
    <cellStyle name="Total 2 7 7 2" xfId="26796"/>
    <cellStyle name="Total 3 2 7 2" xfId="26797"/>
    <cellStyle name="Total 4 2 7 2" xfId="26798"/>
    <cellStyle name="Total 5 10 2" xfId="26799"/>
    <cellStyle name="Total 4 5 2 2 5 2" xfId="26800"/>
    <cellStyle name="Note 2 3 3 3 5 2" xfId="26801"/>
    <cellStyle name="Input 2 10 3 5 2" xfId="26802"/>
    <cellStyle name="Calculation 2 2 2 3 3 5 2" xfId="26803"/>
    <cellStyle name="StmtTtl2 2 3 5 2" xfId="26804"/>
    <cellStyle name="Calculation 8 8 2" xfId="26805"/>
    <cellStyle name="Input 6 3 3 4 2" xfId="26806"/>
    <cellStyle name="Input 12 8 2" xfId="26807"/>
    <cellStyle name="Note 9 9 2" xfId="26808"/>
    <cellStyle name="Input 8 3 2 5 2" xfId="26809"/>
    <cellStyle name="Output 7 8 2" xfId="26810"/>
    <cellStyle name="Input 11 8 2" xfId="26811"/>
    <cellStyle name="Total 5 6 4 2" xfId="26812"/>
    <cellStyle name="Calculation 9 8 2" xfId="26813"/>
    <cellStyle name="Note 2 2 4 4 5 2" xfId="26814"/>
    <cellStyle name="Output 8 7 2" xfId="26815"/>
    <cellStyle name="Note 5 7 5 2" xfId="26816"/>
    <cellStyle name="Total 2 2 5 7 2" xfId="26817"/>
    <cellStyle name="Output 2 5 3 7 2" xfId="26818"/>
    <cellStyle name="Style 24 2 2 7 2" xfId="26819"/>
    <cellStyle name="Note 9 3 7 2" xfId="26820"/>
    <cellStyle name="Note 2 3 2 3 2 4 2" xfId="26821"/>
    <cellStyle name="Total 2 2 3 2 2 4 2" xfId="26822"/>
    <cellStyle name="styleColumnTitles 2 3 4 2" xfId="26823"/>
    <cellStyle name="Total 3 2 2 2 4 2" xfId="26824"/>
    <cellStyle name="Input 3 5 2 5 2" xfId="26825"/>
    <cellStyle name="Note 4 6 2 5 2" xfId="26826"/>
    <cellStyle name="Output 4 3 2 2 5 2" xfId="26827"/>
    <cellStyle name="Total 8 7 2" xfId="26828"/>
    <cellStyle name="Output 9 4 5 2" xfId="26829"/>
    <cellStyle name="Total 9 7 2" xfId="26830"/>
    <cellStyle name="Total 12 2 2 4 2" xfId="26831"/>
    <cellStyle name="Calculation 3 3 2 2 4 2" xfId="26832"/>
    <cellStyle name="Total 7 2 2 4 2" xfId="26833"/>
    <cellStyle name="Calculation 2 6 2 2 4 2" xfId="26834"/>
    <cellStyle name="Style 26 2 3 4 2" xfId="26835"/>
    <cellStyle name="Note 2 4 2 2 2 4 2" xfId="26836"/>
    <cellStyle name="Total 2 2 5 2 4 2" xfId="26837"/>
    <cellStyle name="Total 2 12 2 4 2" xfId="26838"/>
    <cellStyle name="Input 3 4 4 4 2" xfId="26839"/>
    <cellStyle name="Input 4 3 4 4 2" xfId="26840"/>
    <cellStyle name="Note 9 5 4 2" xfId="26841"/>
    <cellStyle name="Total 4 5 2 7 2" xfId="26842"/>
    <cellStyle name="Calculation 2 6 4 5 2" xfId="26843"/>
    <cellStyle name="Total 3 4 2 7 2" xfId="26844"/>
    <cellStyle name="Note 2 7 2 7 2" xfId="26845"/>
    <cellStyle name="Note 8 4 8 2" xfId="26846"/>
    <cellStyle name="Note 7 2 4 7 2" xfId="26847"/>
    <cellStyle name="Calculation 4 2 4 5 2" xfId="26848"/>
    <cellStyle name="Output 5 2 7 2" xfId="26849"/>
    <cellStyle name="Output 4 3 7 2" xfId="26850"/>
    <cellStyle name="Output 3 3 7 2" xfId="26851"/>
    <cellStyle name="Output 2 7 7 2" xfId="26852"/>
    <cellStyle name="Output 11 7 2" xfId="26853"/>
    <cellStyle name="Style 23 8 2" xfId="26854"/>
    <cellStyle name="Output 2 2 4 3 7 2" xfId="26855"/>
    <cellStyle name="Output 2 3 2 7 2" xfId="26856"/>
    <cellStyle name="Output 13 3 4 2" xfId="26857"/>
    <cellStyle name="Input 5 3 8 2" xfId="26858"/>
    <cellStyle name="Input 4 3 8 2" xfId="26859"/>
    <cellStyle name="Input 3 3 8 2" xfId="26860"/>
    <cellStyle name="Input 2 7 8 2" xfId="26861"/>
    <cellStyle name="Calculation 10 8 2" xfId="26862"/>
    <cellStyle name="Input 14 8 2" xfId="26863"/>
    <cellStyle name="Input 16 8 2" xfId="26864"/>
    <cellStyle name="Note 7 7 5 2" xfId="26865"/>
    <cellStyle name="Input 17 8 2" xfId="26866"/>
    <cellStyle name="Input 15 8 2" xfId="26867"/>
    <cellStyle name="Input 13 8 2" xfId="26868"/>
    <cellStyle name="Calculation 5 2 8 2" xfId="26869"/>
    <cellStyle name="Calculation 4 3 8 2" xfId="26870"/>
    <cellStyle name="Calculation 3 3 8 2" xfId="26871"/>
    <cellStyle name="Calculation 2 7 8 2" xfId="26872"/>
    <cellStyle name="Calculation 11 8 2" xfId="26873"/>
    <cellStyle name="Input 6 4 2 5 2" xfId="26874"/>
    <cellStyle name="Output 10 7 2" xfId="26875"/>
    <cellStyle name="Note 12 7 2" xfId="26876"/>
    <cellStyle name="Note 2 7 7 2" xfId="26877"/>
    <cellStyle name="Note 2 2 4 7 2" xfId="26878"/>
    <cellStyle name="Note 3 5 7 2" xfId="26879"/>
    <cellStyle name="Note 3 2 5 7 2" xfId="26880"/>
    <cellStyle name="Note 4 4 7 2" xfId="26881"/>
    <cellStyle name="Note 4 2 3 7 2" xfId="26882"/>
    <cellStyle name="Note 5 3 7 2" xfId="26883"/>
    <cellStyle name="Note 5 2 2 7 2" xfId="26884"/>
    <cellStyle name="Note 6 3 7 2" xfId="26885"/>
    <cellStyle name="Note 6 2 2 7 2" xfId="26886"/>
    <cellStyle name="Note 7 3 7 2" xfId="26887"/>
    <cellStyle name="Note 7 2 2 7 2" xfId="26888"/>
    <cellStyle name="Note 8 2 7 2" xfId="26889"/>
    <cellStyle name="Note 9 2 7 2" xfId="26890"/>
    <cellStyle name="Output 12 7 2" xfId="26891"/>
    <cellStyle name="Output 2 8 7 2" xfId="26892"/>
    <cellStyle name="Output 3 4 7 2" xfId="26893"/>
    <cellStyle name="Output 4 4 7 2" xfId="26894"/>
    <cellStyle name="Output 5 3 7 2" xfId="26895"/>
    <cellStyle name="Calculation 3 2 4 5 2" xfId="26896"/>
    <cellStyle name="Calculation 7 4 5 2" xfId="26897"/>
    <cellStyle name="Total 10 7 2" xfId="26898"/>
    <cellStyle name="Input 6 3 2 5 2" xfId="26899"/>
    <cellStyle name="Total 2 3 3 2 5 2" xfId="26900"/>
    <cellStyle name="Input 5 3 2 2 5 2" xfId="26901"/>
    <cellStyle name="Total 11 7 2" xfId="26902"/>
    <cellStyle name="Total 2 8 7 2" xfId="26903"/>
    <cellStyle name="Total 3 3 7 2" xfId="26904"/>
    <cellStyle name="Total 4 3 7 2" xfId="26905"/>
    <cellStyle name="Total 5 2 7 2" xfId="26906"/>
    <cellStyle name="Note 11 3 5 2" xfId="26907"/>
    <cellStyle name="Calculation 2 5 3 2 5 2" xfId="26908"/>
    <cellStyle name="Style 21 2 2 2 5 2" xfId="26909"/>
    <cellStyle name="Input 2 7 2 2 5 2" xfId="26910"/>
    <cellStyle name="Total 12 7 2" xfId="26911"/>
    <cellStyle name="Total 2 9 7 2" xfId="26912"/>
    <cellStyle name="Total 3 4 7 2" xfId="26913"/>
    <cellStyle name="Total 4 4 7 2" xfId="26914"/>
    <cellStyle name="Total 5 3 7 2" xfId="26915"/>
    <cellStyle name="Note 3 2 4 3 5 2" xfId="26916"/>
    <cellStyle name="Note 4 3 3 5 2" xfId="26917"/>
    <cellStyle name="Note 4 2 2 3 5 2" xfId="26918"/>
    <cellStyle name="Input 3 3 2 2 4 2" xfId="26919"/>
    <cellStyle name="styleSeriesAttributes 2 2 2 4 2" xfId="26920"/>
    <cellStyle name="Total 3 7 2 4 2" xfId="26921"/>
    <cellStyle name="Input 3 5 2 4 2" xfId="26922"/>
    <cellStyle name="Calculation 12 4 4 2" xfId="26923"/>
    <cellStyle name="Note 3 2 6 5 4 2" xfId="26924"/>
    <cellStyle name="Note 6 2 3 2 7 2" xfId="26925"/>
    <cellStyle name="Total 11 2 7 2" xfId="26926"/>
    <cellStyle name="Total 9 2 7 2" xfId="26927"/>
    <cellStyle name="Note 5 2 2 2 2 5 2" xfId="26928"/>
    <cellStyle name="Input 3 5 3 4 2" xfId="26929"/>
    <cellStyle name="Note 6 2 2 8 2" xfId="26930"/>
    <cellStyle name="Input 18 8 2" xfId="26931"/>
    <cellStyle name="Note 3 2 6 3 5 2" xfId="26932"/>
    <cellStyle name="Output 10 2 2 5 2" xfId="26933"/>
    <cellStyle name="Calculation 12 8 2" xfId="26934"/>
    <cellStyle name="Input 19 8 2" xfId="26935"/>
    <cellStyle name="Note 13 8 2" xfId="26936"/>
    <cellStyle name="Output 13 8 2" xfId="26937"/>
    <cellStyle name="Total 13 8 2" xfId="26938"/>
    <cellStyle name="Note 6 2 5 4 2" xfId="26939"/>
    <cellStyle name="Input 5 3 9 2" xfId="26940"/>
    <cellStyle name="Calculation 2 8 8 2" xfId="26941"/>
    <cellStyle name="Calculation 3 4 8 2" xfId="26942"/>
    <cellStyle name="Calculation 4 4 8 2" xfId="26943"/>
    <cellStyle name="Calculation 5 3 8 2" xfId="26944"/>
    <cellStyle name="styleColumnTitles 9 2" xfId="26945"/>
    <cellStyle name="Input 2 8 8 2" xfId="26946"/>
    <cellStyle name="Input 3 4 8 2" xfId="26947"/>
    <cellStyle name="Input 4 4 8 2" xfId="26948"/>
    <cellStyle name="Input 5 4 8 2" xfId="26949"/>
    <cellStyle name="Note 2 8 8 2" xfId="26950"/>
    <cellStyle name="Note 2 2 5 8 2" xfId="26951"/>
    <cellStyle name="Note 3 6 8 2" xfId="26952"/>
    <cellStyle name="Note 3 2 6 8 2" xfId="26953"/>
    <cellStyle name="Note 4 5 8 2" xfId="26954"/>
    <cellStyle name="Note 4 2 4 8 2" xfId="26955"/>
    <cellStyle name="Note 5 4 8 2" xfId="26956"/>
    <cellStyle name="Note 5 2 3 8 2" xfId="26957"/>
    <cellStyle name="Note 6 4 8 2" xfId="26958"/>
    <cellStyle name="Note 6 2 3 8 2" xfId="26959"/>
    <cellStyle name="Note 7 4 8 2" xfId="26960"/>
    <cellStyle name="Note 7 2 3 8 2" xfId="26961"/>
    <cellStyle name="Note 8 3 8 2" xfId="26962"/>
    <cellStyle name="Output 2 9 8 2" xfId="26963"/>
    <cellStyle name="Output 3 5 8 2" xfId="26964"/>
    <cellStyle name="Output 4 5 8 2" xfId="26965"/>
    <cellStyle name="Output 5 4 8 2" xfId="26966"/>
    <cellStyle name="Note 3 8 2 5 2" xfId="26967"/>
    <cellStyle name="Style 26 2 2 2 5 2" xfId="26968"/>
    <cellStyle name="Total 2 10 8 2" xfId="26969"/>
    <cellStyle name="Total 3 5 8 2" xfId="26970"/>
    <cellStyle name="Total 4 5 8 2" xfId="26971"/>
    <cellStyle name="Total 5 4 8 2" xfId="26972"/>
    <cellStyle name="Calculation 2 10 3 5 2" xfId="26973"/>
    <cellStyle name="Input 20 8 2" xfId="26974"/>
    <cellStyle name="Note 11 3 4 2" xfId="26975"/>
    <cellStyle name="Output 11 8 2" xfId="26976"/>
    <cellStyle name="Input 8 2 8 2" xfId="26977"/>
    <cellStyle name="Output 3 5 2 8 2" xfId="26978"/>
    <cellStyle name="Total 2 8 2 8 2" xfId="26979"/>
    <cellStyle name="Total 4 3 2 8 2" xfId="26980"/>
    <cellStyle name="Note 5 4 2 8 2" xfId="26981"/>
    <cellStyle name="Note 4 2 4 2 8 2" xfId="26982"/>
    <cellStyle name="Note 7 2 3 2 8 2" xfId="26983"/>
    <cellStyle name="Note 7 4 2 8 2" xfId="26984"/>
    <cellStyle name="Output 2 9 2 8 2" xfId="26985"/>
    <cellStyle name="styleSeriesDataNA 2 2 2 5 2" xfId="26986"/>
    <cellStyle name="styleSeriesDataForecastNA 2 2 2 5 2" xfId="26987"/>
    <cellStyle name="Input 2 3 2 3 4 2" xfId="26988"/>
    <cellStyle name="Input 21 8 2" xfId="26989"/>
    <cellStyle name="Input 10 3 5 2" xfId="26990"/>
    <cellStyle name="styleDateRange 2 2 8 2" xfId="26991"/>
    <cellStyle name="Note 6 7 3 2" xfId="26992"/>
    <cellStyle name="Note 5 7 3 2" xfId="26993"/>
    <cellStyle name="Note 4 3 4 3 2" xfId="26994"/>
    <cellStyle name="Note 3 4 4 3 2" xfId="26995"/>
    <cellStyle name="Note 2 6 4 3 2" xfId="26996"/>
    <cellStyle name="Input 5 2 4 3 2" xfId="26997"/>
    <cellStyle name="Input 4 2 4 3 2" xfId="26998"/>
    <cellStyle name="Input 3 2 4 3 2" xfId="26999"/>
    <cellStyle name="Note 3 5 2 2 4 2" xfId="27000"/>
    <cellStyle name="Input 3 2 2 2 4 2" xfId="27001"/>
    <cellStyle name="Input 2 2 6 2 4 2" xfId="27002"/>
    <cellStyle name="Output 2 10 2 4 2" xfId="27003"/>
    <cellStyle name="Note 4 5 4 4 2" xfId="27004"/>
    <cellStyle name="Calculation 5 6 3 2" xfId="27005"/>
    <cellStyle name="Calculation 4 2 4 3 2" xfId="27006"/>
    <cellStyle name="Calculation 3 2 4 3 2" xfId="27007"/>
    <cellStyle name="Calculation 2 6 4 3 2" xfId="27008"/>
    <cellStyle name="Calculation 7 4 3 2" xfId="27009"/>
    <cellStyle name="Input 15 4 4 2" xfId="27010"/>
    <cellStyle name="Calculation 3 2 5 3 2" xfId="27011"/>
    <cellStyle name="Calculation 4 2 5 3 2" xfId="27012"/>
    <cellStyle name="Input 10 5 3 2" xfId="27013"/>
    <cellStyle name="Input 2 2 2 3 2 5 2" xfId="27014"/>
    <cellStyle name="Output 2 2 2 3 8 2" xfId="27015"/>
    <cellStyle name="Calculation 8 5 3 2" xfId="27016"/>
    <cellStyle name="Output 9 2 7 2" xfId="27017"/>
    <cellStyle name="Input 16 5 3 2" xfId="27018"/>
    <cellStyle name="Style 26 2 8 2" xfId="27019"/>
    <cellStyle name="Total 13 5 3 2" xfId="27020"/>
    <cellStyle name="Calculation 3 4 5 3 2" xfId="27021"/>
    <cellStyle name="Calculation 2 9 3 3 2" xfId="27022"/>
    <cellStyle name="Calculation 2 2 5 3 3 2" xfId="27023"/>
    <cellStyle name="Calculation 2 2 3 2 3 3 2" xfId="27024"/>
    <cellStyle name="Calculation 2 3 2 3 3 2" xfId="27025"/>
    <cellStyle name="Total 2 4 3 3 3 2" xfId="27026"/>
    <cellStyle name="Calculation 2 11 4 2" xfId="27027"/>
    <cellStyle name="Calculation 2 2 7 4 2" xfId="27028"/>
    <cellStyle name="Calculation 2 2 2 4 4 2" xfId="27029"/>
    <cellStyle name="Calculation 2 2 3 4 4 2" xfId="27030"/>
    <cellStyle name="Calculation 2 2 4 4 4 2" xfId="27031"/>
    <cellStyle name="Calculation 2 3 4 4 2" xfId="27032"/>
    <cellStyle name="Calculation 2 4 4 4 2" xfId="27033"/>
    <cellStyle name="Calculation 3 7 4 2" xfId="27034"/>
    <cellStyle name="Header2 3 4 2" xfId="27035"/>
    <cellStyle name="Input 2 11 4 2" xfId="27036"/>
    <cellStyle name="Input 2 2 7 4 2" xfId="27037"/>
    <cellStyle name="Input 2 2 2 4 4 2" xfId="27038"/>
    <cellStyle name="Input 2 2 3 4 4 2" xfId="27039"/>
    <cellStyle name="Input 2 2 4 4 4 2" xfId="27040"/>
    <cellStyle name="Input 2 3 4 4 2" xfId="27041"/>
    <cellStyle name="Input 2 4 4 4 2" xfId="27042"/>
    <cellStyle name="Input 5 7 4 2" xfId="27043"/>
    <cellStyle name="Input 6 5 4 2" xfId="27044"/>
    <cellStyle name="Input 7 4 4 2" xfId="27045"/>
    <cellStyle name="Input 8 4 4 2" xfId="27046"/>
    <cellStyle name="Input 16 3 5 2" xfId="27047"/>
    <cellStyle name="Output 5 3 4 5 2" xfId="27048"/>
    <cellStyle name="Calculation 5 2 5 3 2" xfId="27049"/>
    <cellStyle name="Input 18 5 3 2" xfId="27050"/>
    <cellStyle name="Calculation 3 5 3 3 2" xfId="27051"/>
    <cellStyle name="Input 7 2 3 3 2" xfId="27052"/>
    <cellStyle name="Note 2 3 5 4 2" xfId="27053"/>
    <cellStyle name="Note 2 4 5 4 2" xfId="27054"/>
    <cellStyle name="Note 3 2 9 4 2" xfId="27055"/>
    <cellStyle name="Note 3 2 2 4 4 2" xfId="27056"/>
    <cellStyle name="Output 2 12 4 2" xfId="27057"/>
    <cellStyle name="Output 2 2 7 4 2" xfId="27058"/>
    <cellStyle name="Output 2 2 2 4 4 2" xfId="27059"/>
    <cellStyle name="Output 2 2 3 4 4 2" xfId="27060"/>
    <cellStyle name="Output 2 2 4 4 4 2" xfId="27061"/>
    <cellStyle name="Output 2 3 4 4 2" xfId="27062"/>
    <cellStyle name="Output 2 4 4 4 2" xfId="27063"/>
    <cellStyle name="Output 3 8 4 2" xfId="27064"/>
    <cellStyle name="Header2 4 4 2" xfId="27065"/>
    <cellStyle name="Calculation 7 5 3 2" xfId="27066"/>
    <cellStyle name="Input 2 6 5 3 2" xfId="27067"/>
    <cellStyle name="Input 11 5 3 2" xfId="27068"/>
    <cellStyle name="Input 17 5 3 2" xfId="27069"/>
    <cellStyle name="Calculation 11 5 3 2" xfId="27070"/>
    <cellStyle name="Input 5 4 5 3 2" xfId="27071"/>
    <cellStyle name="Note 2 8 5 3 2" xfId="27072"/>
    <cellStyle name="Note 3 6 5 3 2" xfId="27073"/>
    <cellStyle name="StmtTtl2 4 4 2" xfId="27074"/>
    <cellStyle name="Input 21 5 3 2" xfId="27075"/>
    <cellStyle name="Calculation 2 2 4 2 3 3 2" xfId="27076"/>
    <cellStyle name="Calculation 2 4 2 3 3 2" xfId="27077"/>
    <cellStyle name="Header2 2 3 3 2" xfId="27078"/>
    <cellStyle name="Input 2 5 3 3 3 2" xfId="27079"/>
    <cellStyle name="Input 2 2 2 2 3 3 2" xfId="27080"/>
    <cellStyle name="Input 2 2 3 2 3 3 2" xfId="27081"/>
    <cellStyle name="Input 2 3 2 3 3 2" xfId="27082"/>
    <cellStyle name="Input 2 4 2 3 3 2" xfId="27083"/>
    <cellStyle name="Input 2 5 2 3 3 2" xfId="27084"/>
    <cellStyle name="Input 3 5 3 3 2" xfId="27085"/>
    <cellStyle name="Total 2 13 4 2" xfId="27086"/>
    <cellStyle name="Total 2 2 7 4 2" xfId="27087"/>
    <cellStyle name="Total 2 2 2 4 4 2" xfId="27088"/>
    <cellStyle name="Total 2 2 3 4 4 2" xfId="27089"/>
    <cellStyle name="Total 2 2 4 4 4 2" xfId="27090"/>
    <cellStyle name="Total 2 3 4 4 2" xfId="27091"/>
    <cellStyle name="Total 2 4 4 4 2" xfId="27092"/>
    <cellStyle name="Total 2 5 4 4 2" xfId="27093"/>
    <cellStyle name="Total 3 8 4 2" xfId="27094"/>
    <cellStyle name="Input 4 5 3 3 2" xfId="27095"/>
    <cellStyle name="Input 8 2 3 3 2" xfId="27096"/>
    <cellStyle name="Total 2 2 4 3 3 3 2" xfId="27097"/>
    <cellStyle name="Total 2 2 3 3 3 3 2" xfId="27098"/>
    <cellStyle name="Input 20 5 4 2" xfId="27099"/>
    <cellStyle name="Note 3 2 4 4 3 2" xfId="27100"/>
    <cellStyle name="Note 11 4 3 2" xfId="27101"/>
    <cellStyle name="Input 2 6 4 3 2" xfId="27102"/>
    <cellStyle name="Input 3 2 5 3 2" xfId="27103"/>
    <cellStyle name="Note 4 2 6 3 3 2" xfId="27104"/>
    <cellStyle name="Calculation 2 5 4 4 2" xfId="27105"/>
    <cellStyle name="Output 2 9 9 2" xfId="27106"/>
    <cellStyle name="Style 22 2 3 5 2" xfId="27107"/>
    <cellStyle name="Input 2 5 4 4 2" xfId="27108"/>
    <cellStyle name="Total 3 5 5 3 2" xfId="27109"/>
    <cellStyle name="Input 2 2 5 3 3 2" xfId="27110"/>
    <cellStyle name="Input 5 5 3 3 2" xfId="27111"/>
    <cellStyle name="Total 2 12 3 3 2" xfId="27112"/>
    <cellStyle name="Note 2 2 2 4 4 2" xfId="27113"/>
    <cellStyle name="Note 2 3 2 4 4 2" xfId="27114"/>
    <cellStyle name="Note 2 4 2 4 4 2" xfId="27115"/>
    <cellStyle name="Note 2 5 4 4 2" xfId="27116"/>
    <cellStyle name="Note 3 3 4 4 2" xfId="27117"/>
    <cellStyle name="Output 2 5 4 4 2" xfId="27118"/>
    <cellStyle name="Calculation 2 6 5 3 2" xfId="27119"/>
    <cellStyle name="Input 4 2 5 3 2" xfId="27120"/>
    <cellStyle name="Input 5 2 5 3 2" xfId="27121"/>
    <cellStyle name="Calculation 9 5 3 2" xfId="27122"/>
    <cellStyle name="Note 2 2 5 5 3 2" xfId="27123"/>
    <cellStyle name="Input 20 5 3 2" xfId="27124"/>
    <cellStyle name="Input 2 2 4 2 3 3 2" xfId="27125"/>
    <cellStyle name="Total 2 6 4 4 2" xfId="27126"/>
    <cellStyle name="Input 2 5 3 3 5 2" xfId="27127"/>
    <cellStyle name="Total 2 2 4 4 5 2" xfId="27128"/>
    <cellStyle name="Note 5 2 6 3 2" xfId="27129"/>
    <cellStyle name="Note 4 2 2 4 3 2" xfId="27130"/>
    <cellStyle name="Note 2 2 3 4 3 2" xfId="27131"/>
    <cellStyle name="Output 8 2 2 4 2" xfId="27132"/>
    <cellStyle name="styleSeriesDataForecast 3 4 2" xfId="27133"/>
    <cellStyle name="Calculation 2 2 2 2 3 4 2" xfId="27134"/>
    <cellStyle name="Calculation 2 3 2 2 4 2" xfId="27135"/>
    <cellStyle name="Output 9 4 3 2" xfId="27136"/>
    <cellStyle name="Total 2 8 4 4 2" xfId="27137"/>
    <cellStyle name="Total 3 2 4 4 2" xfId="27138"/>
    <cellStyle name="Input 2 8 2 7 2" xfId="27139"/>
    <cellStyle name="Note 6 2 2 2 7 2" xfId="27140"/>
    <cellStyle name="Total 7 2 7 2" xfId="27141"/>
    <cellStyle name="styleSeriesAttributes 2 2 7 2" xfId="27142"/>
    <cellStyle name="Input 2 4 2 3 5 2" xfId="27143"/>
    <cellStyle name="Note 8 3 5 3 2" xfId="27144"/>
    <cellStyle name="Output 2 9 5 3 2" xfId="27145"/>
    <cellStyle name="Output 4 5 5 3 2" xfId="27146"/>
    <cellStyle name="Calculation 2 5 3 3 3 2" xfId="27147"/>
    <cellStyle name="Calculation 7 3 3 2" xfId="27148"/>
    <cellStyle name="Calculation 2 6 3 3 2" xfId="27149"/>
    <cellStyle name="Calculation 3 2 3 3 2" xfId="27150"/>
    <cellStyle name="Calculation 4 2 3 3 2" xfId="27151"/>
    <cellStyle name="Calculation 5 5 3 2" xfId="27152"/>
    <cellStyle name="Output 9 3 3 2" xfId="27153"/>
    <cellStyle name="Note 5 4 5 3 2" xfId="27154"/>
    <cellStyle name="Input 10 3 4 2" xfId="27155"/>
    <cellStyle name="Input 2 6 3 3 2" xfId="27156"/>
    <cellStyle name="Input 3 2 3 3 2" xfId="27157"/>
    <cellStyle name="Input 4 2 3 3 2" xfId="27158"/>
    <cellStyle name="Input 5 2 3 3 2" xfId="27159"/>
    <cellStyle name="Output 5 3 3 5 2" xfId="27160"/>
    <cellStyle name="Note 2 3 3 2 5 2" xfId="27161"/>
    <cellStyle name="Note 11 3 3 2" xfId="27162"/>
    <cellStyle name="Note 2 6 3 3 2" xfId="27163"/>
    <cellStyle name="Note 2 2 3 3 3 2" xfId="27164"/>
    <cellStyle name="Note 3 4 3 3 2" xfId="27165"/>
    <cellStyle name="Note 3 2 4 3 3 2" xfId="27166"/>
    <cellStyle name="Note 4 3 3 3 2" xfId="27167"/>
    <cellStyle name="Note 4 2 2 3 3 2" xfId="27168"/>
    <cellStyle name="Note 5 6 3 2" xfId="27169"/>
    <cellStyle name="Note 5 2 5 3 2" xfId="27170"/>
    <cellStyle name="Note 6 6 3 2" xfId="27171"/>
    <cellStyle name="Note 6 2 5 3 2" xfId="27172"/>
    <cellStyle name="Note 7 6 3 2" xfId="27173"/>
    <cellStyle name="Note 7 2 5 3 2" xfId="27174"/>
    <cellStyle name="Note 8 5 3 2" xfId="27175"/>
    <cellStyle name="Note 9 4 3 2" xfId="27176"/>
    <cellStyle name="Output 7 3 3 2" xfId="27177"/>
    <cellStyle name="Output 2 6 3 3 2" xfId="27178"/>
    <cellStyle name="Output 3 2 3 3 2" xfId="27179"/>
    <cellStyle name="Output 4 2 3 3 2" xfId="27180"/>
    <cellStyle name="Output 5 6 3 2" xfId="27181"/>
    <cellStyle name="Input 15 5 3 2" xfId="27182"/>
    <cellStyle name="Input 13 5 3 2" xfId="27183"/>
    <cellStyle name="Calculation 4 3 5 3 2" xfId="27184"/>
    <cellStyle name="Calculation 3 3 5 3 2" xfId="27185"/>
    <cellStyle name="Calculation 2 7 5 3 2" xfId="27186"/>
    <cellStyle name="Calculation 2 8 5 3 2" xfId="27187"/>
    <cellStyle name="Input 2 8 5 3 2" xfId="27188"/>
    <cellStyle name="Output 5 4 5 3 2" xfId="27189"/>
    <cellStyle name="Total 2 10 5 3 2" xfId="27190"/>
    <cellStyle name="Total 4 5 5 3 2" xfId="27191"/>
    <cellStyle name="Total 5 4 5 3 2" xfId="27192"/>
    <cellStyle name="Calculation 2 5 2 3 3 2" xfId="27193"/>
    <cellStyle name="Calculation 2 8 2 2 5 2" xfId="27194"/>
    <cellStyle name="Total 7 3 3 2" xfId="27195"/>
    <cellStyle name="Total 2 7 3 3 2" xfId="27196"/>
    <cellStyle name="Total 3 2 3 3 2" xfId="27197"/>
    <cellStyle name="Total 4 2 3 3 2" xfId="27198"/>
    <cellStyle name="Total 5 6 3 2" xfId="27199"/>
    <cellStyle name="Input 6 3 3 3 2" xfId="27200"/>
    <cellStyle name="Calculation 8 3 3 2" xfId="27201"/>
    <cellStyle name="Input 12 3 3 2" xfId="27202"/>
    <cellStyle name="Input 11 3 3 2" xfId="27203"/>
    <cellStyle name="Calculation 9 3 3 2" xfId="27204"/>
    <cellStyle name="Output 8 3 3 2" xfId="27205"/>
    <cellStyle name="Input 5 5 2 5 2" xfId="27206"/>
    <cellStyle name="Total 2 5 3 2 5 2" xfId="27207"/>
    <cellStyle name="Output 11 2 2 5 2" xfId="27208"/>
    <cellStyle name="Total 8 3 3 2" xfId="27209"/>
    <cellStyle name="Total 9 3 3 2" xfId="27210"/>
    <cellStyle name="Input 10 4 3 2" xfId="27211"/>
    <cellStyle name="Input 17 2 2 4 2" xfId="27212"/>
    <cellStyle name="Total 2 6 3 2 4 2" xfId="27213"/>
    <cellStyle name="StmtTtl2 3 2 4 2" xfId="27214"/>
    <cellStyle name="Input 8 2 2 4 2" xfId="27215"/>
    <cellStyle name="Calculation 2 8 4 4 2" xfId="27216"/>
    <cellStyle name="Output 4 3 4 4 2" xfId="27217"/>
    <cellStyle name="Output 3 5 2 7 2" xfId="27218"/>
    <cellStyle name="Note 2 2 2 3 2 5 2" xfId="27219"/>
    <cellStyle name="Calculation 2 7 4 5 2" xfId="27220"/>
    <cellStyle name="Output 5 2 3 3 2" xfId="27221"/>
    <cellStyle name="Output 4 3 3 3 2" xfId="27222"/>
    <cellStyle name="Output 3 3 3 3 2" xfId="27223"/>
    <cellStyle name="Output 2 7 3 3 2" xfId="27224"/>
    <cellStyle name="Output 11 3 3 2" xfId="27225"/>
    <cellStyle name="Input 5 3 3 3 2" xfId="27226"/>
    <cellStyle name="Input 4 3 3 3 2" xfId="27227"/>
    <cellStyle name="Input 3 3 3 3 2" xfId="27228"/>
    <cellStyle name="Input 2 7 3 3 2" xfId="27229"/>
    <cellStyle name="Calculation 10 3 3 2" xfId="27230"/>
    <cellStyle name="Input 14 3 3 2" xfId="27231"/>
    <cellStyle name="Input 16 3 3 2" xfId="27232"/>
    <cellStyle name="Input 17 3 3 2" xfId="27233"/>
    <cellStyle name="Input 15 3 3 2" xfId="27234"/>
    <cellStyle name="Input 13 3 3 2" xfId="27235"/>
    <cellStyle name="Calculation 5 2 3 3 2" xfId="27236"/>
    <cellStyle name="Calculation 4 3 3 3 2" xfId="27237"/>
    <cellStyle name="Calculation 3 3 3 3 2" xfId="27238"/>
    <cellStyle name="Calculation 2 7 3 3 2" xfId="27239"/>
    <cellStyle name="Calculation 11 3 3 2" xfId="27240"/>
    <cellStyle name="Calculation 12 3 5 2" xfId="27241"/>
    <cellStyle name="Calculation 5 4 2 5 2" xfId="27242"/>
    <cellStyle name="Output 10 3 3 2" xfId="27243"/>
    <cellStyle name="Note 12 3 3 2" xfId="27244"/>
    <cellStyle name="Note 2 7 3 3 2" xfId="27245"/>
    <cellStyle name="Note 2 2 4 3 3 2" xfId="27246"/>
    <cellStyle name="Note 3 5 3 3 2" xfId="27247"/>
    <cellStyle name="Note 3 2 5 3 3 2" xfId="27248"/>
    <cellStyle name="Note 4 4 3 3 2" xfId="27249"/>
    <cellStyle name="Note 4 2 3 3 3 2" xfId="27250"/>
    <cellStyle name="Note 5 3 3 3 2" xfId="27251"/>
    <cellStyle name="Note 5 2 2 3 3 2" xfId="27252"/>
    <cellStyle name="Note 6 3 3 3 2" xfId="27253"/>
    <cellStyle name="Note 6 2 2 3 3 2" xfId="27254"/>
    <cellStyle name="Note 7 3 3 3 2" xfId="27255"/>
    <cellStyle name="Note 7 2 2 3 3 2" xfId="27256"/>
    <cellStyle name="Note 8 2 3 3 2" xfId="27257"/>
    <cellStyle name="Note 9 2 3 3 2" xfId="27258"/>
    <cellStyle name="Output 12 3 3 2" xfId="27259"/>
    <cellStyle name="Output 2 8 3 3 2" xfId="27260"/>
    <cellStyle name="Output 3 4 3 3 2" xfId="27261"/>
    <cellStyle name="Output 4 4 3 3 2" xfId="27262"/>
    <cellStyle name="Output 5 3 3 3 2" xfId="27263"/>
    <cellStyle name="Total 10 3 3 2" xfId="27264"/>
    <cellStyle name="Input 8 2 2 5 2" xfId="27265"/>
    <cellStyle name="Total 2 2 2 3 2 5 2" xfId="27266"/>
    <cellStyle name="Input 3 3 2 2 5 2" xfId="27267"/>
    <cellStyle name="Total 11 3 3 2" xfId="27268"/>
    <cellStyle name="Total 2 8 3 3 2" xfId="27269"/>
    <cellStyle name="Total 3 3 3 3 2" xfId="27270"/>
    <cellStyle name="Total 4 3 3 3 2" xfId="27271"/>
    <cellStyle name="Total 5 2 3 3 2" xfId="27272"/>
    <cellStyle name="Note 3 2 2 3 2 5 2" xfId="27273"/>
    <cellStyle name="Style 24 2 2 2 5 2" xfId="27274"/>
    <cellStyle name="Input 14 2 2 5 2" xfId="27275"/>
    <cellStyle name="Total 12 3 3 2" xfId="27276"/>
    <cellStyle name="Total 2 9 3 3 2" xfId="27277"/>
    <cellStyle name="Total 3 4 3 3 2" xfId="27278"/>
    <cellStyle name="Total 4 4 3 3 2" xfId="27279"/>
    <cellStyle name="Total 5 3 3 3 2" xfId="27280"/>
    <cellStyle name="Output 3 3 2 2 4 2" xfId="27281"/>
    <cellStyle name="Style 24 2 2 2 4 2" xfId="27282"/>
    <cellStyle name="Note 3 8 2 4 2" xfId="27283"/>
    <cellStyle name="Input 2 2 3 2 2 4 2" xfId="27284"/>
    <cellStyle name="Note 2 4 2 3 3 4 2" xfId="27285"/>
    <cellStyle name="Total 8 4 4 2" xfId="27286"/>
    <cellStyle name="Note 4 5 2 7 2" xfId="27287"/>
    <cellStyle name="Output 5 3 2 7 2" xfId="27288"/>
    <cellStyle name="Output 8 2 7 2" xfId="27289"/>
    <cellStyle name="Note 3 8 7 2" xfId="27290"/>
    <cellStyle name="Input 2 4 2 3 4 2" xfId="27291"/>
    <cellStyle name="Note 5 2 2 8 2" xfId="27292"/>
    <cellStyle name="Input 18 3 3 2" xfId="27293"/>
    <cellStyle name="Output 2 2 4 2 3 5 2" xfId="27294"/>
    <cellStyle name="Calculation 4 2 5 5 2" xfId="27295"/>
    <cellStyle name="Calculation 12 3 3 2" xfId="27296"/>
    <cellStyle name="Input 19 3 3 2" xfId="27297"/>
    <cellStyle name="Note 13 3 3 2" xfId="27298"/>
    <cellStyle name="Output 13 3 3 2" xfId="27299"/>
    <cellStyle name="Total 13 3 3 2" xfId="27300"/>
    <cellStyle name="Note 4 3 3 4 2" xfId="27301"/>
    <cellStyle name="Calculation 2 8 3 3 2" xfId="27302"/>
    <cellStyle name="Calculation 3 4 3 3 2" xfId="27303"/>
    <cellStyle name="Calculation 4 4 3 3 2" xfId="27304"/>
    <cellStyle name="Calculation 5 3 3 3 2" xfId="27305"/>
    <cellStyle name="Input 2 8 3 3 2" xfId="27306"/>
    <cellStyle name="Input 3 4 3 3 2" xfId="27307"/>
    <cellStyle name="Input 4 4 3 3 2" xfId="27308"/>
    <cellStyle name="Input 5 4 3 3 2" xfId="27309"/>
    <cellStyle name="Note 2 8 3 3 2" xfId="27310"/>
    <cellStyle name="Note 2 2 5 3 3 2" xfId="27311"/>
    <cellStyle name="Note 3 6 3 3 2" xfId="27312"/>
    <cellStyle name="Note 3 2 6 3 3 2" xfId="27313"/>
    <cellStyle name="Note 4 5 3 3 2" xfId="27314"/>
    <cellStyle name="Note 4 2 4 3 3 2" xfId="27315"/>
    <cellStyle name="Note 5 4 3 3 2" xfId="27316"/>
    <cellStyle name="Note 5 2 3 3 3 2" xfId="27317"/>
    <cellStyle name="Note 6 4 3 3 2" xfId="27318"/>
    <cellStyle name="Note 6 2 3 3 3 2" xfId="27319"/>
    <cellStyle name="Note 7 4 3 3 2" xfId="27320"/>
    <cellStyle name="Note 7 2 3 3 3 2" xfId="27321"/>
    <cellStyle name="Note 8 3 3 3 2" xfId="27322"/>
    <cellStyle name="Output 2 9 3 3 2" xfId="27323"/>
    <cellStyle name="Output 3 5 3 3 2" xfId="27324"/>
    <cellStyle name="Output 4 5 3 3 2" xfId="27325"/>
    <cellStyle name="Output 5 4 3 3 2" xfId="27326"/>
    <cellStyle name="Total 2 10 3 3 2" xfId="27327"/>
    <cellStyle name="Total 3 5 3 3 2" xfId="27328"/>
    <cellStyle name="Total 4 5 3 3 2" xfId="27329"/>
    <cellStyle name="Total 5 4 3 3 2" xfId="27330"/>
    <cellStyle name="Input 20 3 3 2" xfId="27331"/>
    <cellStyle name="Note 9 3 8 2" xfId="27332"/>
    <cellStyle name="Input 4 4 5 3 2" xfId="27333"/>
    <cellStyle name="Calculation 5 3 5 3 2" xfId="27334"/>
    <cellStyle name="Calculation 4 4 5 3 2" xfId="27335"/>
    <cellStyle name="Input 3 4 5 3 2" xfId="27336"/>
    <cellStyle name="Note 4 2 3 3 5 2" xfId="27337"/>
    <cellStyle name="Calculation 2 4 2 3 4 2" xfId="27338"/>
    <cellStyle name="Input 21 3 3 2" xfId="27339"/>
    <cellStyle name="Calculation 3 2 3 4 2" xfId="27340"/>
    <cellStyle name="Calculation 2 9 2 5 2" xfId="27341"/>
    <cellStyle name="Note 5 2 6 5 2" xfId="27342"/>
    <cellStyle name="Calculation 8 2 8 2" xfId="27343"/>
    <cellStyle name="Input 4 4 5 5 2" xfId="27344"/>
    <cellStyle name="Note 4 2 6 6 2" xfId="27345"/>
    <cellStyle name="Note 3 3 3 6 2" xfId="27346"/>
    <cellStyle name="Note 2 5 3 6 2" xfId="27347"/>
    <cellStyle name="Note 2 4 2 3 6 2" xfId="27348"/>
    <cellStyle name="Note 2 3 2 3 6 2" xfId="27349"/>
    <cellStyle name="Note 2 2 2 3 6 2" xfId="27350"/>
    <cellStyle name="Calculation 2 9 6 2" xfId="27351"/>
    <cellStyle name="Calculation 2 2 5 6 2" xfId="27352"/>
    <cellStyle name="Calculation 2 2 2 2 6 2" xfId="27353"/>
    <cellStyle name="Calculation 2 2 3 2 6 2" xfId="27354"/>
    <cellStyle name="Calculation 2 2 4 2 6 2" xfId="27355"/>
    <cellStyle name="Calculation 2 3 2 6 2" xfId="27356"/>
    <cellStyle name="Calculation 2 4 2 6 2" xfId="27357"/>
    <cellStyle name="Calculation 2 5 2 6 2" xfId="27358"/>
    <cellStyle name="Calculation 3 5 6 2" xfId="27359"/>
    <cellStyle name="Calculation 2 2 5 3 4 2" xfId="27360"/>
    <cellStyle name="Calculation 2 6 4 4 2" xfId="27361"/>
    <cellStyle name="Header2 2 6 2" xfId="27362"/>
    <cellStyle name="Input 2 5 3 6 2" xfId="27363"/>
    <cellStyle name="Input 2 9 6 2" xfId="27364"/>
    <cellStyle name="Input 2 2 5 6 2" xfId="27365"/>
    <cellStyle name="Input 2 2 2 2 6 2" xfId="27366"/>
    <cellStyle name="Input 2 2 3 2 6 2" xfId="27367"/>
    <cellStyle name="Input 2 2 4 2 6 2" xfId="27368"/>
    <cellStyle name="Input 2 3 2 6 2" xfId="27369"/>
    <cellStyle name="Input 2 4 2 6 2" xfId="27370"/>
    <cellStyle name="Input 2 5 2 6 2" xfId="27371"/>
    <cellStyle name="Input 3 5 6 2" xfId="27372"/>
    <cellStyle name="Input 4 5 6 2" xfId="27373"/>
    <cellStyle name="Input 5 5 6 2" xfId="27374"/>
    <cellStyle name="Input 6 3 6 2" xfId="27375"/>
    <cellStyle name="Input 7 2 6 2" xfId="27376"/>
    <cellStyle name="Input 8 2 6 2" xfId="27377"/>
    <cellStyle name="Total 8 3 5 2" xfId="27378"/>
    <cellStyle name="Output 12 2 8 2" xfId="27379"/>
    <cellStyle name="Calculation 2 5 3 6 2" xfId="27380"/>
    <cellStyle name="Input 4 2 5 5 2" xfId="27381"/>
    <cellStyle name="Total 2 4 3 6 2" xfId="27382"/>
    <cellStyle name="Total 2 2 4 3 6 2" xfId="27383"/>
    <cellStyle name="Total 2 2 3 3 6 2" xfId="27384"/>
    <cellStyle name="Total 2 12 6 2" xfId="27385"/>
    <cellStyle name="Note 2 9 6 2" xfId="27386"/>
    <cellStyle name="Note 2 2 6 6 2" xfId="27387"/>
    <cellStyle name="Note 2 3 3 6 2" xfId="27388"/>
    <cellStyle name="Note 2 4 3 6 2" xfId="27389"/>
    <cellStyle name="Note 3 7 6 2" xfId="27390"/>
    <cellStyle name="Note 3 2 7 6 2" xfId="27391"/>
    <cellStyle name="Output 2 10 6 2" xfId="27392"/>
    <cellStyle name="Output 2 2 5 6 2" xfId="27393"/>
    <cellStyle name="Output 2 2 2 2 6 2" xfId="27394"/>
    <cellStyle name="Output 2 2 3 2 6 2" xfId="27395"/>
    <cellStyle name="Output 2 2 4 2 6 2" xfId="27396"/>
    <cellStyle name="Output 2 3 2 6 2" xfId="27397"/>
    <cellStyle name="Output 2 4 2 6 2" xfId="27398"/>
    <cellStyle name="Output 2 5 2 6 2" xfId="27399"/>
    <cellStyle name="Output 3 6 6 2" xfId="27400"/>
    <cellStyle name="Input 7 3 6 2" xfId="27401"/>
    <cellStyle name="Input 5 6 6 2" xfId="27402"/>
    <cellStyle name="Input 3 6 6 2" xfId="27403"/>
    <cellStyle name="Input 2 4 3 6 2" xfId="27404"/>
    <cellStyle name="Input 2 2 4 3 6 2" xfId="27405"/>
    <cellStyle name="Input 2 2 2 3 6 2" xfId="27406"/>
    <cellStyle name="Input 2 10 6 2" xfId="27407"/>
    <cellStyle name="Calculation 3 6 6 2" xfId="27408"/>
    <cellStyle name="Calculation 2 4 3 6 2" xfId="27409"/>
    <cellStyle name="Calculation 2 2 4 3 6 2" xfId="27410"/>
    <cellStyle name="Calculation 2 2 2 3 6 2" xfId="27411"/>
    <cellStyle name="Calculation 2 10 6 2" xfId="27412"/>
    <cellStyle name="StmtTtl2 2 6 2" xfId="27413"/>
    <cellStyle name="Total 2 11 6 2" xfId="27414"/>
    <cellStyle name="Total 2 2 5 6 2" xfId="27415"/>
    <cellStyle name="Total 2 2 2 2 6 2" xfId="27416"/>
    <cellStyle name="Total 2 2 3 2 6 2" xfId="27417"/>
    <cellStyle name="Total 2 2 4 2 6 2" xfId="27418"/>
    <cellStyle name="Total 2 3 2 6 2" xfId="27419"/>
    <cellStyle name="Total 2 4 2 6 2" xfId="27420"/>
    <cellStyle name="Total 2 5 2 6 2" xfId="27421"/>
    <cellStyle name="Total 2 6 2 6 2" xfId="27422"/>
    <cellStyle name="Total 3 6 6 2" xfId="27423"/>
    <cellStyle name="Note 5 3 2 2 4 2" xfId="27424"/>
    <cellStyle name="Note 2 6 2 2 4 2" xfId="27425"/>
    <cellStyle name="Output 2 4 3 2 4 2" xfId="27426"/>
    <cellStyle name="Output 2 2 4 2 2 4 2" xfId="27427"/>
    <cellStyle name="Note 6 4 4 4 2" xfId="27428"/>
    <cellStyle name="Calculation 3 3 4 4 2" xfId="27429"/>
    <cellStyle name="Input 2 7 2 7 2" xfId="27430"/>
    <cellStyle name="Input 4 2 2 7 2" xfId="27431"/>
    <cellStyle name="styleDateRange 2 8 2" xfId="27432"/>
    <cellStyle name="Total 2 2 6 7 2" xfId="27433"/>
    <cellStyle name="Output 2 5 3 6 2" xfId="27434"/>
    <cellStyle name="Input 11 4 5 2" xfId="27435"/>
    <cellStyle name="Output 2 3 3 6 2" xfId="27436"/>
    <cellStyle name="Output 2 2 3 3 6 2" xfId="27437"/>
    <cellStyle name="Output 2 2 6 6 2" xfId="27438"/>
    <cellStyle name="Note 4 7 6 2" xfId="27439"/>
    <cellStyle name="Note 3 2 2 3 6 2" xfId="27440"/>
    <cellStyle name="Note 3 8 6 2" xfId="27441"/>
    <cellStyle name="Note 2 4 4 6 2" xfId="27442"/>
    <cellStyle name="Note 2 2 7 6 2" xfId="27443"/>
    <cellStyle name="Note 3 2 2 2 6 2" xfId="27444"/>
    <cellStyle name="Note 4 6 6 2" xfId="27445"/>
    <cellStyle name="Note 2 8 5 4 2" xfId="27446"/>
    <cellStyle name="Total 3 7 6 2" xfId="27447"/>
    <cellStyle name="Total 2 5 3 6 2" xfId="27448"/>
    <cellStyle name="Total 2 3 3 6 2" xfId="27449"/>
    <cellStyle name="Total 2 2 6 6 2" xfId="27450"/>
    <cellStyle name="Total 2 2 2 3 6 2" xfId="27451"/>
    <cellStyle name="StmtTtl2 3 6 2" xfId="27452"/>
    <cellStyle name="Output 3 7 6 2" xfId="27453"/>
    <cellStyle name="Note 2 5 2 6 2" xfId="27454"/>
    <cellStyle name="Note 2 2 2 2 6 2" xfId="27455"/>
    <cellStyle name="Note 2 3 2 2 6 2" xfId="27456"/>
    <cellStyle name="Note 2 4 2 2 6 2" xfId="27457"/>
    <cellStyle name="Note 3 3 2 6 2" xfId="27458"/>
    <cellStyle name="Input 8 3 6 2" xfId="27459"/>
    <cellStyle name="Input 6 4 6 2" xfId="27460"/>
    <cellStyle name="Input 4 6 6 2" xfId="27461"/>
    <cellStyle name="Input 2 3 3 6 2" xfId="27462"/>
    <cellStyle name="Input 2 2 3 3 6 2" xfId="27463"/>
    <cellStyle name="Input 2 2 6 6 2" xfId="27464"/>
    <cellStyle name="Calculation 2 3 3 6 2" xfId="27465"/>
    <cellStyle name="Calculation 2 2 3 3 6 2" xfId="27466"/>
    <cellStyle name="Calculation 2 2 6 6 2" xfId="27467"/>
    <cellStyle name="Output 2 4 3 6 2" xfId="27468"/>
    <cellStyle name="Output 2 2 4 3 6 2" xfId="27469"/>
    <cellStyle name="Output 2 2 2 3 6 2" xfId="27470"/>
    <cellStyle name="Output 2 11 6 2" xfId="27471"/>
    <cellStyle name="Note 3 2 8 6 2" xfId="27472"/>
    <cellStyle name="Note 2 3 4 6 2" xfId="27473"/>
    <cellStyle name="Note 2 10 6 2" xfId="27474"/>
    <cellStyle name="Note 4 2 5 6 2" xfId="27475"/>
    <cellStyle name="Input 2 2 3 2 3 5 2" xfId="27476"/>
    <cellStyle name="Total 7 9 2" xfId="27477"/>
    <cellStyle name="Input 2 2 2 2 3 5 2" xfId="27478"/>
    <cellStyle name="Total 3 2 9 2" xfId="27479"/>
    <cellStyle name="Total 10 8 2" xfId="27480"/>
    <cellStyle name="Note 3 4 4 5 2" xfId="27481"/>
    <cellStyle name="Output 5 3 8 2" xfId="27482"/>
    <cellStyle name="Style 21 7 2" xfId="27483"/>
    <cellStyle name="Style 21 2 7 2" xfId="27484"/>
    <cellStyle name="Style 22 7 2" xfId="27485"/>
    <cellStyle name="Style 22 2 7 2" xfId="27486"/>
    <cellStyle name="Style 23 7 2" xfId="27487"/>
    <cellStyle name="Style 23 2 7 2" xfId="27488"/>
    <cellStyle name="Style 24 7 2" xfId="27489"/>
    <cellStyle name="Style 24 2 7 2" xfId="27490"/>
    <cellStyle name="Style 25 7 2" xfId="27491"/>
    <cellStyle name="Style 25 2 7 2" xfId="27492"/>
    <cellStyle name="Style 26 7 2" xfId="27493"/>
    <cellStyle name="Style 26 2 7 2" xfId="27494"/>
    <cellStyle name="styleColumnTitles 7 2" xfId="27495"/>
    <cellStyle name="styleColumnTitles 2 7 2" xfId="27496"/>
    <cellStyle name="styleDateRange 7 2" xfId="27497"/>
    <cellStyle name="styleDateRange 2 7 2" xfId="27498"/>
    <cellStyle name="Note 13 4 5 2" xfId="27499"/>
    <cellStyle name="Output 13 4 5 2" xfId="27500"/>
    <cellStyle name="Calculation 2 8 4 5 2" xfId="27501"/>
    <cellStyle name="Calculation 3 4 4 5 2" xfId="27502"/>
    <cellStyle name="styleSeriesAttributes 7 2" xfId="27503"/>
    <cellStyle name="styleSeriesAttributes 2 7 2" xfId="27504"/>
    <cellStyle name="styleSeriesData 7 2" xfId="27505"/>
    <cellStyle name="styleSeriesData 2 7 2" xfId="27506"/>
    <cellStyle name="styleSeriesDataForecast 7 2" xfId="27507"/>
    <cellStyle name="styleSeriesDataForecast 2 7 2" xfId="27508"/>
    <cellStyle name="styleSeriesDataForecastNA 7 2" xfId="27509"/>
    <cellStyle name="styleSeriesDataForecastNA 2 7 2" xfId="27510"/>
    <cellStyle name="styleSeriesDataNA 7 2" xfId="27511"/>
    <cellStyle name="styleSeriesDataNA 2 7 2" xfId="27512"/>
    <cellStyle name="Style 21 2 2 6 2" xfId="27513"/>
    <cellStyle name="Style 22 2 2 6 2" xfId="27514"/>
    <cellStyle name="Style 23 2 2 6 2" xfId="27515"/>
    <cellStyle name="Style 24 2 2 6 2" xfId="27516"/>
    <cellStyle name="Style 25 2 2 6 2" xfId="27517"/>
    <cellStyle name="Style 26 2 2 6 2" xfId="27518"/>
    <cellStyle name="styleColumnTitles 2 2 6 2" xfId="27519"/>
    <cellStyle name="styleDateRange 2 2 6 2" xfId="27520"/>
    <cellStyle name="Total 13 4 5 2" xfId="27521"/>
    <cellStyle name="Input 2 2 2 2 2 5 2" xfId="27522"/>
    <cellStyle name="styleSeriesAttributes 2 2 6 2" xfId="27523"/>
    <cellStyle name="styleSeriesData 2 2 6 2" xfId="27524"/>
    <cellStyle name="styleSeriesDataForecast 2 2 6 2" xfId="27525"/>
    <cellStyle name="styleSeriesDataForecastNA 2 2 6 2" xfId="27526"/>
    <cellStyle name="styleSeriesDataNA 2 2 6 2" xfId="27527"/>
    <cellStyle name="Total 5 2 8 2" xfId="27528"/>
    <cellStyle name="Total 4 3 8 2" xfId="27529"/>
    <cellStyle name="Total 3 3 8 2" xfId="27530"/>
    <cellStyle name="Total 2 8 8 2" xfId="27531"/>
    <cellStyle name="Total 11 8 2" xfId="27532"/>
    <cellStyle name="Total 2 6 3 6 2" xfId="27533"/>
    <cellStyle name="Note 2 4 5 6 2" xfId="27534"/>
    <cellStyle name="Total 3 8 5 2" xfId="27535"/>
    <cellStyle name="Note 7 4 5 4 2" xfId="27536"/>
    <cellStyle name="styleSeriesDataNA 3 4 2" xfId="27537"/>
    <cellStyle name="Output 2 3 3 2 4 2" xfId="27538"/>
    <cellStyle name="Header2 2 2 4 2" xfId="27539"/>
    <cellStyle name="Total 12 4 4 2" xfId="27540"/>
    <cellStyle name="Input 12 4 4 2" xfId="27541"/>
    <cellStyle name="Calculation 4 2 10 2" xfId="27542"/>
    <cellStyle name="Note 9 2 2 7 2" xfId="27543"/>
    <cellStyle name="Total 5 5 7 2" xfId="27544"/>
    <cellStyle name="styleSeriesDataNA 2 2 7 2" xfId="27545"/>
    <cellStyle name="Output 2 3 3 7 2" xfId="27546"/>
    <cellStyle name="Calculation 7 2 6 2" xfId="27547"/>
    <cellStyle name="Calculation 2 6 2 6 2" xfId="27548"/>
    <cellStyle name="Calculation 3 2 2 6 2" xfId="27549"/>
    <cellStyle name="Calculation 4 2 2 6 2" xfId="27550"/>
    <cellStyle name="Calculation 5 4 6 2" xfId="27551"/>
    <cellStyle name="Output 9 2 6 2" xfId="27552"/>
    <cellStyle name="Input 10 2 6 2" xfId="27553"/>
    <cellStyle name="Input 2 6 2 6 2" xfId="27554"/>
    <cellStyle name="Input 3 2 2 6 2" xfId="27555"/>
    <cellStyle name="Input 4 2 2 6 2" xfId="27556"/>
    <cellStyle name="Input 5 2 2 6 2" xfId="27557"/>
    <cellStyle name="Calculation 4 2 9 2" xfId="27558"/>
    <cellStyle name="Total 2 2 4 2 2 5 2" xfId="27559"/>
    <cellStyle name="Note 11 2 6 2" xfId="27560"/>
    <cellStyle name="Note 2 6 2 6 2" xfId="27561"/>
    <cellStyle name="Note 2 2 3 2 6 2" xfId="27562"/>
    <cellStyle name="Note 3 4 2 6 2" xfId="27563"/>
    <cellStyle name="Note 3 2 4 2 6 2" xfId="27564"/>
    <cellStyle name="Note 4 3 2 6 2" xfId="27565"/>
    <cellStyle name="Note 4 2 2 2 6 2" xfId="27566"/>
    <cellStyle name="Note 5 5 6 2" xfId="27567"/>
    <cellStyle name="Note 5 2 4 6 2" xfId="27568"/>
    <cellStyle name="Note 6 5 6 2" xfId="27569"/>
    <cellStyle name="Note 6 2 4 6 2" xfId="27570"/>
    <cellStyle name="Note 7 5 6 2" xfId="27571"/>
    <cellStyle name="Note 7 2 4 6 2" xfId="27572"/>
    <cellStyle name="Note 8 4 6 2" xfId="27573"/>
    <cellStyle name="Note 9 3 6 2" xfId="27574"/>
    <cellStyle name="Output 7 2 6 2" xfId="27575"/>
    <cellStyle name="Output 2 6 2 6 2" xfId="27576"/>
    <cellStyle name="Output 3 2 2 6 2" xfId="27577"/>
    <cellStyle name="Output 4 2 2 6 2" xfId="27578"/>
    <cellStyle name="Output 5 5 6 2" xfId="27579"/>
    <cellStyle name="Input 16 2 2 5 2" xfId="27580"/>
    <cellStyle name="Total 7 2 6 2" xfId="27581"/>
    <cellStyle name="Total 2 7 2 6 2" xfId="27582"/>
    <cellStyle name="Total 3 2 2 6 2" xfId="27583"/>
    <cellStyle name="Total 4 2 2 6 2" xfId="27584"/>
    <cellStyle name="Total 5 5 6 2" xfId="27585"/>
    <cellStyle name="Calculation 8 2 6 2" xfId="27586"/>
    <cellStyle name="Input 12 2 6 2" xfId="27587"/>
    <cellStyle name="Input 11 2 6 2" xfId="27588"/>
    <cellStyle name="Calculation 9 2 6 2" xfId="27589"/>
    <cellStyle name="Output 8 2 6 2" xfId="27590"/>
    <cellStyle name="Input 4 5 2 5 2" xfId="27591"/>
    <cellStyle name="Total 3 7 2 5 2" xfId="27592"/>
    <cellStyle name="Output 3 3 2 2 5 2" xfId="27593"/>
    <cellStyle name="Total 8 2 6 2" xfId="27594"/>
    <cellStyle name="Total 9 2 6 2" xfId="27595"/>
    <cellStyle name="Calculation 4 3 2 2 4 2" xfId="27596"/>
    <cellStyle name="Calculation 7 2 2 4 2" xfId="27597"/>
    <cellStyle name="Note 2 3 2 2 2 4 2" xfId="27598"/>
    <cellStyle name="Total 2 2 3 3 2 4 2" xfId="27599"/>
    <cellStyle name="Input 2 8 4 4 2" xfId="27600"/>
    <cellStyle name="Input 5 3 4 4 2" xfId="27601"/>
    <cellStyle name="Total 3 5 2 7 2" xfId="27602"/>
    <cellStyle name="Total 2 9 2 7 2" xfId="27603"/>
    <cellStyle name="Note 2 2 4 2 8 2" xfId="27604"/>
    <cellStyle name="Input 5 2 2 8 2" xfId="27605"/>
    <cellStyle name="Output 5 2 2 6 2" xfId="27606"/>
    <cellStyle name="Output 4 3 2 6 2" xfId="27607"/>
    <cellStyle name="Output 3 3 2 6 2" xfId="27608"/>
    <cellStyle name="Output 2 7 2 6 2" xfId="27609"/>
    <cellStyle name="Output 11 2 6 2" xfId="27610"/>
    <cellStyle name="Style 22 2 8 2" xfId="27611"/>
    <cellStyle name="Input 5 3 2 6 2" xfId="27612"/>
    <cellStyle name="Input 4 3 2 6 2" xfId="27613"/>
    <cellStyle name="Input 3 3 2 6 2" xfId="27614"/>
    <cellStyle name="Input 2 7 2 6 2" xfId="27615"/>
    <cellStyle name="Calculation 10 2 6 2" xfId="27616"/>
    <cellStyle name="Input 14 2 6 2" xfId="27617"/>
    <cellStyle name="Input 16 2 6 2" xfId="27618"/>
    <cellStyle name="Input 17 2 6 2" xfId="27619"/>
    <cellStyle name="Input 15 2 6 2" xfId="27620"/>
    <cellStyle name="Input 13 2 6 2" xfId="27621"/>
    <cellStyle name="Calculation 5 2 2 6 2" xfId="27622"/>
    <cellStyle name="Calculation 4 3 2 6 2" xfId="27623"/>
    <cellStyle name="Calculation 3 3 2 6 2" xfId="27624"/>
    <cellStyle name="Calculation 2 7 2 6 2" xfId="27625"/>
    <cellStyle name="Calculation 11 2 6 2" xfId="27626"/>
    <cellStyle name="Total 4 2 2 2 5 2" xfId="27627"/>
    <cellStyle name="Output 10 2 6 2" xfId="27628"/>
    <cellStyle name="Note 12 2 6 2" xfId="27629"/>
    <cellStyle name="Note 2 7 2 6 2" xfId="27630"/>
    <cellStyle name="Note 2 2 4 2 6 2" xfId="27631"/>
    <cellStyle name="Note 3 5 2 6 2" xfId="27632"/>
    <cellStyle name="Note 3 2 5 2 6 2" xfId="27633"/>
    <cellStyle name="Note 4 4 2 6 2" xfId="27634"/>
    <cellStyle name="Note 4 2 3 2 6 2" xfId="27635"/>
    <cellStyle name="Note 5 3 2 6 2" xfId="27636"/>
    <cellStyle name="Note 5 2 2 2 6 2" xfId="27637"/>
    <cellStyle name="Note 6 3 2 6 2" xfId="27638"/>
    <cellStyle name="Note 6 2 2 2 6 2" xfId="27639"/>
    <cellStyle name="Note 7 3 2 6 2" xfId="27640"/>
    <cellStyle name="Note 7 2 2 2 6 2" xfId="27641"/>
    <cellStyle name="Note 8 2 2 6 2" xfId="27642"/>
    <cellStyle name="Note 9 2 2 6 2" xfId="27643"/>
    <cellStyle name="Output 12 2 6 2" xfId="27644"/>
    <cellStyle name="Output 2 8 2 6 2" xfId="27645"/>
    <cellStyle name="Output 3 4 2 6 2" xfId="27646"/>
    <cellStyle name="Output 4 4 2 6 2" xfId="27647"/>
    <cellStyle name="Output 5 3 2 6 2" xfId="27648"/>
    <cellStyle name="Total 10 2 6 2" xfId="27649"/>
    <cellStyle name="Input 7 2 2 5 2" xfId="27650"/>
    <cellStyle name="Total 2 2 6 2 5 2" xfId="27651"/>
    <cellStyle name="Input 4 3 2 2 5 2" xfId="27652"/>
    <cellStyle name="Total 11 2 6 2" xfId="27653"/>
    <cellStyle name="Total 2 8 2 6 2" xfId="27654"/>
    <cellStyle name="Total 3 3 2 6 2" xfId="27655"/>
    <cellStyle name="Total 4 3 2 6 2" xfId="27656"/>
    <cellStyle name="Total 5 2 2 6 2" xfId="27657"/>
    <cellStyle name="Output 2 2 6 2 5 2" xfId="27658"/>
    <cellStyle name="Style 23 2 2 2 5 2" xfId="27659"/>
    <cellStyle name="Calculation 10 2 2 5 2" xfId="27660"/>
    <cellStyle name="Total 12 2 6 2" xfId="27661"/>
    <cellStyle name="Total 2 9 2 6 2" xfId="27662"/>
    <cellStyle name="Total 3 4 2 6 2" xfId="27663"/>
    <cellStyle name="Total 4 4 2 6 2" xfId="27664"/>
    <cellStyle name="Total 5 3 2 6 2" xfId="27665"/>
    <cellStyle name="Input 4 3 2 2 4 2" xfId="27666"/>
    <cellStyle name="styleDateRange 2 2 2 4 2" xfId="27667"/>
    <cellStyle name="Note 4 6 2 4 2" xfId="27668"/>
    <cellStyle name="Input 2 5 2 2 4 2" xfId="27669"/>
    <cellStyle name="Input 18 4 4 2" xfId="27670"/>
    <cellStyle name="Note 7 2 3 5 4 2" xfId="27671"/>
    <cellStyle name="Note 6 4 2 7 2" xfId="27672"/>
    <cellStyle name="Total 8 2 7 2" xfId="27673"/>
    <cellStyle name="Input 20 5 5 2" xfId="27674"/>
    <cellStyle name="Input 2 5 2 3 4 2" xfId="27675"/>
    <cellStyle name="Note 6 3 8 2" xfId="27676"/>
    <cellStyle name="Input 18 2 6 2" xfId="27677"/>
    <cellStyle name="Note 4 5 3 5 2" xfId="27678"/>
    <cellStyle name="Note 2 8 3 5 2" xfId="27679"/>
    <cellStyle name="Calculation 3 2 5 5 2" xfId="27680"/>
    <cellStyle name="Calculation 12 2 6 2" xfId="27681"/>
    <cellStyle name="Input 19 2 6 2" xfId="27682"/>
    <cellStyle name="Note 13 2 6 2" xfId="27683"/>
    <cellStyle name="Output 13 2 6 2" xfId="27684"/>
    <cellStyle name="Total 13 2 6 2" xfId="27685"/>
    <cellStyle name="Note 6 6 4 2" xfId="27686"/>
    <cellStyle name="Total 3 5 3 5 2" xfId="27687"/>
    <cellStyle name="Calculation 2 8 2 6 2" xfId="27688"/>
    <cellStyle name="Calculation 3 4 2 6 2" xfId="27689"/>
    <cellStyle name="Calculation 4 4 2 6 2" xfId="27690"/>
    <cellStyle name="Calculation 5 3 2 6 2" xfId="27691"/>
    <cellStyle name="Input 2 8 2 6 2" xfId="27692"/>
    <cellStyle name="Input 3 4 2 6 2" xfId="27693"/>
    <cellStyle name="Input 4 4 2 6 2" xfId="27694"/>
    <cellStyle name="Input 5 4 2 6 2" xfId="27695"/>
    <cellStyle name="Note 2 8 2 6 2" xfId="27696"/>
    <cellStyle name="Note 2 2 5 2 6 2" xfId="27697"/>
    <cellStyle name="Note 3 6 2 6 2" xfId="27698"/>
    <cellStyle name="Note 3 2 6 2 6 2" xfId="27699"/>
    <cellStyle name="Note 4 5 2 6 2" xfId="27700"/>
    <cellStyle name="Note 4 2 4 2 6 2" xfId="27701"/>
    <cellStyle name="Note 5 4 2 6 2" xfId="27702"/>
    <cellStyle name="Note 5 2 3 2 6 2" xfId="27703"/>
    <cellStyle name="Note 6 4 2 6 2" xfId="27704"/>
    <cellStyle name="Note 6 2 3 2 6 2" xfId="27705"/>
    <cellStyle name="Note 7 4 2 6 2" xfId="27706"/>
    <cellStyle name="Note 7 2 3 2 6 2" xfId="27707"/>
    <cellStyle name="Note 8 3 2 6 2" xfId="27708"/>
    <cellStyle name="Output 2 9 2 6 2" xfId="27709"/>
    <cellStyle name="Output 3 5 2 6 2" xfId="27710"/>
    <cellStyle name="Output 4 5 2 6 2" xfId="27711"/>
    <cellStyle name="Output 5 4 2 6 2" xfId="27712"/>
    <cellStyle name="Total 2 10 2 6 2" xfId="27713"/>
    <cellStyle name="Total 3 5 2 6 2" xfId="27714"/>
    <cellStyle name="Total 4 5 2 6 2" xfId="27715"/>
    <cellStyle name="Total 5 4 2 6 2" xfId="27716"/>
    <cellStyle name="Input 20 2 6 2" xfId="27717"/>
    <cellStyle name="Output 2 7 8 2" xfId="27718"/>
    <cellStyle name="Input 3 5 8 2" xfId="27719"/>
    <cellStyle name="Output 4 3 3 5 2" xfId="27720"/>
    <cellStyle name="Input 2 2 3 2 3 4 2" xfId="27721"/>
    <cellStyle name="Input 21 2 6 2" xfId="27722"/>
    <cellStyle name="Note 5 4 5 4 2" xfId="27723"/>
    <cellStyle name="Note 6 2 6 3 2" xfId="27724"/>
    <cellStyle name="Note 7 7 3 2" xfId="27725"/>
    <cellStyle name="Note 7 2 6 3 2" xfId="27726"/>
    <cellStyle name="Note 8 6 3 2" xfId="27727"/>
    <cellStyle name="Note 9 5 3 2" xfId="27728"/>
    <cellStyle name="Output 7 4 3 2" xfId="27729"/>
    <cellStyle name="Output 2 6 4 3 2" xfId="27730"/>
    <cellStyle name="Output 3 2 4 3 2" xfId="27731"/>
    <cellStyle name="Output 4 2 4 3 2" xfId="27732"/>
    <cellStyle name="Output 5 7 3 2" xfId="27733"/>
    <cellStyle name="Note 4 2 4 5 3 2" xfId="27734"/>
    <cellStyle name="Total 7 4 3 2" xfId="27735"/>
    <cellStyle name="Total 2 7 4 3 2" xfId="27736"/>
    <cellStyle name="Total 3 2 4 3 2" xfId="27737"/>
    <cellStyle name="Total 4 2 4 3 2" xfId="27738"/>
    <cellStyle name="Total 5 7 3 2" xfId="27739"/>
    <cellStyle name="Calculation 8 4 3 2" xfId="27740"/>
    <cellStyle name="Input 12 4 3 2" xfId="27741"/>
    <cellStyle name="Input 11 4 3 2" xfId="27742"/>
    <cellStyle name="Calculation 9 4 3 2" xfId="27743"/>
    <cellStyle name="Output 8 4 3 2" xfId="27744"/>
    <cellStyle name="Note 4 5 5 3 2" xfId="27745"/>
    <cellStyle name="Total 8 4 3 2" xfId="27746"/>
    <cellStyle name="Total 9 4 3 2" xfId="27747"/>
    <cellStyle name="Input 2 9 3 3 2" xfId="27748"/>
    <cellStyle name="Note 2 2 2 3 3 3 2" xfId="27749"/>
    <cellStyle name="Note 7 2 3 5 3 2" xfId="27750"/>
    <cellStyle name="Note 3 2 6 5 3 2" xfId="27751"/>
    <cellStyle name="Output 13 5 3 2" xfId="27752"/>
    <cellStyle name="Input 14 5 3 2" xfId="27753"/>
    <cellStyle name="Input 5 3 5 3 2" xfId="27754"/>
    <cellStyle name="Output 5 2 4 3 2" xfId="27755"/>
    <cellStyle name="Output 4 3 4 3 2" xfId="27756"/>
    <cellStyle name="Output 3 3 4 3 2" xfId="27757"/>
    <cellStyle name="Output 2 7 4 3 2" xfId="27758"/>
    <cellStyle name="Output 11 4 3 2" xfId="27759"/>
    <cellStyle name="Input 5 3 4 3 2" xfId="27760"/>
    <cellStyle name="Input 4 3 4 3 2" xfId="27761"/>
    <cellStyle name="Input 3 3 4 3 2" xfId="27762"/>
    <cellStyle name="Input 2 7 4 3 2" xfId="27763"/>
    <cellStyle name="Calculation 10 4 3 2" xfId="27764"/>
    <cellStyle name="Input 14 4 3 2" xfId="27765"/>
    <cellStyle name="Input 16 4 3 2" xfId="27766"/>
    <cellStyle name="Input 17 4 3 2" xfId="27767"/>
    <cellStyle name="Input 15 4 3 2" xfId="27768"/>
    <cellStyle name="Input 13 4 3 2" xfId="27769"/>
    <cellStyle name="Calculation 5 2 4 3 2" xfId="27770"/>
    <cellStyle name="Calculation 4 3 4 3 2" xfId="27771"/>
    <cellStyle name="Calculation 3 3 4 3 2" xfId="27772"/>
    <cellStyle name="Calculation 2 7 4 3 2" xfId="27773"/>
    <cellStyle name="Calculation 11 4 3 2" xfId="27774"/>
    <cellStyle name="Output 10 4 3 2" xfId="27775"/>
    <cellStyle name="Note 12 4 3 2" xfId="27776"/>
    <cellStyle name="Note 2 7 4 3 2" xfId="27777"/>
    <cellStyle name="Note 2 2 4 4 3 2" xfId="27778"/>
    <cellStyle name="Note 3 5 4 3 2" xfId="27779"/>
    <cellStyle name="Note 3 2 5 4 3 2" xfId="27780"/>
    <cellStyle name="Note 4 4 4 3 2" xfId="27781"/>
    <cellStyle name="Note 4 2 3 4 3 2" xfId="27782"/>
    <cellStyle name="Note 5 3 4 3 2" xfId="27783"/>
    <cellStyle name="Note 5 2 2 4 3 2" xfId="27784"/>
    <cellStyle name="Note 6 3 4 3 2" xfId="27785"/>
    <cellStyle name="Note 6 2 2 4 3 2" xfId="27786"/>
    <cellStyle name="Note 7 3 4 3 2" xfId="27787"/>
    <cellStyle name="Note 7 2 2 4 3 2" xfId="27788"/>
    <cellStyle name="Note 8 2 4 3 2" xfId="27789"/>
    <cellStyle name="Note 9 2 4 3 2" xfId="27790"/>
    <cellStyle name="Output 12 4 3 2" xfId="27791"/>
    <cellStyle name="Output 2 8 4 3 2" xfId="27792"/>
    <cellStyle name="Output 3 4 4 3 2" xfId="27793"/>
    <cellStyle name="Output 4 4 4 3 2" xfId="27794"/>
    <cellStyle name="Output 5 3 4 3 2" xfId="27795"/>
    <cellStyle name="Total 10 4 3 2" xfId="27796"/>
    <cellStyle name="Total 11 4 3 2" xfId="27797"/>
    <cellStyle name="Total 2 8 4 3 2" xfId="27798"/>
    <cellStyle name="Total 3 3 4 3 2" xfId="27799"/>
    <cellStyle name="Total 4 3 4 3 2" xfId="27800"/>
    <cellStyle name="Total 5 2 4 3 2" xfId="27801"/>
    <cellStyle name="Total 12 4 3 2" xfId="27802"/>
    <cellStyle name="Total 2 9 4 3 2" xfId="27803"/>
    <cellStyle name="Total 3 4 4 3 2" xfId="27804"/>
    <cellStyle name="Total 4 4 4 3 2" xfId="27805"/>
    <cellStyle name="Total 5 3 4 3 2" xfId="27806"/>
    <cellStyle name="Note 2 4 2 3 3 3 2" xfId="27807"/>
    <cellStyle name="Note 6 2 3 5 3 2" xfId="27808"/>
    <cellStyle name="Input 19 5 3 2" xfId="27809"/>
    <cellStyle name="Input 2 7 5 3 2" xfId="27810"/>
    <cellStyle name="Input 18 4 3 2" xfId="27811"/>
    <cellStyle name="Calculation 12 4 3 2" xfId="27812"/>
    <cellStyle name="Input 19 4 3 2" xfId="27813"/>
    <cellStyle name="Note 13 4 3 2" xfId="27814"/>
    <cellStyle name="Output 13 4 3 2" xfId="27815"/>
    <cellStyle name="Total 13 4 3 2" xfId="27816"/>
    <cellStyle name="Calculation 2 8 4 3 2" xfId="27817"/>
    <cellStyle name="Calculation 3 4 4 3 2" xfId="27818"/>
    <cellStyle name="Calculation 4 4 4 3 2" xfId="27819"/>
    <cellStyle name="Calculation 5 3 4 3 2" xfId="27820"/>
    <cellStyle name="Input 2 8 4 3 2" xfId="27821"/>
    <cellStyle name="Input 3 4 4 3 2" xfId="27822"/>
    <cellStyle name="Input 4 4 4 3 2" xfId="27823"/>
    <cellStyle name="Input 5 4 4 3 2" xfId="27824"/>
    <cellStyle name="Note 2 8 4 3 2" xfId="27825"/>
    <cellStyle name="Note 2 2 5 4 3 2" xfId="27826"/>
    <cellStyle name="Note 3 6 4 3 2" xfId="27827"/>
    <cellStyle name="Note 3 2 6 4 3 2" xfId="27828"/>
    <cellStyle name="Note 4 5 4 3 2" xfId="27829"/>
    <cellStyle name="Note 4 2 4 4 3 2" xfId="27830"/>
    <cellStyle name="Note 5 4 4 3 2" xfId="27831"/>
    <cellStyle name="Note 5 2 3 4 3 2" xfId="27832"/>
    <cellStyle name="Note 6 4 4 3 2" xfId="27833"/>
    <cellStyle name="Note 6 2 3 4 3 2" xfId="27834"/>
    <cellStyle name="Note 7 4 4 3 2" xfId="27835"/>
    <cellStyle name="Note 7 2 3 4 3 2" xfId="27836"/>
    <cellStyle name="Note 8 3 4 3 2" xfId="27837"/>
    <cellStyle name="Output 2 9 4 3 2" xfId="27838"/>
    <cellStyle name="Output 3 5 4 3 2" xfId="27839"/>
    <cellStyle name="Output 4 5 4 3 2" xfId="27840"/>
    <cellStyle name="Output 5 4 4 3 2" xfId="27841"/>
    <cellStyle name="Total 2 10 4 3 2" xfId="27842"/>
    <cellStyle name="Total 3 5 4 3 2" xfId="27843"/>
    <cellStyle name="Total 4 5 4 3 2" xfId="27844"/>
    <cellStyle name="Total 5 4 4 3 2" xfId="27845"/>
    <cellStyle name="Input 20 4 3 2" xfId="27846"/>
    <cellStyle name="Input 21 4 3 2" xfId="27847"/>
    <cellStyle name="Note 4 2 6 2 3 2" xfId="27848"/>
    <cellStyle name="Note 3 3 3 2 3 2" xfId="27849"/>
    <cellStyle name="Note 2 5 3 2 3 2" xfId="27850"/>
    <cellStyle name="Note 2 4 2 3 2 3 2" xfId="27851"/>
    <cellStyle name="Note 2 3 2 3 2 3 2" xfId="27852"/>
    <cellStyle name="Note 2 2 2 3 2 3 2" xfId="27853"/>
    <cellStyle name="Calculation 2 9 2 3 2" xfId="27854"/>
    <cellStyle name="Calculation 2 2 5 2 3 2" xfId="27855"/>
    <cellStyle name="Calculation 2 2 2 2 2 3 2" xfId="27856"/>
    <cellStyle name="Calculation 2 2 3 2 2 3 2" xfId="27857"/>
    <cellStyle name="Calculation 2 2 4 2 2 3 2" xfId="27858"/>
    <cellStyle name="Calculation 2 3 2 2 3 2" xfId="27859"/>
    <cellStyle name="Calculation 2 4 2 2 3 2" xfId="27860"/>
    <cellStyle name="Calculation 2 5 2 2 3 2" xfId="27861"/>
    <cellStyle name="Calculation 3 5 2 3 2" xfId="27862"/>
    <cellStyle name="Header2 2 2 3 2" xfId="27863"/>
    <cellStyle name="Input 2 5 3 2 3 2" xfId="27864"/>
    <cellStyle name="Input 2 9 2 3 2" xfId="27865"/>
    <cellStyle name="Input 2 2 5 2 3 2" xfId="27866"/>
    <cellStyle name="Input 2 2 2 2 2 3 2" xfId="27867"/>
    <cellStyle name="Input 2 2 3 2 2 3 2" xfId="27868"/>
    <cellStyle name="Input 2 2 4 2 2 3 2" xfId="27869"/>
    <cellStyle name="Input 2 3 2 2 3 2" xfId="27870"/>
    <cellStyle name="Input 2 4 2 2 3 2" xfId="27871"/>
    <cellStyle name="Input 2 5 2 2 3 2" xfId="27872"/>
    <cellStyle name="Input 3 5 2 3 2" xfId="27873"/>
    <cellStyle name="Input 4 5 2 3 2" xfId="27874"/>
    <cellStyle name="Input 5 5 2 3 2" xfId="27875"/>
    <cellStyle name="Input 6 3 2 3 2" xfId="27876"/>
    <cellStyle name="Input 7 2 2 3 2" xfId="27877"/>
    <cellStyle name="Input 8 2 2 3 2" xfId="27878"/>
    <cellStyle name="Calculation 2 5 3 2 3 2" xfId="27879"/>
    <cellStyle name="Total 2 4 3 2 3 2" xfId="27880"/>
    <cellStyle name="Total 2 2 4 3 2 3 2" xfId="27881"/>
    <cellStyle name="Total 2 2 3 3 2 3 2" xfId="27882"/>
    <cellStyle name="Total 2 12 2 3 2" xfId="27883"/>
    <cellStyle name="Note 2 9 2 3 2" xfId="27884"/>
    <cellStyle name="Note 2 2 6 2 3 2" xfId="27885"/>
    <cellStyle name="Note 2 3 3 2 3 2" xfId="27886"/>
    <cellStyle name="Note 2 4 3 2 3 2" xfId="27887"/>
    <cellStyle name="Note 3 7 2 3 2" xfId="27888"/>
    <cellStyle name="Note 3 2 7 2 3 2" xfId="27889"/>
    <cellStyle name="Output 2 10 2 3 2" xfId="27890"/>
    <cellStyle name="Output 2 2 5 2 3 2" xfId="27891"/>
    <cellStyle name="Output 2 2 2 2 2 3 2" xfId="27892"/>
    <cellStyle name="Output 2 2 3 2 2 3 2" xfId="27893"/>
    <cellStyle name="Output 2 2 4 2 2 3 2" xfId="27894"/>
    <cellStyle name="Output 2 3 2 2 3 2" xfId="27895"/>
    <cellStyle name="Output 2 4 2 2 3 2" xfId="27896"/>
    <cellStyle name="Output 2 5 2 2 3 2" xfId="27897"/>
    <cellStyle name="Output 3 6 2 3 2" xfId="27898"/>
    <cellStyle name="Input 7 3 2 3 2" xfId="27899"/>
    <cellStyle name="Input 5 6 2 3 2" xfId="27900"/>
    <cellStyle name="Input 3 6 2 3 2" xfId="27901"/>
    <cellStyle name="Input 2 4 3 2 3 2" xfId="27902"/>
    <cellStyle name="Input 2 2 4 3 2 3 2" xfId="27903"/>
    <cellStyle name="Input 2 2 2 3 2 3 2" xfId="27904"/>
    <cellStyle name="Input 2 10 2 3 2" xfId="27905"/>
    <cellStyle name="Calculation 3 6 2 3 2" xfId="27906"/>
    <cellStyle name="Calculation 2 4 3 2 3 2" xfId="27907"/>
    <cellStyle name="Calculation 2 2 4 3 2 3 2" xfId="27908"/>
    <cellStyle name="Calculation 2 2 2 3 2 3 2" xfId="27909"/>
    <cellStyle name="Calculation 2 10 2 3 2" xfId="27910"/>
    <cellStyle name="StmtTtl2 2 2 3 2" xfId="27911"/>
    <cellStyle name="Total 2 11 2 3 2" xfId="27912"/>
    <cellStyle name="Total 2 2 5 2 3 2" xfId="27913"/>
    <cellStyle name="Total 2 2 2 2 2 3 2" xfId="27914"/>
    <cellStyle name="Total 2 2 3 2 2 3 2" xfId="27915"/>
    <cellStyle name="Total 2 2 4 2 2 3 2" xfId="27916"/>
    <cellStyle name="Total 2 3 2 2 3 2" xfId="27917"/>
    <cellStyle name="Total 2 4 2 2 3 2" xfId="27918"/>
    <cellStyle name="Total 2 5 2 2 3 2" xfId="27919"/>
    <cellStyle name="Total 2 6 2 2 3 2" xfId="27920"/>
    <cellStyle name="Total 3 6 2 3 2" xfId="27921"/>
    <cellStyle name="Calculation 2 2 2 2 3 3 2" xfId="27922"/>
    <cellStyle name="Output 3 5 5 3 2" xfId="27923"/>
    <cellStyle name="Input 12 5 3 2" xfId="27924"/>
    <cellStyle name="Output 2 5 3 2 3 2" xfId="27925"/>
    <cellStyle name="Output 2 3 3 2 3 2" xfId="27926"/>
    <cellStyle name="Output 2 2 3 3 2 3 2" xfId="27927"/>
    <cellStyle name="Output 2 2 6 2 3 2" xfId="27928"/>
    <cellStyle name="Note 4 7 2 3 2" xfId="27929"/>
    <cellStyle name="Note 3 2 2 3 2 3 2" xfId="27930"/>
    <cellStyle name="Note 3 8 2 3 2" xfId="27931"/>
    <cellStyle name="Note 2 4 4 2 3 2" xfId="27932"/>
    <cellStyle name="Note 2 2 7 2 3 2" xfId="27933"/>
    <cellStyle name="Note 3 2 2 2 2 3 2" xfId="27934"/>
    <cellStyle name="Note 4 6 2 3 2" xfId="27935"/>
    <cellStyle name="Total 3 7 2 3 2" xfId="27936"/>
    <cellStyle name="Total 2 5 3 2 3 2" xfId="27937"/>
    <cellStyle name="Total 2 3 3 2 3 2" xfId="27938"/>
    <cellStyle name="Total 2 2 6 2 3 2" xfId="27939"/>
    <cellStyle name="Total 2 2 2 3 2 3 2" xfId="27940"/>
    <cellStyle name="StmtTtl2 3 2 3 2" xfId="27941"/>
    <cellStyle name="Output 3 7 2 3 2" xfId="27942"/>
    <cellStyle name="Note 2 5 2 2 3 2" xfId="27943"/>
    <cellStyle name="Note 2 2 2 2 2 3 2" xfId="27944"/>
    <cellStyle name="Note 2 3 2 2 2 3 2" xfId="27945"/>
    <cellStyle name="Note 2 4 2 2 2 3 2" xfId="27946"/>
    <cellStyle name="Note 3 3 2 2 3 2" xfId="27947"/>
    <cellStyle name="Input 8 3 2 3 2" xfId="27948"/>
    <cellStyle name="Input 6 4 2 3 2" xfId="27949"/>
    <cellStyle name="Input 4 6 2 3 2" xfId="27950"/>
    <cellStyle name="Input 2 3 3 2 3 2" xfId="27951"/>
    <cellStyle name="Input 2 2 3 3 2 3 2" xfId="27952"/>
    <cellStyle name="Input 2 2 6 2 3 2" xfId="27953"/>
    <cellStyle name="Calculation 2 3 3 2 3 2" xfId="27954"/>
    <cellStyle name="Calculation 2 2 3 3 2 3 2" xfId="27955"/>
    <cellStyle name="Calculation 2 2 6 2 3 2" xfId="27956"/>
    <cellStyle name="Output 2 4 3 2 3 2" xfId="27957"/>
    <cellStyle name="Output 2 2 4 3 2 3 2" xfId="27958"/>
    <cellStyle name="Output 2 2 2 3 2 3 2" xfId="27959"/>
    <cellStyle name="Output 2 11 2 3 2" xfId="27960"/>
    <cellStyle name="Note 3 2 8 2 3 2" xfId="27961"/>
    <cellStyle name="Note 2 3 4 2 3 2" xfId="27962"/>
    <cellStyle name="Note 2 10 2 3 2" xfId="27963"/>
    <cellStyle name="Note 4 2 5 2 3 2" xfId="27964"/>
    <cellStyle name="Style 21 3 3 2" xfId="27965"/>
    <cellStyle name="Style 21 2 3 3 2" xfId="27966"/>
    <cellStyle name="Style 22 3 3 2" xfId="27967"/>
    <cellStyle name="Style 22 2 3 3 2" xfId="27968"/>
    <cellStyle name="Style 23 3 3 2" xfId="27969"/>
    <cellStyle name="Style 23 2 3 3 2" xfId="27970"/>
    <cellStyle name="Style 24 3 3 2" xfId="27971"/>
    <cellStyle name="Style 24 2 3 3 2" xfId="27972"/>
    <cellStyle name="Style 25 3 3 2" xfId="27973"/>
    <cellStyle name="Style 25 2 3 3 2" xfId="27974"/>
    <cellStyle name="Style 26 3 3 2" xfId="27975"/>
    <cellStyle name="Style 26 2 3 3 2" xfId="27976"/>
    <cellStyle name="styleColumnTitles 3 3 2" xfId="27977"/>
    <cellStyle name="styleColumnTitles 2 3 3 2" xfId="27978"/>
    <cellStyle name="styleDateRange 3 3 2" xfId="27979"/>
    <cellStyle name="styleDateRange 2 3 3 2" xfId="27980"/>
    <cellStyle name="styleSeriesAttributes 3 3 2" xfId="27981"/>
    <cellStyle name="styleSeriesAttributes 2 3 3 2" xfId="27982"/>
    <cellStyle name="styleSeriesData 3 3 2" xfId="27983"/>
    <cellStyle name="styleSeriesData 2 3 3 2" xfId="27984"/>
    <cellStyle name="styleSeriesDataForecast 3 3 2" xfId="27985"/>
    <cellStyle name="styleSeriesDataForecast 2 3 3 2" xfId="27986"/>
    <cellStyle name="styleSeriesDataForecastNA 3 3 2" xfId="27987"/>
    <cellStyle name="styleSeriesDataForecastNA 2 3 3 2" xfId="27988"/>
    <cellStyle name="styleSeriesDataNA 3 3 2" xfId="27989"/>
    <cellStyle name="styleSeriesDataNA 2 3 3 2" xfId="27990"/>
    <cellStyle name="Style 21 2 2 2 3 2" xfId="27991"/>
    <cellStyle name="Style 22 2 2 2 3 2" xfId="27992"/>
    <cellStyle name="Style 23 2 2 2 3 2" xfId="27993"/>
    <cellStyle name="Style 24 2 2 2 3 2" xfId="27994"/>
    <cellStyle name="Style 25 2 2 2 3 2" xfId="27995"/>
    <cellStyle name="Style 26 2 2 2 3 2" xfId="27996"/>
    <cellStyle name="styleColumnTitles 2 2 2 3 2" xfId="27997"/>
    <cellStyle name="styleDateRange 2 2 2 3 2" xfId="27998"/>
    <cellStyle name="styleSeriesAttributes 2 2 2 3 2" xfId="27999"/>
    <cellStyle name="styleSeriesData 2 2 2 3 2" xfId="28000"/>
    <cellStyle name="styleSeriesDataForecast 2 2 2 3 2" xfId="28001"/>
    <cellStyle name="styleSeriesDataForecastNA 2 2 2 3 2" xfId="28002"/>
    <cellStyle name="styleSeriesDataNA 2 2 2 3 2" xfId="28003"/>
    <cellStyle name="Total 2 6 3 2 3 2" xfId="28004"/>
    <cellStyle name="Note 3 3 3 3 3 2" xfId="28005"/>
    <cellStyle name="Note 5 2 3 5 3 2" xfId="28006"/>
    <cellStyle name="Input 4 3 5 3 2" xfId="28007"/>
    <cellStyle name="Calculation 7 2 2 3 2" xfId="28008"/>
    <cellStyle name="Calculation 2 6 2 2 3 2" xfId="28009"/>
    <cellStyle name="Calculation 3 2 2 2 3 2" xfId="28010"/>
    <cellStyle name="Calculation 4 2 2 2 3 2" xfId="28011"/>
    <cellStyle name="Calculation 5 4 2 3 2" xfId="28012"/>
    <cellStyle name="Output 9 2 2 3 2" xfId="28013"/>
    <cellStyle name="Input 10 2 2 3 2" xfId="28014"/>
    <cellStyle name="Input 2 6 2 2 3 2" xfId="28015"/>
    <cellStyle name="Input 3 2 2 2 3 2" xfId="28016"/>
    <cellStyle name="Input 4 2 2 2 3 2" xfId="28017"/>
    <cellStyle name="Input 5 2 2 2 3 2" xfId="28018"/>
    <cellStyle name="Note 11 2 2 3 2" xfId="28019"/>
    <cellStyle name="Note 2 6 2 2 3 2" xfId="28020"/>
    <cellStyle name="Note 2 2 3 2 2 3 2" xfId="28021"/>
    <cellStyle name="Note 3 4 2 2 3 2" xfId="28022"/>
    <cellStyle name="Note 3 2 4 2 2 3 2" xfId="28023"/>
    <cellStyle name="Note 4 3 2 2 3 2" xfId="28024"/>
    <cellStyle name="Note 4 2 2 2 2 3 2" xfId="28025"/>
    <cellStyle name="Note 5 5 2 3 2" xfId="28026"/>
    <cellStyle name="Note 5 2 4 2 3 2" xfId="28027"/>
    <cellStyle name="Note 6 5 2 3 2" xfId="28028"/>
    <cellStyle name="Note 6 2 4 2 3 2" xfId="28029"/>
    <cellStyle name="Note 7 5 2 3 2" xfId="28030"/>
    <cellStyle name="Note 7 2 4 2 3 2" xfId="28031"/>
    <cellStyle name="Note 8 4 2 3 2" xfId="28032"/>
    <cellStyle name="Note 9 3 2 3 2" xfId="28033"/>
    <cellStyle name="Output 7 2 2 3 2" xfId="28034"/>
    <cellStyle name="Output 2 6 2 2 3 2" xfId="28035"/>
    <cellStyle name="Output 3 2 2 2 3 2" xfId="28036"/>
    <cellStyle name="Output 4 2 2 2 3 2" xfId="28037"/>
    <cellStyle name="Output 5 5 2 3 2" xfId="28038"/>
    <cellStyle name="Total 7 2 2 3 2" xfId="28039"/>
    <cellStyle name="Total 2 7 2 2 3 2" xfId="28040"/>
    <cellStyle name="Total 3 2 2 2 3 2" xfId="28041"/>
    <cellStyle name="Total 4 2 2 2 3 2" xfId="28042"/>
    <cellStyle name="Total 5 5 2 3 2" xfId="28043"/>
    <cellStyle name="Calculation 8 2 2 3 2" xfId="28044"/>
    <cellStyle name="Input 12 2 2 3 2" xfId="28045"/>
    <cellStyle name="Input 11 2 2 3 2" xfId="28046"/>
    <cellStyle name="Calculation 9 2 2 3 2" xfId="28047"/>
    <cellStyle name="Output 8 2 2 3 2" xfId="28048"/>
    <cellStyle name="Total 8 2 2 3 2" xfId="28049"/>
    <cellStyle name="Total 9 2 2 3 2" xfId="28050"/>
    <cellStyle name="Note 2 3 2 3 3 3 2" xfId="28051"/>
    <cellStyle name="Note 7 4 5 3 2" xfId="28052"/>
    <cellStyle name="Note 13 5 3 2" xfId="28053"/>
    <cellStyle name="Calculation 10 5 3 2" xfId="28054"/>
    <cellStyle name="Output 5 2 2 2 3 2" xfId="28055"/>
    <cellStyle name="Output 4 3 2 2 3 2" xfId="28056"/>
    <cellStyle name="Output 3 3 2 2 3 2" xfId="28057"/>
    <cellStyle name="Output 2 7 2 2 3 2" xfId="28058"/>
    <cellStyle name="Output 11 2 2 3 2" xfId="28059"/>
    <cellStyle name="Input 5 3 2 2 3 2" xfId="28060"/>
    <cellStyle name="Input 4 3 2 2 3 2" xfId="28061"/>
    <cellStyle name="Input 3 3 2 2 3 2" xfId="28062"/>
    <cellStyle name="Input 2 7 2 2 3 2" xfId="28063"/>
    <cellStyle name="Calculation 10 2 2 3 2" xfId="28064"/>
    <cellStyle name="Input 14 2 2 3 2" xfId="28065"/>
    <cellStyle name="Input 16 2 2 3 2" xfId="28066"/>
    <cellStyle name="Input 17 2 2 3 2" xfId="28067"/>
    <cellStyle name="Input 15 2 2 3 2" xfId="28068"/>
    <cellStyle name="Input 13 2 2 3 2" xfId="28069"/>
    <cellStyle name="Calculation 5 2 2 2 3 2" xfId="28070"/>
    <cellStyle name="Calculation 4 3 2 2 3 2" xfId="28071"/>
    <cellStyle name="Calculation 3 3 2 2 3 2" xfId="28072"/>
    <cellStyle name="Calculation 2 7 2 2 3 2" xfId="28073"/>
    <cellStyle name="Calculation 11 2 2 3 2" xfId="28074"/>
    <cellStyle name="Output 10 2 2 3 2" xfId="28075"/>
    <cellStyle name="Note 12 2 2 3 2" xfId="28076"/>
    <cellStyle name="Note 2 7 2 2 3 2" xfId="28077"/>
    <cellStyle name="Note 2 2 4 2 2 3 2" xfId="28078"/>
    <cellStyle name="Note 3 5 2 2 3 2" xfId="28079"/>
    <cellStyle name="Note 3 2 5 2 2 3 2" xfId="28080"/>
    <cellStyle name="Note 4 4 2 2 3 2" xfId="28081"/>
    <cellStyle name="Note 4 2 3 2 2 3 2" xfId="28082"/>
    <cellStyle name="Note 5 3 2 2 3 2" xfId="28083"/>
    <cellStyle name="Note 5 2 2 2 2 3 2" xfId="28084"/>
    <cellStyle name="Note 6 3 2 2 3 2" xfId="28085"/>
    <cellStyle name="Note 6 2 2 2 2 3 2" xfId="28086"/>
    <cellStyle name="Note 7 3 2 2 3 2" xfId="28087"/>
    <cellStyle name="Note 7 2 2 2 2 3 2" xfId="28088"/>
    <cellStyle name="Note 8 2 2 2 3 2" xfId="28089"/>
    <cellStyle name="Note 9 2 2 2 3 2" xfId="28090"/>
    <cellStyle name="Output 12 2 2 3 2" xfId="28091"/>
    <cellStyle name="Output 2 8 2 2 3 2" xfId="28092"/>
    <cellStyle name="Output 3 4 2 2 3 2" xfId="28093"/>
    <cellStyle name="Output 4 4 2 2 3 2" xfId="28094"/>
    <cellStyle name="Output 5 3 2 2 3 2" xfId="28095"/>
    <cellStyle name="Total 10 2 2 3 2" xfId="28096"/>
    <cellStyle name="Total 11 2 2 3 2" xfId="28097"/>
    <cellStyle name="Total 2 8 2 2 3 2" xfId="28098"/>
    <cellStyle name="Total 3 3 2 2 3 2" xfId="28099"/>
    <cellStyle name="Total 4 3 2 2 3 2" xfId="28100"/>
    <cellStyle name="Total 5 2 2 2 3 2" xfId="28101"/>
    <cellStyle name="Total 12 2 2 3 2" xfId="28102"/>
    <cellStyle name="Total 2 9 2 2 3 2" xfId="28103"/>
    <cellStyle name="Total 3 4 2 2 3 2" xfId="28104"/>
    <cellStyle name="Total 4 4 2 2 3 2" xfId="28105"/>
    <cellStyle name="Total 5 3 2 2 3 2" xfId="28106"/>
    <cellStyle name="Note 2 5 3 3 3 2" xfId="28107"/>
    <cellStyle name="Note 6 4 5 3 2" xfId="28108"/>
    <cellStyle name="Calculation 12 5 3 2" xfId="28109"/>
    <cellStyle name="Input 3 3 5 3 2" xfId="28110"/>
    <cellStyle name="Input 18 2 2 3 2" xfId="28111"/>
    <cellStyle name="Calculation 12 2 2 3 2" xfId="28112"/>
    <cellStyle name="Input 19 2 2 3 2" xfId="28113"/>
    <cellStyle name="Note 13 2 2 3 2" xfId="28114"/>
    <cellStyle name="Output 13 2 2 3 2" xfId="28115"/>
    <cellStyle name="Total 13 2 2 3 2" xfId="28116"/>
    <cellStyle name="Calculation 2 8 2 2 3 2" xfId="28117"/>
    <cellStyle name="Calculation 3 4 2 2 3 2" xfId="28118"/>
    <cellStyle name="Calculation 4 4 2 2 3 2" xfId="28119"/>
    <cellStyle name="Calculation 5 3 2 2 3 2" xfId="28120"/>
    <cellStyle name="Input 2 8 2 2 3 2" xfId="28121"/>
    <cellStyle name="Input 3 4 2 2 3 2" xfId="28122"/>
    <cellStyle name="Input 4 4 2 2 3 2" xfId="28123"/>
    <cellStyle name="Input 5 4 2 2 3 2" xfId="28124"/>
    <cellStyle name="Note 2 8 2 2 3 2" xfId="28125"/>
    <cellStyle name="Note 2 2 5 2 2 3 2" xfId="28126"/>
    <cellStyle name="Note 3 6 2 2 3 2" xfId="28127"/>
    <cellStyle name="Note 3 2 6 2 2 3 2" xfId="28128"/>
    <cellStyle name="Note 4 5 2 2 3 2" xfId="28129"/>
    <cellStyle name="Note 4 2 4 2 2 3 2" xfId="28130"/>
    <cellStyle name="Note 5 4 2 2 3 2" xfId="28131"/>
    <cellStyle name="Note 5 2 3 2 2 3 2" xfId="28132"/>
    <cellStyle name="Note 6 4 2 2 3 2" xfId="28133"/>
    <cellStyle name="Note 6 2 3 2 2 3 2" xfId="28134"/>
    <cellStyle name="Note 7 4 2 2 3 2" xfId="28135"/>
    <cellStyle name="Note 7 2 3 2 2 3 2" xfId="28136"/>
    <cellStyle name="Note 8 3 2 2 3 2" xfId="28137"/>
    <cellStyle name="Output 2 9 2 2 3 2" xfId="28138"/>
    <cellStyle name="Output 3 5 2 2 3 2" xfId="28139"/>
    <cellStyle name="Output 4 5 2 2 3 2" xfId="28140"/>
    <cellStyle name="Output 5 4 2 2 3 2" xfId="28141"/>
    <cellStyle name="Total 2 10 2 2 3 2" xfId="28142"/>
    <cellStyle name="Total 3 5 2 2 3 2" xfId="28143"/>
    <cellStyle name="Total 4 5 2 2 3 2" xfId="28144"/>
    <cellStyle name="Total 5 4 2 2 3 2" xfId="28145"/>
    <cellStyle name="Input 20 2 2 3 2" xfId="28146"/>
    <cellStyle name="Input 21 2 2 3 2" xfId="28147"/>
    <cellStyle name="Note 2 9 3 3 2" xfId="28148"/>
    <cellStyle name="Note 2 2 6 3 3 2" xfId="28149"/>
    <cellStyle name="Note 2 3 3 3 3 2" xfId="28150"/>
    <cellStyle name="Note 2 4 3 3 3 2" xfId="28151"/>
    <cellStyle name="Note 3 7 3 3 2" xfId="28152"/>
    <cellStyle name="Note 3 2 7 3 3 2" xfId="28153"/>
    <cellStyle name="Output 2 10 3 3 2" xfId="28154"/>
    <cellStyle name="Output 2 2 5 3 3 2" xfId="28155"/>
    <cellStyle name="Output 2 2 2 2 3 3 2" xfId="28156"/>
    <cellStyle name="Output 2 2 3 2 3 3 2" xfId="28157"/>
    <cellStyle name="Output 2 2 4 2 3 3 2" xfId="28158"/>
    <cellStyle name="Output 2 3 2 3 3 2" xfId="28159"/>
    <cellStyle name="Output 2 4 2 3 3 2" xfId="28160"/>
    <cellStyle name="Output 2 5 2 3 3 2" xfId="28161"/>
    <cellStyle name="Output 3 6 3 3 2" xfId="28162"/>
    <cellStyle name="Input 7 3 3 3 2" xfId="28163"/>
    <cellStyle name="Input 5 6 3 3 2" xfId="28164"/>
    <cellStyle name="Input 3 6 3 3 2" xfId="28165"/>
    <cellStyle name="Input 2 4 3 3 3 2" xfId="28166"/>
    <cellStyle name="Input 2 2 4 3 3 3 2" xfId="28167"/>
    <cellStyle name="Input 2 2 2 3 3 3 2" xfId="28168"/>
    <cellStyle name="Input 2 10 3 3 2" xfId="28169"/>
    <cellStyle name="Calculation 3 6 3 3 2" xfId="28170"/>
    <cellStyle name="Calculation 2 4 3 3 3 2" xfId="28171"/>
    <cellStyle name="Calculation 2 2 4 3 3 3 2" xfId="28172"/>
    <cellStyle name="Calculation 2 2 2 3 3 3 2" xfId="28173"/>
    <cellStyle name="Calculation 2 10 3 3 2" xfId="28174"/>
    <cellStyle name="StmtTtl2 2 3 3 2" xfId="28175"/>
    <cellStyle name="Total 2 11 3 3 2" xfId="28176"/>
    <cellStyle name="Total 2 2 5 3 3 2" xfId="28177"/>
    <cellStyle name="Total 2 2 2 2 3 3 2" xfId="28178"/>
    <cellStyle name="Total 2 2 3 2 3 3 2" xfId="28179"/>
    <cellStyle name="Total 2 2 4 2 3 3 2" xfId="28180"/>
    <cellStyle name="Total 2 3 2 3 3 2" xfId="28181"/>
    <cellStyle name="Total 2 4 2 3 3 2" xfId="28182"/>
    <cellStyle name="Total 2 5 2 3 3 2" xfId="28183"/>
    <cellStyle name="Total 2 6 2 3 3 2" xfId="28184"/>
    <cellStyle name="Total 3 6 3 3 2" xfId="28185"/>
    <cellStyle name="Output 2 5 3 3 3 2" xfId="28186"/>
    <cellStyle name="Output 2 3 3 3 3 2" xfId="28187"/>
    <cellStyle name="Output 2 2 3 3 3 3 2" xfId="28188"/>
    <cellStyle name="Output 2 2 6 3 3 2" xfId="28189"/>
    <cellStyle name="Note 4 7 3 3 2" xfId="28190"/>
    <cellStyle name="Note 3 2 2 3 3 3 2" xfId="28191"/>
    <cellStyle name="Note 3 8 3 3 2" xfId="28192"/>
    <cellStyle name="Note 2 4 4 3 3 2" xfId="28193"/>
    <cellStyle name="Note 2 2 7 3 3 2" xfId="28194"/>
    <cellStyle name="Note 3 2 2 2 3 3 2" xfId="28195"/>
    <cellStyle name="Note 4 6 3 3 2" xfId="28196"/>
    <cellStyle name="Total 3 7 3 3 2" xfId="28197"/>
    <cellStyle name="Total 2 5 3 3 3 2" xfId="28198"/>
    <cellStyle name="Total 2 3 3 3 3 2" xfId="28199"/>
    <cellStyle name="Total 2 2 6 3 3 2" xfId="28200"/>
    <cellStyle name="Total 2 2 2 3 3 3 2" xfId="28201"/>
    <cellStyle name="StmtTtl2 3 3 3 2" xfId="28202"/>
    <cellStyle name="Output 3 7 3 3 2" xfId="28203"/>
    <cellStyle name="Note 2 5 2 3 3 2" xfId="28204"/>
    <cellStyle name="Note 2 2 2 2 3 3 2" xfId="28205"/>
    <cellStyle name="Note 2 3 2 2 3 3 2" xfId="28206"/>
    <cellStyle name="Note 2 4 2 2 3 3 2" xfId="28207"/>
    <cellStyle name="Note 3 3 2 3 3 2" xfId="28208"/>
    <cellStyle name="Input 8 3 3 3 2" xfId="28209"/>
    <cellStyle name="Input 6 4 3 3 2" xfId="28210"/>
    <cellStyle name="Input 4 6 3 3 2" xfId="28211"/>
    <cellStyle name="Input 2 3 3 3 3 2" xfId="28212"/>
    <cellStyle name="Input 2 2 3 3 3 3 2" xfId="28213"/>
    <cellStyle name="Input 2 2 6 3 3 2" xfId="28214"/>
    <cellStyle name="Calculation 2 3 3 3 3 2" xfId="28215"/>
    <cellStyle name="Calculation 2 2 3 3 3 3 2" xfId="28216"/>
    <cellStyle name="Calculation 2 2 6 3 3 2" xfId="28217"/>
    <cellStyle name="Output 2 4 3 3 3 2" xfId="28218"/>
    <cellStyle name="Output 2 2 4 3 3 3 2" xfId="28219"/>
    <cellStyle name="Output 2 2 2 3 3 3 2" xfId="28220"/>
    <cellStyle name="Output 2 11 3 3 2" xfId="28221"/>
    <cellStyle name="Note 3 2 8 3 3 2" xfId="28222"/>
    <cellStyle name="Note 2 3 4 3 3 2" xfId="28223"/>
    <cellStyle name="Note 2 10 3 3 2" xfId="28224"/>
    <cellStyle name="Note 4 2 5 3 3 2" xfId="28225"/>
    <cellStyle name="Style 21 4 3 2" xfId="28226"/>
    <cellStyle name="Style 21 2 4 3 2" xfId="28227"/>
    <cellStyle name="Style 22 4 3 2" xfId="28228"/>
    <cellStyle name="Style 22 2 4 3 2" xfId="28229"/>
    <cellStyle name="Style 23 4 3 2" xfId="28230"/>
    <cellStyle name="Style 23 2 4 3 2" xfId="28231"/>
    <cellStyle name="Style 24 4 3 2" xfId="28232"/>
    <cellStyle name="Style 24 2 4 3 2" xfId="28233"/>
    <cellStyle name="Style 25 4 3 2" xfId="28234"/>
    <cellStyle name="Style 25 2 4 3 2" xfId="28235"/>
    <cellStyle name="Style 26 4 3 2" xfId="28236"/>
    <cellStyle name="Style 26 2 4 3 2" xfId="28237"/>
    <cellStyle name="styleColumnTitles 4 3 2" xfId="28238"/>
    <cellStyle name="styleColumnTitles 2 4 3 2" xfId="28239"/>
    <cellStyle name="styleDateRange 4 3 2" xfId="28240"/>
    <cellStyle name="styleDateRange 2 4 3 2" xfId="28241"/>
    <cellStyle name="styleSeriesAttributes 4 3 2" xfId="28242"/>
    <cellStyle name="styleSeriesAttributes 2 4 3 2" xfId="28243"/>
    <cellStyle name="styleSeriesData 4 3 2" xfId="28244"/>
    <cellStyle name="styleSeriesData 2 4 3 2" xfId="28245"/>
    <cellStyle name="styleSeriesDataForecast 4 3 2" xfId="28246"/>
    <cellStyle name="styleSeriesDataForecast 2 4 3 2" xfId="28247"/>
    <cellStyle name="styleSeriesDataForecastNA 4 3 2" xfId="28248"/>
    <cellStyle name="styleSeriesDataForecastNA 2 4 3 2" xfId="28249"/>
    <cellStyle name="styleSeriesDataNA 4 3 2" xfId="28250"/>
    <cellStyle name="styleSeriesDataNA 2 4 3 2" xfId="28251"/>
    <cellStyle name="Style 21 2 2 3 3 2" xfId="28252"/>
    <cellStyle name="Style 22 2 2 3 3 2" xfId="28253"/>
    <cellStyle name="Style 23 2 2 3 3 2" xfId="28254"/>
    <cellStyle name="Style 24 2 2 3 3 2" xfId="28255"/>
    <cellStyle name="Style 25 2 2 3 3 2" xfId="28256"/>
    <cellStyle name="Style 26 2 2 3 3 2" xfId="28257"/>
    <cellStyle name="styleColumnTitles 2 2 3 3 2" xfId="28258"/>
    <cellStyle name="styleDateRange 2 2 3 3 2" xfId="28259"/>
    <cellStyle name="styleSeriesAttributes 2 2 3 3 2" xfId="28260"/>
    <cellStyle name="styleSeriesData 2 2 3 3 2" xfId="28261"/>
    <cellStyle name="styleSeriesDataForecast 2 2 3 3 2" xfId="28262"/>
    <cellStyle name="styleSeriesDataForecastNA 2 2 3 3 2" xfId="28263"/>
    <cellStyle name="styleSeriesDataNA 2 2 3 3 2" xfId="28264"/>
    <cellStyle name="Total 2 6 3 3 3 2" xfId="28265"/>
    <cellStyle name="Calculation 7 2 3 3 2" xfId="28266"/>
    <cellStyle name="Calculation 2 6 2 3 3 2" xfId="28267"/>
    <cellStyle name="Calculation 3 2 2 3 3 2" xfId="28268"/>
    <cellStyle name="Calculation 4 2 2 3 3 2" xfId="28269"/>
    <cellStyle name="Calculation 5 4 3 3 2" xfId="28270"/>
    <cellStyle name="Output 9 2 3 3 2" xfId="28271"/>
    <cellStyle name="Input 10 2 3 3 2" xfId="28272"/>
    <cellStyle name="Input 2 6 2 3 3 2" xfId="28273"/>
    <cellStyle name="Input 3 2 2 3 3 2" xfId="28274"/>
    <cellStyle name="Input 4 2 2 3 3 2" xfId="28275"/>
    <cellStyle name="Input 5 2 2 3 3 2" xfId="28276"/>
    <cellStyle name="Note 11 2 3 3 2" xfId="28277"/>
    <cellStyle name="Note 2 6 2 3 3 2" xfId="28278"/>
    <cellStyle name="Note 2 2 3 2 3 3 2" xfId="28279"/>
    <cellStyle name="Note 3 4 2 3 3 2" xfId="28280"/>
    <cellStyle name="Note 3 2 4 2 3 3 2" xfId="28281"/>
    <cellStyle name="Note 4 3 2 3 3 2" xfId="28282"/>
    <cellStyle name="Note 4 2 2 2 3 3 2" xfId="28283"/>
    <cellStyle name="Note 5 5 3 3 2" xfId="28284"/>
    <cellStyle name="Note 5 2 4 3 3 2" xfId="28285"/>
    <cellStyle name="Note 6 5 3 3 2" xfId="28286"/>
    <cellStyle name="Note 6 2 4 3 3 2" xfId="28287"/>
    <cellStyle name="Note 7 5 3 3 2" xfId="28288"/>
    <cellStyle name="Note 7 2 4 3 3 2" xfId="28289"/>
    <cellStyle name="Note 8 4 3 3 2" xfId="28290"/>
    <cellStyle name="Note 9 3 3 3 2" xfId="28291"/>
    <cellStyle name="Output 7 2 3 3 2" xfId="28292"/>
    <cellStyle name="Output 2 6 2 3 3 2" xfId="28293"/>
    <cellStyle name="Output 3 2 2 3 3 2" xfId="28294"/>
    <cellStyle name="Output 4 2 2 3 3 2" xfId="28295"/>
    <cellStyle name="Output 5 5 3 3 2" xfId="28296"/>
    <cellStyle name="Total 7 2 3 3 2" xfId="28297"/>
    <cellStyle name="Total 2 7 2 3 3 2" xfId="28298"/>
    <cellStyle name="Total 3 2 2 3 3 2" xfId="28299"/>
    <cellStyle name="Total 4 2 2 3 3 2" xfId="28300"/>
    <cellStyle name="Total 5 5 3 3 2" xfId="28301"/>
    <cellStyle name="Calculation 8 2 3 3 2" xfId="28302"/>
    <cellStyle name="Input 12 2 3 3 2" xfId="28303"/>
    <cellStyle name="Input 11 2 3 3 2" xfId="28304"/>
    <cellStyle name="Calculation 9 2 3 3 2" xfId="28305"/>
    <cellStyle name="Output 8 2 3 3 2" xfId="28306"/>
    <cellStyle name="Total 8 2 3 3 2" xfId="28307"/>
    <cellStyle name="Total 9 2 3 3 2" xfId="28308"/>
    <cellStyle name="Output 5 2 2 3 3 2" xfId="28309"/>
    <cellStyle name="Output 4 3 2 3 3 2" xfId="28310"/>
    <cellStyle name="Output 3 3 2 3 3 2" xfId="28311"/>
    <cellStyle name="Output 2 7 2 3 3 2" xfId="28312"/>
    <cellStyle name="Output 11 2 3 3 2" xfId="28313"/>
    <cellStyle name="Input 5 3 2 3 3 2" xfId="28314"/>
    <cellStyle name="Input 4 3 2 3 3 2" xfId="28315"/>
    <cellStyle name="Input 3 3 2 3 3 2" xfId="28316"/>
    <cellStyle name="Input 2 7 2 3 3 2" xfId="28317"/>
    <cellStyle name="Calculation 10 2 3 3 2" xfId="28318"/>
    <cellStyle name="Input 14 2 3 3 2" xfId="28319"/>
    <cellStyle name="Input 16 2 3 3 2" xfId="28320"/>
    <cellStyle name="Input 17 2 3 3 2" xfId="28321"/>
    <cellStyle name="Input 15 2 3 3 2" xfId="28322"/>
    <cellStyle name="Input 13 2 3 3 2" xfId="28323"/>
    <cellStyle name="Calculation 5 2 2 3 3 2" xfId="28324"/>
    <cellStyle name="Calculation 4 3 2 3 3 2" xfId="28325"/>
    <cellStyle name="Calculation 3 3 2 3 3 2" xfId="28326"/>
    <cellStyle name="Calculation 2 7 2 3 3 2" xfId="28327"/>
    <cellStyle name="Calculation 11 2 3 3 2" xfId="28328"/>
    <cellStyle name="Output 10 2 3 3 2" xfId="28329"/>
    <cellStyle name="Note 12 2 3 3 2" xfId="28330"/>
    <cellStyle name="Note 2 7 2 3 3 2" xfId="28331"/>
    <cellStyle name="Note 2 2 4 2 3 3 2" xfId="28332"/>
    <cellStyle name="Note 3 5 2 3 3 2" xfId="28333"/>
    <cellStyle name="Note 3 2 5 2 3 3 2" xfId="28334"/>
    <cellStyle name="Note 4 4 2 3 3 2" xfId="28335"/>
    <cellStyle name="Note 4 2 3 2 3 3 2" xfId="28336"/>
    <cellStyle name="Note 5 3 2 3 3 2" xfId="28337"/>
    <cellStyle name="Note 5 2 2 2 3 3 2" xfId="28338"/>
    <cellStyle name="Note 6 3 2 3 3 2" xfId="28339"/>
    <cellStyle name="Note 6 2 2 2 3 3 2" xfId="28340"/>
    <cellStyle name="Note 7 3 2 3 3 2" xfId="28341"/>
    <cellStyle name="Note 7 2 2 2 3 3 2" xfId="28342"/>
    <cellStyle name="Note 8 2 2 3 3 2" xfId="28343"/>
    <cellStyle name="Note 9 2 2 3 3 2" xfId="28344"/>
    <cellStyle name="Output 12 2 3 3 2" xfId="28345"/>
    <cellStyle name="Output 2 8 2 3 3 2" xfId="28346"/>
    <cellStyle name="Output 3 4 2 3 3 2" xfId="28347"/>
    <cellStyle name="Output 4 4 2 3 3 2" xfId="28348"/>
    <cellStyle name="Output 5 3 2 3 3 2" xfId="28349"/>
    <cellStyle name="Total 10 2 3 3 2" xfId="28350"/>
    <cellStyle name="Total 11 2 3 3 2" xfId="28351"/>
    <cellStyle name="Total 2 8 2 3 3 2" xfId="28352"/>
    <cellStyle name="Total 3 3 2 3 3 2" xfId="28353"/>
    <cellStyle name="Total 4 3 2 3 3 2" xfId="28354"/>
    <cellStyle name="Total 5 2 2 3 3 2" xfId="28355"/>
    <cellStyle name="Total 12 2 3 3 2" xfId="28356"/>
    <cellStyle name="Total 2 9 2 3 3 2" xfId="28357"/>
    <cellStyle name="Total 3 4 2 3 3 2" xfId="28358"/>
    <cellStyle name="Total 4 4 2 3 3 2" xfId="28359"/>
    <cellStyle name="Total 5 3 2 3 3 2" xfId="28360"/>
    <cellStyle name="Input 18 2 3 3 2" xfId="28361"/>
    <cellStyle name="Calculation 12 2 3 3 2" xfId="28362"/>
    <cellStyle name="Input 19 2 3 3 2" xfId="28363"/>
    <cellStyle name="Note 13 2 3 3 2" xfId="28364"/>
    <cellStyle name="Output 13 2 3 3 2" xfId="28365"/>
    <cellStyle name="Total 13 2 3 3 2" xfId="28366"/>
    <cellStyle name="Calculation 2 8 2 3 3 2" xfId="28367"/>
    <cellStyle name="Calculation 3 4 2 3 3 2" xfId="28368"/>
    <cellStyle name="Calculation 4 4 2 3 3 2" xfId="28369"/>
    <cellStyle name="Calculation 5 3 2 3 3 2" xfId="28370"/>
    <cellStyle name="Input 2 8 2 3 3 2" xfId="28371"/>
    <cellStyle name="Input 3 4 2 3 3 2" xfId="28372"/>
    <cellStyle name="Input 4 4 2 3 3 2" xfId="28373"/>
    <cellStyle name="Input 5 4 2 3 3 2" xfId="28374"/>
    <cellStyle name="Note 2 8 2 3 3 2" xfId="28375"/>
    <cellStyle name="Note 2 2 5 2 3 3 2" xfId="28376"/>
    <cellStyle name="Note 3 6 2 3 3 2" xfId="28377"/>
    <cellStyle name="Note 3 2 6 2 3 3 2" xfId="28378"/>
    <cellStyle name="Note 4 5 2 3 3 2" xfId="28379"/>
    <cellStyle name="Note 4 2 4 2 3 3 2" xfId="28380"/>
    <cellStyle name="Note 5 4 2 3 3 2" xfId="28381"/>
    <cellStyle name="Note 5 2 3 2 3 3 2" xfId="28382"/>
    <cellStyle name="Note 6 4 2 3 3 2" xfId="28383"/>
    <cellStyle name="Note 6 2 3 2 3 3 2" xfId="28384"/>
    <cellStyle name="Note 7 4 2 3 3 2" xfId="28385"/>
    <cellStyle name="Note 7 2 3 2 3 3 2" xfId="28386"/>
    <cellStyle name="Note 8 3 2 3 3 2" xfId="28387"/>
    <cellStyle name="Output 2 9 2 3 3 2" xfId="28388"/>
    <cellStyle name="Output 3 5 2 3 3 2" xfId="28389"/>
    <cellStyle name="Output 4 5 2 3 3 2" xfId="28390"/>
    <cellStyle name="Output 5 4 2 3 3 2" xfId="28391"/>
    <cellStyle name="Total 2 10 2 3 3 2" xfId="28392"/>
    <cellStyle name="Total 3 5 2 3 3 2" xfId="28393"/>
    <cellStyle name="Total 4 5 2 3 3 2" xfId="28394"/>
    <cellStyle name="Total 5 4 2 3 3 2" xfId="28395"/>
    <cellStyle name="Input 20 2 3 3 2" xfId="28396"/>
    <cellStyle name="Input 21 2 3 3 2" xfId="28397"/>
    <cellStyle name="Note 2 7 2 2 4 2" xfId="28398"/>
    <cellStyle name="Input 10 2 2 4 2" xfId="28399"/>
    <cellStyle name="Input 2 3 3 2 4 2" xfId="28400"/>
    <cellStyle name="Note 3 7 2 4 2" xfId="28401"/>
    <cellStyle name="Note 3 6 4 4 2" xfId="28402"/>
    <cellStyle name="Input 16 4 4 2" xfId="28403"/>
    <cellStyle name="Note 7 5 2 5 2" xfId="28404"/>
    <cellStyle name="Output 11 2 7 2" xfId="28405"/>
    <cellStyle name="Calculation 4 2 2 7 2" xfId="28406"/>
    <cellStyle name="Style 25 2 8 2" xfId="28407"/>
    <cellStyle name="Note 4 6 7 2" xfId="28408"/>
    <cellStyle name="Input 13 3 5 2" xfId="28409"/>
    <cellStyle name="Note 2 4 2 3 3 5 2" xfId="28410"/>
    <cellStyle name="Input 5 2 5 4 2" xfId="28411"/>
    <cellStyle name="Note 7 2 3 9 2" xfId="28412"/>
    <cellStyle name="Output 4 4 2 2 5 2" xfId="28413"/>
    <cellStyle name="Total 2 2 7 6 2" xfId="28414"/>
    <cellStyle name="Total 2 2 2 4 5 2" xfId="28415"/>
    <cellStyle name="Input 11 2 2 4 2" xfId="28416"/>
    <cellStyle name="styleSeriesData 3 4 2" xfId="28417"/>
    <cellStyle name="Total 2 6 2 2 4 2" xfId="28418"/>
    <cellStyle name="Calculation 2 2 3 2 2 4 2" xfId="28419"/>
    <cellStyle name="Total 10 4 4 2" xfId="28420"/>
    <cellStyle name="Total 7 4 4 2" xfId="28421"/>
    <cellStyle name="Calculation 4 4 2 7 2" xfId="28422"/>
    <cellStyle name="Note 5 2 2 2 7 2" xfId="28423"/>
    <cellStyle name="Output 5 5 7 2" xfId="28424"/>
    <cellStyle name="Calculation 7 6 3 2" xfId="28425"/>
    <cellStyle name="Calculation 2 6 6 3 2" xfId="28426"/>
    <cellStyle name="Calculation 3 2 6 3 2" xfId="28427"/>
    <cellStyle name="Calculation 4 2 6 3 2" xfId="28428"/>
    <cellStyle name="Calculation 5 7 3 2" xfId="28429"/>
    <cellStyle name="Output 9 5 3 2" xfId="28430"/>
    <cellStyle name="Input 10 6 3 2" xfId="28431"/>
    <cellStyle name="Input 2 6 6 3 2" xfId="28432"/>
    <cellStyle name="Input 3 2 6 3 2" xfId="28433"/>
    <cellStyle name="Input 4 2 6 3 2" xfId="28434"/>
    <cellStyle name="Input 5 2 6 3 2" xfId="28435"/>
    <cellStyle name="styleDateRange 2 3 5 2" xfId="28436"/>
    <cellStyle name="Note 11 5 3 2" xfId="28437"/>
    <cellStyle name="Note 2 6 5 3 2" xfId="28438"/>
    <cellStyle name="Note 2 2 3 5 3 2" xfId="28439"/>
    <cellStyle name="Note 3 4 5 3 2" xfId="28440"/>
    <cellStyle name="Note 3 2 4 5 3 2" xfId="28441"/>
    <cellStyle name="Note 4 3 5 3 2" xfId="28442"/>
    <cellStyle name="Note 4 2 2 5 3 2" xfId="28443"/>
    <cellStyle name="Note 5 8 3 2" xfId="28444"/>
    <cellStyle name="Note 5 2 7 3 2" xfId="28445"/>
    <cellStyle name="Note 6 8 3 2" xfId="28446"/>
    <cellStyle name="Note 6 2 7 3 2" xfId="28447"/>
    <cellStyle name="Note 7 8 3 2" xfId="28448"/>
    <cellStyle name="Note 7 2 7 3 2" xfId="28449"/>
    <cellStyle name="Note 8 7 3 2" xfId="28450"/>
    <cellStyle name="Note 9 6 3 2" xfId="28451"/>
    <cellStyle name="Output 7 5 3 2" xfId="28452"/>
    <cellStyle name="Output 2 6 5 3 2" xfId="28453"/>
    <cellStyle name="Output 3 2 5 3 2" xfId="28454"/>
    <cellStyle name="Output 4 2 5 3 2" xfId="28455"/>
    <cellStyle name="Output 5 8 3 2" xfId="28456"/>
    <cellStyle name="Total 7 5 3 2" xfId="28457"/>
    <cellStyle name="Total 2 7 5 3 2" xfId="28458"/>
    <cellStyle name="Total 3 2 5 3 2" xfId="28459"/>
    <cellStyle name="Total 4 2 5 3 2" xfId="28460"/>
    <cellStyle name="Total 5 8 3 2" xfId="28461"/>
    <cellStyle name="Calculation 8 6 3 2" xfId="28462"/>
    <cellStyle name="Input 12 6 3 2" xfId="28463"/>
    <cellStyle name="Input 11 6 3 2" xfId="28464"/>
    <cellStyle name="Calculation 9 6 3 2" xfId="28465"/>
    <cellStyle name="Output 8 5 3 2" xfId="28466"/>
    <cellStyle name="Total 8 5 3 2" xfId="28467"/>
    <cellStyle name="Total 9 5 3 2" xfId="28468"/>
    <cellStyle name="Input 14 2 2 4 2" xfId="28469"/>
    <cellStyle name="styleSeriesDataForecastNA 2 2 2 4 2" xfId="28470"/>
    <cellStyle name="Total 2 2 6 2 4 2" xfId="28471"/>
    <cellStyle name="Input 6 3 2 4 2" xfId="28472"/>
    <cellStyle name="Output 13 4 4 2" xfId="28473"/>
    <cellStyle name="Input 5 3 5 4 2" xfId="28474"/>
    <cellStyle name="Note 8 3 2 7 2" xfId="28475"/>
    <cellStyle name="Total 4 3 2 7 2" xfId="28476"/>
    <cellStyle name="styleColumnTitles 3 5 2" xfId="28477"/>
    <cellStyle name="Output 2 3 2 2 5 2" xfId="28478"/>
    <cellStyle name="Output 5 2 5 3 2" xfId="28479"/>
    <cellStyle name="Output 4 3 5 3 2" xfId="28480"/>
    <cellStyle name="Output 3 3 5 3 2" xfId="28481"/>
    <cellStyle name="Output 2 7 5 3 2" xfId="28482"/>
    <cellStyle name="Output 11 5 3 2" xfId="28483"/>
    <cellStyle name="Input 5 3 6 3 2" xfId="28484"/>
    <cellStyle name="Input 4 3 6 3 2" xfId="28485"/>
    <cellStyle name="Input 3 3 6 3 2" xfId="28486"/>
    <cellStyle name="Input 2 7 6 3 2" xfId="28487"/>
    <cellStyle name="Calculation 10 6 3 2" xfId="28488"/>
    <cellStyle name="Input 14 6 3 2" xfId="28489"/>
    <cellStyle name="Input 16 6 3 2" xfId="28490"/>
    <cellStyle name="Input 17 6 3 2" xfId="28491"/>
    <cellStyle name="Input 15 6 3 2" xfId="28492"/>
    <cellStyle name="Input 13 6 3 2" xfId="28493"/>
    <cellStyle name="Calculation 5 2 6 3 2" xfId="28494"/>
    <cellStyle name="Calculation 4 3 6 3 2" xfId="28495"/>
    <cellStyle name="Calculation 3 3 6 3 2" xfId="28496"/>
    <cellStyle name="Calculation 2 7 6 3 2" xfId="28497"/>
    <cellStyle name="Calculation 11 6 3 2" xfId="28498"/>
    <cellStyle name="Note 13 3 5 2" xfId="28499"/>
    <cellStyle name="Total 5 3 2 2 5 2" xfId="28500"/>
    <cellStyle name="Output 10 5 3 2" xfId="28501"/>
    <cellStyle name="Note 12 5 3 2" xfId="28502"/>
    <cellStyle name="Note 2 7 5 3 2" xfId="28503"/>
    <cellStyle name="Note 2 2 4 5 3 2" xfId="28504"/>
    <cellStyle name="Note 3 5 5 3 2" xfId="28505"/>
    <cellStyle name="Note 3 2 5 5 3 2" xfId="28506"/>
    <cellStyle name="Note 4 4 5 3 2" xfId="28507"/>
    <cellStyle name="Note 4 2 3 5 3 2" xfId="28508"/>
    <cellStyle name="Note 5 3 5 3 2" xfId="28509"/>
    <cellStyle name="Note 5 2 2 5 3 2" xfId="28510"/>
    <cellStyle name="Note 6 3 5 3 2" xfId="28511"/>
    <cellStyle name="Note 6 2 2 5 3 2" xfId="28512"/>
    <cellStyle name="Note 7 3 5 3 2" xfId="28513"/>
    <cellStyle name="Note 7 2 2 5 3 2" xfId="28514"/>
    <cellStyle name="Note 8 2 5 3 2" xfId="28515"/>
    <cellStyle name="Note 9 2 5 3 2" xfId="28516"/>
    <cellStyle name="Output 12 5 3 2" xfId="28517"/>
    <cellStyle name="Output 2 8 5 3 2" xfId="28518"/>
    <cellStyle name="Output 3 4 5 3 2" xfId="28519"/>
    <cellStyle name="Output 4 4 5 3 2" xfId="28520"/>
    <cellStyle name="Output 5 3 5 3 2" xfId="28521"/>
    <cellStyle name="Total 10 5 3 2" xfId="28522"/>
    <cellStyle name="Total 11 5 3 2" xfId="28523"/>
    <cellStyle name="Total 2 8 5 3 2" xfId="28524"/>
    <cellStyle name="Total 3 3 5 3 2" xfId="28525"/>
    <cellStyle name="Total 4 3 5 3 2" xfId="28526"/>
    <cellStyle name="Total 5 2 5 3 2" xfId="28527"/>
    <cellStyle name="Total 12 5 3 2" xfId="28528"/>
    <cellStyle name="Total 2 9 5 3 2" xfId="28529"/>
    <cellStyle name="Total 3 4 5 3 2" xfId="28530"/>
    <cellStyle name="Total 4 4 5 3 2" xfId="28531"/>
    <cellStyle name="Total 5 3 5 3 2" xfId="28532"/>
    <cellStyle name="Output 5 2 2 2 4 2" xfId="28533"/>
    <cellStyle name="Style 22 2 2 2 4 2" xfId="28534"/>
    <cellStyle name="Note 4 7 2 4 2" xfId="28535"/>
    <cellStyle name="Input 2 2 5 2 4 2" xfId="28536"/>
    <cellStyle name="Total 4 4 4 4 2" xfId="28537"/>
    <cellStyle name="Output 8 4 4 2" xfId="28538"/>
    <cellStyle name="Note 3 6 2 7 2" xfId="28539"/>
    <cellStyle name="Output 3 4 2 7 2" xfId="28540"/>
    <cellStyle name="Input 11 2 7 2" xfId="28541"/>
    <cellStyle name="Note 4 7 7 2" xfId="28542"/>
    <cellStyle name="Input 18 6 3 2" xfId="28543"/>
    <cellStyle name="Output 3 6 3 5 2" xfId="28544"/>
    <cellStyle name="Calculation 12 6 3 2" xfId="28545"/>
    <cellStyle name="Input 19 6 3 2" xfId="28546"/>
    <cellStyle name="Note 13 6 3 2" xfId="28547"/>
    <cellStyle name="Output 13 6 3 2" xfId="28548"/>
    <cellStyle name="Total 13 6 3 2" xfId="28549"/>
    <cellStyle name="Note 3 4 3 4 2" xfId="28550"/>
    <cellStyle name="Output 2 11 8 2" xfId="28551"/>
    <cellStyle name="Calculation 2 8 6 3 2" xfId="28552"/>
    <cellStyle name="Calculation 3 4 6 3 2" xfId="28553"/>
    <cellStyle name="Calculation 4 4 6 3 2" xfId="28554"/>
    <cellStyle name="Calculation 5 3 6 3 2" xfId="28555"/>
    <cellStyle name="Input 2 8 6 3 2" xfId="28556"/>
    <cellStyle name="Input 3 4 6 3 2" xfId="28557"/>
    <cellStyle name="Input 4 4 6 3 2" xfId="28558"/>
    <cellStyle name="Input 5 4 6 3 2" xfId="28559"/>
    <cellStyle name="Input 4 5 8 2" xfId="28560"/>
    <cellStyle name="Note 2 8 6 3 2" xfId="28561"/>
    <cellStyle name="Note 2 2 5 6 3 2" xfId="28562"/>
    <cellStyle name="Note 3 6 6 3 2" xfId="28563"/>
    <cellStyle name="Note 3 2 6 6 3 2" xfId="28564"/>
    <cellStyle name="Note 4 5 6 3 2" xfId="28565"/>
    <cellStyle name="Note 4 2 4 6 3 2" xfId="28566"/>
    <cellStyle name="Note 5 4 6 3 2" xfId="28567"/>
    <cellStyle name="Note 5 2 3 6 3 2" xfId="28568"/>
    <cellStyle name="Note 6 4 6 3 2" xfId="28569"/>
    <cellStyle name="Note 6 2 3 6 3 2" xfId="28570"/>
    <cellStyle name="Note 7 4 6 3 2" xfId="28571"/>
    <cellStyle name="Note 7 2 3 6 3 2" xfId="28572"/>
    <cellStyle name="Note 8 3 6 3 2" xfId="28573"/>
    <cellStyle name="Output 2 9 6 3 2" xfId="28574"/>
    <cellStyle name="Output 3 5 6 3 2" xfId="28575"/>
    <cellStyle name="Output 4 5 6 3 2" xfId="28576"/>
    <cellStyle name="Output 5 4 6 3 2" xfId="28577"/>
    <cellStyle name="Total 2 10 6 3 2" xfId="28578"/>
    <cellStyle name="Total 3 5 6 3 2" xfId="28579"/>
    <cellStyle name="Total 4 5 6 3 2" xfId="28580"/>
    <cellStyle name="Total 5 4 6 3 2" xfId="28581"/>
    <cellStyle name="Input 20 6 3 2" xfId="28582"/>
    <cellStyle name="Input 4 2 3 4 2" xfId="28583"/>
    <cellStyle name="Output 2 10 8 2" xfId="28584"/>
    <cellStyle name="Input 21 5 4 2" xfId="28585"/>
    <cellStyle name="Input 21 6 3 2" xfId="28586"/>
    <cellStyle name="Calculation 7 3 4 2" xfId="28587"/>
    <cellStyle name="Note 2 3 2 2 2 5 2" xfId="28588"/>
    <cellStyle name="Calculation 2 6 2 8 2" xfId="28589"/>
    <cellStyle name="Total 11 9 2" xfId="28590"/>
    <cellStyle name="Input 10 3 2 3 2" xfId="28591"/>
    <cellStyle name="Input 2 4 4 2 3 2" xfId="28592"/>
    <cellStyle name="Input 7 4 2 3 2" xfId="28593"/>
    <cellStyle name="Note 4 2 6 4 3 2" xfId="28594"/>
    <cellStyle name="Note 3 3 3 4 3 2" xfId="28595"/>
    <cellStyle name="Note 2 5 3 4 3 2" xfId="28596"/>
    <cellStyle name="Note 2 4 2 3 4 3 2" xfId="28597"/>
    <cellStyle name="Note 2 3 2 3 4 3 2" xfId="28598"/>
    <cellStyle name="Note 2 2 2 3 4 3 2" xfId="28599"/>
    <cellStyle name="Total 12 9 2" xfId="28600"/>
    <cellStyle name="Input 6 6 3 2" xfId="28601"/>
    <cellStyle name="Input 4 7 3 2" xfId="28602"/>
    <cellStyle name="Input 2 4 5 3 2" xfId="28603"/>
    <cellStyle name="Input 2 2 4 5 3 2" xfId="28604"/>
    <cellStyle name="Input 2 2 2 5 3 2" xfId="28605"/>
    <cellStyle name="Input 2 12 3 2" xfId="28606"/>
    <cellStyle name="Input 24 3 2" xfId="28607"/>
    <cellStyle name="Note 14 3 2" xfId="28608"/>
    <cellStyle name="Note 2 11 3 2" xfId="28609"/>
    <cellStyle name="Note 2 2 8 3 2" xfId="28610"/>
    <cellStyle name="Calculation 2 9 4 3 2" xfId="28611"/>
    <cellStyle name="Calculation 2 2 5 4 3 2" xfId="28612"/>
    <cellStyle name="Calculation 2 2 2 2 4 3 2" xfId="28613"/>
    <cellStyle name="Calculation 2 2 3 2 4 3 2" xfId="28614"/>
    <cellStyle name="Calculation 2 2 4 2 4 3 2" xfId="28615"/>
    <cellStyle name="Calculation 2 3 2 4 3 2" xfId="28616"/>
    <cellStyle name="Calculation 2 4 2 4 3 2" xfId="28617"/>
    <cellStyle name="Calculation 2 5 2 4 3 2" xfId="28618"/>
    <cellStyle name="Calculation 3 5 4 3 2" xfId="28619"/>
    <cellStyle name="Note 3 2 10 3 2" xfId="28620"/>
    <cellStyle name="Note 3 2 2 5 3 2" xfId="28621"/>
    <cellStyle name="Note 4 8 3 2" xfId="28622"/>
    <cellStyle name="Output 3 8 2 3 2" xfId="28623"/>
    <cellStyle name="Calculation 2 3 5 3 2" xfId="28624"/>
    <cellStyle name="Calculation 2 2 4 5 3 2" xfId="28625"/>
    <cellStyle name="Calculation 2 2 3 5 3 2" xfId="28626"/>
    <cellStyle name="Calculation 2 2 2 5 3 2" xfId="28627"/>
    <cellStyle name="Calculation 2 2 8 3 2" xfId="28628"/>
    <cellStyle name="Calculation 13 3 2" xfId="28629"/>
    <cellStyle name="Input 17 3 4 2" xfId="28630"/>
    <cellStyle name="Note 5 3 3 4 2" xfId="28631"/>
    <cellStyle name="Total 3 3 3 4 2" xfId="28632"/>
    <cellStyle name="Note 2 7 9 2" xfId="28633"/>
    <cellStyle name="Total 11 3 4 2" xfId="28634"/>
    <cellStyle name="Output 2 4 4 6 2" xfId="28635"/>
    <cellStyle name="Calculation 2 9 3 4 2" xfId="28636"/>
    <cellStyle name="Calculation 3 2 4 4 2" xfId="28637"/>
    <cellStyle name="Total 5 5 8 2" xfId="28638"/>
    <cellStyle name="Output 2 4 3 7 2" xfId="28639"/>
    <cellStyle name="Note 2 3 4 7 2" xfId="28640"/>
    <cellStyle name="Note 7 5 7 2" xfId="28641"/>
    <cellStyle name="Output 4 2 4 4 2" xfId="28642"/>
    <cellStyle name="Output 5 4 9 2" xfId="28643"/>
    <cellStyle name="Output 3 4 4 4 2" xfId="28644"/>
    <cellStyle name="Total 2 11 2 4 2" xfId="28645"/>
    <cellStyle name="Style 26 3 4 2" xfId="28646"/>
    <cellStyle name="Note 3 5 2 7 2" xfId="28647"/>
    <cellStyle name="Output 2 6 4 4 2" xfId="28648"/>
    <cellStyle name="Note 5 3 4 5 2" xfId="28649"/>
    <cellStyle name="Total 2 2 2 4 2 3 2" xfId="28650"/>
    <cellStyle name="Total 2 2 4 4 2 3 2" xfId="28651"/>
    <cellStyle name="Total 2 2 3 2 8 2" xfId="28652"/>
    <cellStyle name="Output 2 8 4 4 2" xfId="28653"/>
    <cellStyle name="Total 14 3 2" xfId="28654"/>
    <cellStyle name="Header2 2 4 3 2" xfId="28655"/>
    <cellStyle name="Input 2 5 3 4 3 2" xfId="28656"/>
    <cellStyle name="Input 2 9 4 3 2" xfId="28657"/>
    <cellStyle name="Input 2 2 5 4 3 2" xfId="28658"/>
    <cellStyle name="Input 2 2 2 2 4 3 2" xfId="28659"/>
    <cellStyle name="Input 2 2 3 2 4 3 2" xfId="28660"/>
    <cellStyle name="Input 2 2 4 2 4 3 2" xfId="28661"/>
    <cellStyle name="Input 2 3 2 4 3 2" xfId="28662"/>
    <cellStyle name="Input 2 4 2 4 3 2" xfId="28663"/>
    <cellStyle name="Input 2 5 2 4 3 2" xfId="28664"/>
    <cellStyle name="Input 3 5 4 3 2" xfId="28665"/>
    <cellStyle name="Input 4 5 4 3 2" xfId="28666"/>
    <cellStyle name="Input 5 5 4 3 2" xfId="28667"/>
    <cellStyle name="Input 6 3 4 3 2" xfId="28668"/>
    <cellStyle name="Input 7 2 4 3 2" xfId="28669"/>
    <cellStyle name="Input 8 2 4 3 2" xfId="28670"/>
    <cellStyle name="Output 3 4 2 8 2" xfId="28671"/>
    <cellStyle name="Calculation 2 5 3 4 3 2" xfId="28672"/>
    <cellStyle name="Total 2 4 3 4 3 2" xfId="28673"/>
    <cellStyle name="Total 2 2 4 3 4 3 2" xfId="28674"/>
    <cellStyle name="Total 2 2 3 3 4 3 2" xfId="28675"/>
    <cellStyle name="Total 2 12 4 3 2" xfId="28676"/>
    <cellStyle name="Input 16 3 4 2" xfId="28677"/>
    <cellStyle name="Output 14 3 2" xfId="28678"/>
    <cellStyle name="Note 2 4 6 3 2" xfId="28679"/>
    <cellStyle name="Calculation 2 2 7 2 3 2" xfId="28680"/>
    <cellStyle name="Calculation 2 2 4 4 2 3 2" xfId="28681"/>
    <cellStyle name="Header2 3 2 3 2" xfId="28682"/>
    <cellStyle name="Total 9 9 2" xfId="28683"/>
    <cellStyle name="Input 2 2 7 2 3 2" xfId="28684"/>
    <cellStyle name="Input 2 3 4 2 3 2" xfId="28685"/>
    <cellStyle name="Input [yellow] 3 3 2" xfId="28686"/>
    <cellStyle name="Note 13 3 4 2" xfId="28687"/>
    <cellStyle name="Calculation 5 3 10 2" xfId="28688"/>
    <cellStyle name="Output 2 2 4 2 7 2" xfId="28689"/>
    <cellStyle name="Output 2 5 2 7 2" xfId="28690"/>
    <cellStyle name="Note 12 2 7 2" xfId="28691"/>
    <cellStyle name="Total 2 2 7 2 3 2" xfId="28692"/>
    <cellStyle name="Total 2 4 4 2 3 2" xfId="28693"/>
    <cellStyle name="Note 2 9 4 3 2" xfId="28694"/>
    <cellStyle name="Note 2 2 6 4 3 2" xfId="28695"/>
    <cellStyle name="Note 2 3 3 4 3 2" xfId="28696"/>
    <cellStyle name="Note 2 4 3 4 3 2" xfId="28697"/>
    <cellStyle name="Note 3 7 4 3 2" xfId="28698"/>
    <cellStyle name="Note 3 2 7 4 3 2" xfId="28699"/>
    <cellStyle name="Output 2 10 4 3 2" xfId="28700"/>
    <cellStyle name="Output 2 2 5 4 3 2" xfId="28701"/>
    <cellStyle name="Output 2 2 2 2 4 3 2" xfId="28702"/>
    <cellStyle name="Output 2 2 3 2 4 3 2" xfId="28703"/>
    <cellStyle name="Output 2 2 4 2 4 3 2" xfId="28704"/>
    <cellStyle name="Output 2 3 2 4 3 2" xfId="28705"/>
    <cellStyle name="Output 2 4 2 4 3 2" xfId="28706"/>
    <cellStyle name="Output 2 5 2 4 3 2" xfId="28707"/>
    <cellStyle name="Output 3 6 4 3 2" xfId="28708"/>
    <cellStyle name="Input 7 3 4 3 2" xfId="28709"/>
    <cellStyle name="Input 5 6 4 3 2" xfId="28710"/>
    <cellStyle name="Input 3 6 4 3 2" xfId="28711"/>
    <cellStyle name="Input 2 4 3 4 3 2" xfId="28712"/>
    <cellStyle name="Input 2 2 4 3 4 3 2" xfId="28713"/>
    <cellStyle name="Input 2 2 2 3 4 3 2" xfId="28714"/>
    <cellStyle name="Input 2 10 4 3 2" xfId="28715"/>
    <cellStyle name="Calculation 3 6 4 3 2" xfId="28716"/>
    <cellStyle name="Calculation 2 4 3 4 3 2" xfId="28717"/>
    <cellStyle name="Calculation 2 2 4 3 4 3 2" xfId="28718"/>
    <cellStyle name="Calculation 2 2 2 3 4 3 2" xfId="28719"/>
    <cellStyle name="Calculation 2 10 4 3 2" xfId="28720"/>
    <cellStyle name="StmtTtl2 2 4 3 2" xfId="28721"/>
    <cellStyle name="Total 2 11 4 3 2" xfId="28722"/>
    <cellStyle name="Total 2 2 5 4 3 2" xfId="28723"/>
    <cellStyle name="Total 2 2 2 2 4 3 2" xfId="28724"/>
    <cellStyle name="Total 2 2 3 2 4 3 2" xfId="28725"/>
    <cellStyle name="Total 2 2 4 2 4 3 2" xfId="28726"/>
    <cellStyle name="Total 2 3 2 4 3 2" xfId="28727"/>
    <cellStyle name="Total 2 4 2 4 3 2" xfId="28728"/>
    <cellStyle name="Total 2 5 2 4 3 2" xfId="28729"/>
    <cellStyle name="Total 2 6 2 4 3 2" xfId="28730"/>
    <cellStyle name="Total 3 6 4 3 2" xfId="28731"/>
    <cellStyle name="Note 4 2 3 2 2 4 2" xfId="28732"/>
    <cellStyle name="Note 11 2 2 4 2" xfId="28733"/>
    <cellStyle name="Calculation 2 2 6 2 4 2" xfId="28734"/>
    <cellStyle name="Output 2 2 3 2 2 4 2" xfId="28735"/>
    <cellStyle name="Note 5 2 3 4 4 2" xfId="28736"/>
    <cellStyle name="Calculation 4 3 4 4 2" xfId="28737"/>
    <cellStyle name="Input 3 3 2 7 2" xfId="28738"/>
    <cellStyle name="Input 3 2 2 7 2" xfId="28739"/>
    <cellStyle name="styleDateRange 8 2" xfId="28740"/>
    <cellStyle name="Total 2 3 3 7 2" xfId="28741"/>
    <cellStyle name="Output 2 5 3 4 3 2" xfId="28742"/>
    <cellStyle name="Input 8 5 3 2" xfId="28743"/>
    <cellStyle name="Note 3 9 3 2" xfId="28744"/>
    <cellStyle name="Note 7 2 2 4 5 2" xfId="28745"/>
    <cellStyle name="Note 2 3 5 2 3 2" xfId="28746"/>
    <cellStyle name="Note 2 4 5 2 3 2" xfId="28747"/>
    <cellStyle name="Note 3 2 9 2 3 2" xfId="28748"/>
    <cellStyle name="Output 2 12 2 3 2" xfId="28749"/>
    <cellStyle name="Output 2 2 7 2 3 2" xfId="28750"/>
    <cellStyle name="Output 2 2 2 4 2 3 2" xfId="28751"/>
    <cellStyle name="Output 2 3 4 2 3 2" xfId="28752"/>
    <cellStyle name="Output 2 4 4 2 3 2" xfId="28753"/>
    <cellStyle name="Input 14 3 4 2" xfId="28754"/>
    <cellStyle name="Input 7 3 7 2" xfId="28755"/>
    <cellStyle name="Note 4 4 2 7 2" xfId="28756"/>
    <cellStyle name="Output 8 4 5 2" xfId="28757"/>
    <cellStyle name="Calculation 2 4 4 2 3 2" xfId="28758"/>
    <cellStyle name="Input 2 2 2 4 2 3 2" xfId="28759"/>
    <cellStyle name="Output 2 3 3 4 3 2" xfId="28760"/>
    <cellStyle name="Output 2 2 3 3 4 3 2" xfId="28761"/>
    <cellStyle name="Output 2 2 6 4 3 2" xfId="28762"/>
    <cellStyle name="Note 4 7 4 3 2" xfId="28763"/>
    <cellStyle name="Note 3 2 2 3 4 3 2" xfId="28764"/>
    <cellStyle name="Note 3 8 4 3 2" xfId="28765"/>
    <cellStyle name="Note 2 4 4 4 3 2" xfId="28766"/>
    <cellStyle name="Note 2 2 7 4 3 2" xfId="28767"/>
    <cellStyle name="Total 2 8 9 2" xfId="28768"/>
    <cellStyle name="Input 7 5 3 2" xfId="28769"/>
    <cellStyle name="Input 3 7 3 2" xfId="28770"/>
    <cellStyle name="Input 2 2 3 5 3 2" xfId="28771"/>
    <cellStyle name="Note 6 2 3 3 4 2" xfId="28772"/>
    <cellStyle name="Note 4 4 3 4 2" xfId="28773"/>
    <cellStyle name="Note 3 2 2 2 4 3 2" xfId="28774"/>
    <cellStyle name="Note 4 6 4 3 2" xfId="28775"/>
    <cellStyle name="Input 5 4 5 4 2" xfId="28776"/>
    <cellStyle name="Calculation 8 5 5 2" xfId="28777"/>
    <cellStyle name="Calculation 2 12 3 2" xfId="28778"/>
    <cellStyle name="Calculation 2 4 5 3 2" xfId="28779"/>
    <cellStyle name="Note 8 6 4 2" xfId="28780"/>
    <cellStyle name="Output 2 11 7 2" xfId="28781"/>
    <cellStyle name="Total 2 13 2 3 2" xfId="28782"/>
    <cellStyle name="Total 3 8 2 3 2" xfId="28783"/>
    <cellStyle name="Total 2 3 4 2 3 2" xfId="28784"/>
    <cellStyle name="Total 3 7 4 3 2" xfId="28785"/>
    <cellStyle name="Total 2 5 3 4 3 2" xfId="28786"/>
    <cellStyle name="Total 2 3 3 4 3 2" xfId="28787"/>
    <cellStyle name="Total 2 2 6 4 3 2" xfId="28788"/>
    <cellStyle name="Total 2 2 2 3 4 3 2" xfId="28789"/>
    <cellStyle name="StmtTtl2 3 4 3 2" xfId="28790"/>
    <cellStyle name="Output 3 6 7 2" xfId="28791"/>
    <cellStyle name="Note 4 2 3 3 4 2" xfId="28792"/>
    <cellStyle name="Calculation 2 11 2 3 2" xfId="28793"/>
    <cellStyle name="Input 23 3 2" xfId="28794"/>
    <cellStyle name="Input 2 11 2 3 2" xfId="28795"/>
    <cellStyle name="Input 2 2 4 4 2 3 2" xfId="28796"/>
    <cellStyle name="Input 8 4 2 3 2" xfId="28797"/>
    <cellStyle name="Output 3 7 4 3 2" xfId="28798"/>
    <cellStyle name="Input 22 3 2" xfId="28799"/>
    <cellStyle name="Header2 4 2 3 2" xfId="28800"/>
    <cellStyle name="Output 5 5 2 4 2" xfId="28801"/>
    <cellStyle name="Total 5 2 2 2 4 2" xfId="28802"/>
    <cellStyle name="Output 12 4 4 2" xfId="28803"/>
    <cellStyle name="StmtTtl2 4 2 3 2" xfId="28804"/>
    <cellStyle name="Output 3 5 2 2 5 2" xfId="28805"/>
    <cellStyle name="Total 2 2 3 4 2 3 2" xfId="28806"/>
    <cellStyle name="Total 2 5 4 2 3 2" xfId="28807"/>
    <cellStyle name="Note 7 3 8 2" xfId="28808"/>
    <cellStyle name="Note 2 5 2 4 3 2" xfId="28809"/>
    <cellStyle name="Note 2 2 2 2 4 3 2" xfId="28810"/>
    <cellStyle name="Note 2 3 2 2 4 3 2" xfId="28811"/>
    <cellStyle name="Note 2 4 2 2 4 3 2" xfId="28812"/>
    <cellStyle name="Note 3 3 2 4 3 2" xfId="28813"/>
    <cellStyle name="Input 8 3 4 3 2" xfId="28814"/>
    <cellStyle name="Input 6 4 4 3 2" xfId="28815"/>
    <cellStyle name="Input 4 6 4 3 2" xfId="28816"/>
    <cellStyle name="Input 2 3 3 4 3 2" xfId="28817"/>
    <cellStyle name="Input 2 2 3 3 4 3 2" xfId="28818"/>
    <cellStyle name="Input 2 2 6 4 3 2" xfId="28819"/>
    <cellStyle name="Calculation 2 3 3 4 3 2" xfId="28820"/>
    <cellStyle name="Calculation 2 2 3 3 4 3 2" xfId="28821"/>
    <cellStyle name="Calculation 2 2 6 4 3 2" xfId="28822"/>
    <cellStyle name="Calculation 3 8 3 2" xfId="28823"/>
    <cellStyle name="Note 3 2 2 4 2 3 2" xfId="28824"/>
    <cellStyle name="Output 2 2 4 4 2 3 2" xfId="28825"/>
    <cellStyle name="Output 2 2 3 4 2 3 2" xfId="28826"/>
    <cellStyle name="Input 2 2 3 4 2 3 2" xfId="28827"/>
    <cellStyle name="Output 2 4 3 4 3 2" xfId="28828"/>
    <cellStyle name="Output 2 2 4 3 4 3 2" xfId="28829"/>
    <cellStyle name="Output 2 2 2 3 4 3 2" xfId="28830"/>
    <cellStyle name="Output 2 11 4 3 2" xfId="28831"/>
    <cellStyle name="Note 3 2 8 4 3 2" xfId="28832"/>
    <cellStyle name="Note 2 3 4 4 3 2" xfId="28833"/>
    <cellStyle name="Note 2 10 4 3 2" xfId="28834"/>
    <cellStyle name="Input 5 8 3 2" xfId="28835"/>
    <cellStyle name="Input 2 3 5 3 2" xfId="28836"/>
    <cellStyle name="Input 2 2 8 3 2" xfId="28837"/>
    <cellStyle name="Note 5 2 3 3 4 2" xfId="28838"/>
    <cellStyle name="Note 4 2 5 4 3 2" xfId="28839"/>
    <cellStyle name="Style 21 5 3 2" xfId="28840"/>
    <cellStyle name="Style 21 2 5 3 2" xfId="28841"/>
    <cellStyle name="Style 22 5 3 2" xfId="28842"/>
    <cellStyle name="Style 22 2 5 3 2" xfId="28843"/>
    <cellStyle name="Style 23 5 3 2" xfId="28844"/>
    <cellStyle name="Style 23 2 5 3 2" xfId="28845"/>
    <cellStyle name="Style 24 5 3 2" xfId="28846"/>
    <cellStyle name="Style 24 2 5 3 2" xfId="28847"/>
    <cellStyle name="Style 25 5 3 2" xfId="28848"/>
    <cellStyle name="Style 25 2 5 3 2" xfId="28849"/>
    <cellStyle name="Style 26 5 3 2" xfId="28850"/>
    <cellStyle name="Style 26 2 5 3 2" xfId="28851"/>
    <cellStyle name="styleColumnTitles 5 3 2" xfId="28852"/>
    <cellStyle name="styleColumnTitles 2 5 3 2" xfId="28853"/>
    <cellStyle name="styleDateRange 5 3 2" xfId="28854"/>
    <cellStyle name="styleDateRange 2 5 3 2" xfId="28855"/>
    <cellStyle name="styleSeriesAttributes 5 3 2" xfId="28856"/>
    <cellStyle name="styleSeriesAttributes 2 5 3 2" xfId="28857"/>
    <cellStyle name="styleSeriesData 5 3 2" xfId="28858"/>
    <cellStyle name="styleSeriesData 2 5 3 2" xfId="28859"/>
    <cellStyle name="styleSeriesDataForecast 5 3 2" xfId="28860"/>
    <cellStyle name="styleSeriesDataForecast 2 5 3 2" xfId="28861"/>
    <cellStyle name="styleSeriesDataForecastNA 5 3 2" xfId="28862"/>
    <cellStyle name="styleSeriesDataForecastNA 2 5 3 2" xfId="28863"/>
    <cellStyle name="styleSeriesDataNA 5 3 2" xfId="28864"/>
    <cellStyle name="styleSeriesDataNA 2 5 3 2" xfId="28865"/>
    <cellStyle name="Style 21 2 2 4 3 2" xfId="28866"/>
    <cellStyle name="Style 22 2 2 4 3 2" xfId="28867"/>
    <cellStyle name="Style 23 2 2 4 3 2" xfId="28868"/>
    <cellStyle name="Style 24 2 2 4 3 2" xfId="28869"/>
    <cellStyle name="Style 25 2 2 4 3 2" xfId="28870"/>
    <cellStyle name="Style 26 2 2 4 3 2" xfId="28871"/>
    <cellStyle name="styleColumnTitles 2 2 4 3 2" xfId="28872"/>
    <cellStyle name="styleDateRange 2 2 4 3 2" xfId="28873"/>
    <cellStyle name="styleSeriesAttributes 2 2 4 3 2" xfId="28874"/>
    <cellStyle name="styleSeriesData 2 2 4 3 2" xfId="28875"/>
    <cellStyle name="styleSeriesDataForecast 2 2 4 3 2" xfId="28876"/>
    <cellStyle name="styleSeriesDataForecastNA 2 2 4 3 2" xfId="28877"/>
    <cellStyle name="styleSeriesDataNA 2 2 4 3 2" xfId="28878"/>
    <cellStyle name="Note 2 2 5 5 4 2" xfId="28879"/>
    <cellStyle name="Calculation 3 7 2 3 2" xfId="28880"/>
    <cellStyle name="Calculation 2 3 4 2 3 2" xfId="28881"/>
    <cellStyle name="Calculation 2 2 3 4 2 3 2" xfId="28882"/>
    <cellStyle name="Calculation 2 2 2 4 2 3 2" xfId="28883"/>
    <cellStyle name="Note 2 3 6 3 2" xfId="28884"/>
    <cellStyle name="Total 2 8 3 4 2" xfId="28885"/>
    <cellStyle name="Total 5 6 5 2" xfId="28886"/>
    <cellStyle name="Note 6 4 3 4 2" xfId="28887"/>
    <cellStyle name="Total 2 6 3 4 3 2" xfId="28888"/>
    <cellStyle name="Output 2 12 6 2" xfId="28889"/>
    <cellStyle name="Total 2 5 4 5 2" xfId="28890"/>
    <cellStyle name="Note 2 3 2 3 3 4 2" xfId="28891"/>
    <cellStyle name="styleSeriesDataForecastNA 2 3 4 2" xfId="28892"/>
    <cellStyle name="Output 2 5 3 2 4 2" xfId="28893"/>
    <cellStyle name="Calculation 3 5 2 4 2" xfId="28894"/>
    <cellStyle name="Total 5 2 4 4 2" xfId="28895"/>
    <cellStyle name="Calculation 8 4 4 2" xfId="28896"/>
    <cellStyle name="Input 5 4 2 7 2" xfId="28897"/>
    <cellStyle name="Note 8 2 2 7 2" xfId="28898"/>
    <cellStyle name="Total 4 2 2 7 2" xfId="28899"/>
    <cellStyle name="styleSeriesDataForecastNA 2 2 7 2" xfId="28900"/>
    <cellStyle name="Calculation 7 2 4 3 2" xfId="28901"/>
    <cellStyle name="Calculation 2 6 2 4 3 2" xfId="28902"/>
    <cellStyle name="Calculation 3 2 2 4 3 2" xfId="28903"/>
    <cellStyle name="Calculation 4 2 2 4 3 2" xfId="28904"/>
    <cellStyle name="Calculation 5 4 4 3 2" xfId="28905"/>
    <cellStyle name="Output 9 2 4 3 2" xfId="28906"/>
    <cellStyle name="Input 10 2 4 3 2" xfId="28907"/>
    <cellStyle name="Input 2 6 2 4 3 2" xfId="28908"/>
    <cellStyle name="Input 3 2 2 4 3 2" xfId="28909"/>
    <cellStyle name="Input 4 2 2 4 3 2" xfId="28910"/>
    <cellStyle name="Input 5 2 2 4 3 2" xfId="28911"/>
    <cellStyle name="Calculation 3 2 9 2" xfId="28912"/>
    <cellStyle name="Total 2 3 2 2 5 2" xfId="28913"/>
    <cellStyle name="Note 11 2 4 3 2" xfId="28914"/>
    <cellStyle name="Note 2 6 2 4 3 2" xfId="28915"/>
    <cellStyle name="Note 2 2 3 2 4 3 2" xfId="28916"/>
    <cellStyle name="Note 3 4 2 4 3 2" xfId="28917"/>
    <cellStyle name="Note 3 2 4 2 4 3 2" xfId="28918"/>
    <cellStyle name="Note 4 3 2 4 3 2" xfId="28919"/>
    <cellStyle name="Note 4 2 2 2 4 3 2" xfId="28920"/>
    <cellStyle name="Note 5 5 4 3 2" xfId="28921"/>
    <cellStyle name="Note 5 2 4 4 3 2" xfId="28922"/>
    <cellStyle name="Note 6 5 4 3 2" xfId="28923"/>
    <cellStyle name="Note 6 2 4 4 3 2" xfId="28924"/>
    <cellStyle name="Note 7 5 4 3 2" xfId="28925"/>
    <cellStyle name="Note 7 2 4 4 3 2" xfId="28926"/>
    <cellStyle name="Note 8 4 4 3 2" xfId="28927"/>
    <cellStyle name="Note 9 3 4 3 2" xfId="28928"/>
    <cellStyle name="Output 7 2 4 3 2" xfId="28929"/>
    <cellStyle name="Output 2 6 2 4 3 2" xfId="28930"/>
    <cellStyle name="Output 3 2 2 4 3 2" xfId="28931"/>
    <cellStyle name="Output 4 2 2 4 3 2" xfId="28932"/>
    <cellStyle name="Output 5 5 4 3 2" xfId="28933"/>
    <cellStyle name="Input 5 7 2 3 2" xfId="28934"/>
    <cellStyle name="Input 6 5 2 3 2" xfId="28935"/>
    <cellStyle name="Note 3 2 8 7 2" xfId="28936"/>
    <cellStyle name="Total 7 2 4 3 2" xfId="28937"/>
    <cellStyle name="Total 2 7 2 4 3 2" xfId="28938"/>
    <cellStyle name="Total 3 2 2 4 3 2" xfId="28939"/>
    <cellStyle name="Total 4 2 2 4 3 2" xfId="28940"/>
    <cellStyle name="Total 5 5 4 3 2" xfId="28941"/>
    <cellStyle name="Output 3 2 4 4 2" xfId="28942"/>
    <cellStyle name="Calculation 8 2 4 3 2" xfId="28943"/>
    <cellStyle name="Input 12 2 4 3 2" xfId="28944"/>
    <cellStyle name="Input 11 2 4 3 2" xfId="28945"/>
    <cellStyle name="Calculation 9 2 4 3 2" xfId="28946"/>
    <cellStyle name="Output 8 2 4 3 2" xfId="28947"/>
    <cellStyle name="Total 8 2 4 3 2" xfId="28948"/>
    <cellStyle name="Total 9 2 4 3 2" xfId="28949"/>
    <cellStyle name="Calculation 5 2 2 2 4 2" xfId="28950"/>
    <cellStyle name="Input 4 3 5 4 2" xfId="28951"/>
    <cellStyle name="Note 2 2 2 2 2 4 2" xfId="28952"/>
    <cellStyle name="Total 2 2 4 3 2 4 2" xfId="28953"/>
    <cellStyle name="Calculation 5 3 4 4 2" xfId="28954"/>
    <cellStyle name="Output 11 4 4 2" xfId="28955"/>
    <cellStyle name="Total 2 10 2 7 2" xfId="28956"/>
    <cellStyle name="Total 12 2 7 2" xfId="28957"/>
    <cellStyle name="Calculation 10 2 8 2" xfId="28958"/>
    <cellStyle name="Output 5 2 2 4 3 2" xfId="28959"/>
    <cellStyle name="Output 4 3 2 4 3 2" xfId="28960"/>
    <cellStyle name="Output 3 3 2 4 3 2" xfId="28961"/>
    <cellStyle name="Output 2 7 2 4 3 2" xfId="28962"/>
    <cellStyle name="Output 11 2 4 3 2" xfId="28963"/>
    <cellStyle name="Style 22 8 2" xfId="28964"/>
    <cellStyle name="Input 5 3 2 4 3 2" xfId="28965"/>
    <cellStyle name="Input 4 3 2 4 3 2" xfId="28966"/>
    <cellStyle name="Input 3 3 2 4 3 2" xfId="28967"/>
    <cellStyle name="Input 2 7 2 4 3 2" xfId="28968"/>
    <cellStyle name="Calculation 10 2 4 3 2" xfId="28969"/>
    <cellStyle name="Input 14 2 4 3 2" xfId="28970"/>
    <cellStyle name="Input 16 2 4 3 2" xfId="28971"/>
    <cellStyle name="Input 17 2 4 3 2" xfId="28972"/>
    <cellStyle name="Input 15 2 4 3 2" xfId="28973"/>
    <cellStyle name="Input 13 2 4 3 2" xfId="28974"/>
    <cellStyle name="Calculation 5 2 2 4 3 2" xfId="28975"/>
    <cellStyle name="Calculation 4 3 2 4 3 2" xfId="28976"/>
    <cellStyle name="Calculation 3 3 2 4 3 2" xfId="28977"/>
    <cellStyle name="Calculation 2 7 2 4 3 2" xfId="28978"/>
    <cellStyle name="Calculation 11 2 4 3 2" xfId="28979"/>
    <cellStyle name="Total 5 5 2 5 2" xfId="28980"/>
    <cellStyle name="Output 10 2 4 3 2" xfId="28981"/>
    <cellStyle name="Note 12 2 4 3 2" xfId="28982"/>
    <cellStyle name="Note 2 7 2 4 3 2" xfId="28983"/>
    <cellStyle name="Note 2 2 4 2 4 3 2" xfId="28984"/>
    <cellStyle name="Note 3 5 2 4 3 2" xfId="28985"/>
    <cellStyle name="Note 3 2 5 2 4 3 2" xfId="28986"/>
    <cellStyle name="Note 4 4 2 4 3 2" xfId="28987"/>
    <cellStyle name="Note 4 2 3 2 4 3 2" xfId="28988"/>
    <cellStyle name="Note 5 3 2 4 3 2" xfId="28989"/>
    <cellStyle name="Note 5 2 2 2 4 3 2" xfId="28990"/>
    <cellStyle name="Note 6 3 2 4 3 2" xfId="28991"/>
    <cellStyle name="Note 6 2 2 2 4 3 2" xfId="28992"/>
    <cellStyle name="Note 7 3 2 4 3 2" xfId="28993"/>
    <cellStyle name="Note 7 2 2 2 4 3 2" xfId="28994"/>
    <cellStyle name="Note 8 2 2 4 3 2" xfId="28995"/>
    <cellStyle name="Note 9 2 2 4 3 2" xfId="28996"/>
    <cellStyle name="Output 12 2 4 3 2" xfId="28997"/>
    <cellStyle name="Output 2 8 2 4 3 2" xfId="28998"/>
    <cellStyle name="Output 3 4 2 4 3 2" xfId="28999"/>
    <cellStyle name="Output 4 4 2 4 3 2" xfId="29000"/>
    <cellStyle name="Output 5 3 2 4 3 2" xfId="29001"/>
    <cellStyle name="Total 10 2 4 3 2" xfId="29002"/>
    <cellStyle name="Total 11 2 4 3 2" xfId="29003"/>
    <cellStyle name="Total 2 8 2 4 3 2" xfId="29004"/>
    <cellStyle name="Total 3 3 2 4 3 2" xfId="29005"/>
    <cellStyle name="Total 4 3 2 4 3 2" xfId="29006"/>
    <cellStyle name="Total 5 2 2 4 3 2" xfId="29007"/>
    <cellStyle name="Total 12 2 4 3 2" xfId="29008"/>
    <cellStyle name="Total 2 9 2 4 3 2" xfId="29009"/>
    <cellStyle name="Total 3 4 2 4 3 2" xfId="29010"/>
    <cellStyle name="Total 4 4 2 4 3 2" xfId="29011"/>
    <cellStyle name="Total 5 3 2 4 3 2" xfId="29012"/>
    <cellStyle name="Input 5 3 2 2 4 2" xfId="29013"/>
    <cellStyle name="styleColumnTitles 2 2 2 4 2" xfId="29014"/>
    <cellStyle name="Note 3 2 2 2 2 4 2" xfId="29015"/>
    <cellStyle name="Input 2 4 2 2 4 2" xfId="29016"/>
    <cellStyle name="Input 2 7 5 4 2" xfId="29017"/>
    <cellStyle name="Note 2 2 2 3 3 4 2" xfId="29018"/>
    <cellStyle name="Note 5 2 3 2 7 2" xfId="29019"/>
    <cellStyle name="Input 18 2 4 3 2" xfId="29020"/>
    <cellStyle name="Note 5 4 3 5 2" xfId="29021"/>
    <cellStyle name="Note 2 2 6 3 5 2" xfId="29022"/>
    <cellStyle name="Calculation 12 2 4 3 2" xfId="29023"/>
    <cellStyle name="Input 19 2 4 3 2" xfId="29024"/>
    <cellStyle name="Note 13 2 4 3 2" xfId="29025"/>
    <cellStyle name="Output 13 2 4 3 2" xfId="29026"/>
    <cellStyle name="Total 13 2 4 3 2" xfId="29027"/>
    <cellStyle name="Note 5 2 5 4 2" xfId="29028"/>
    <cellStyle name="Input 2 2 4 2 8 2" xfId="29029"/>
    <cellStyle name="Calculation 2 8 2 4 3 2" xfId="29030"/>
    <cellStyle name="Calculation 3 4 2 4 3 2" xfId="29031"/>
    <cellStyle name="Calculation 4 4 2 4 3 2" xfId="29032"/>
    <cellStyle name="Calculation 5 3 2 4 3 2" xfId="29033"/>
    <cellStyle name="Input 2 8 2 4 3 2" xfId="29034"/>
    <cellStyle name="Input 3 4 2 4 3 2" xfId="29035"/>
    <cellStyle name="Input 4 4 2 4 3 2" xfId="29036"/>
    <cellStyle name="Input 5 4 2 4 3 2" xfId="29037"/>
    <cellStyle name="Calculation 2 3 2 8 2" xfId="29038"/>
    <cellStyle name="Note 2 8 2 4 3 2" xfId="29039"/>
    <cellStyle name="Note 2 2 5 2 4 3 2" xfId="29040"/>
    <cellStyle name="Note 3 6 2 4 3 2" xfId="29041"/>
    <cellStyle name="Note 3 2 6 2 4 3 2" xfId="29042"/>
    <cellStyle name="Note 4 5 2 4 3 2" xfId="29043"/>
    <cellStyle name="Note 4 2 4 2 4 3 2" xfId="29044"/>
    <cellStyle name="Note 5 4 2 4 3 2" xfId="29045"/>
    <cellStyle name="Note 5 2 3 2 4 3 2" xfId="29046"/>
    <cellStyle name="Note 6 4 2 4 3 2" xfId="29047"/>
    <cellStyle name="Note 6 2 3 2 4 3 2" xfId="29048"/>
    <cellStyle name="Note 7 4 2 4 3 2" xfId="29049"/>
    <cellStyle name="Note 7 2 3 2 4 3 2" xfId="29050"/>
    <cellStyle name="Note 8 3 2 4 3 2" xfId="29051"/>
    <cellStyle name="Output 2 9 2 4 3 2" xfId="29052"/>
    <cellStyle name="Output 3 5 2 4 3 2" xfId="29053"/>
    <cellStyle name="Output 4 5 2 4 3 2" xfId="29054"/>
    <cellStyle name="Output 5 4 2 4 3 2" xfId="29055"/>
    <cellStyle name="Note 3 2 5 2 7 2" xfId="29056"/>
    <cellStyle name="Total 2 10 2 4 3 2" xfId="29057"/>
    <cellStyle name="Total 3 5 2 4 3 2" xfId="29058"/>
    <cellStyle name="Total 4 5 2 4 3 2" xfId="29059"/>
    <cellStyle name="Total 5 4 2 4 3 2" xfId="29060"/>
    <cellStyle name="Input 20 2 4 3 2" xfId="29061"/>
    <cellStyle name="Output 3 3 8 2" xfId="29062"/>
    <cellStyle name="Output 3 3 3 5 2" xfId="29063"/>
    <cellStyle name="Input 2 2 2 2 3 4 2" xfId="29064"/>
    <cellStyle name="Input 21 2 4 3 2" xfId="29065"/>
    <cellStyle name="Output 9 3 4 2" xfId="29066"/>
    <cellStyle name="Output 2 6 4 5 2" xfId="29067"/>
    <cellStyle name="Output 10 2 2 4 2" xfId="29068"/>
    <cellStyle name="Calculation 5 4 2 4 2" xfId="29069"/>
    <cellStyle name="Input 6 4 2 4 2" xfId="29070"/>
    <cellStyle name="Note 2 3 3 2 4 2" xfId="29071"/>
    <cellStyle name="Note 2 8 4 4 2" xfId="29072"/>
    <cellStyle name="Calculation 10 4 4 2" xfId="29073"/>
    <cellStyle name="Output 3 3 2 7 2" xfId="29074"/>
    <cellStyle name="Calculation 2 6 2 7 2" xfId="29075"/>
    <cellStyle name="Style 24 2 8 2" xfId="29076"/>
    <cellStyle name="Calculation 2 13 2 2" xfId="29077"/>
    <cellStyle name="Calculation 2 2 9 2 2" xfId="29078"/>
    <cellStyle name="Calculation 2 2 2 6 2 2" xfId="29079"/>
    <cellStyle name="Calculation 2 2 3 6 2 2" xfId="29080"/>
    <cellStyle name="Calculation 2 2 4 6 2 2" xfId="29081"/>
    <cellStyle name="Calculation 2 3 6 2 2" xfId="29082"/>
    <cellStyle name="Calculation 2 4 6 2 2" xfId="29083"/>
    <cellStyle name="Calculation 3 9 2 2" xfId="29084"/>
    <cellStyle name="Input 2 13 2 2" xfId="29085"/>
    <cellStyle name="Input 2 2 9 2 2" xfId="29086"/>
    <cellStyle name="Input 2 2 2 6 2 2" xfId="29087"/>
    <cellStyle name="Input 2 2 3 6 2 2" xfId="29088"/>
    <cellStyle name="Input 2 2 4 6 2 2" xfId="29089"/>
    <cellStyle name="Input 2 3 6 2 2" xfId="29090"/>
    <cellStyle name="Input 2 4 6 2 2" xfId="29091"/>
    <cellStyle name="Input 3 8 2 2" xfId="29092"/>
    <cellStyle name="Input 4 8 2 2" xfId="29093"/>
    <cellStyle name="Input 5 9 2 2" xfId="29094"/>
    <cellStyle name="Input 6 7 2 2" xfId="29095"/>
    <cellStyle name="Input 7 6 2 2" xfId="29096"/>
    <cellStyle name="Input 8 6 2 2" xfId="29097"/>
    <cellStyle name="Calculation 10 3 5 2" xfId="29098"/>
    <cellStyle name="Calculation 2 2 2 2 2 5 2" xfId="29099"/>
    <cellStyle name="Note 2 12 2 2" xfId="29100"/>
    <cellStyle name="Note 2 2 9 2 2" xfId="29101"/>
    <cellStyle name="Note 2 3 7 2 2" xfId="29102"/>
    <cellStyle name="Note 2 4 7 2 2" xfId="29103"/>
    <cellStyle name="Note 3 10 2 2" xfId="29104"/>
    <cellStyle name="Note 3 2 11 2 2" xfId="29105"/>
    <cellStyle name="Note 3 2 2 6 2 2" xfId="29106"/>
    <cellStyle name="Note 4 9 2 2" xfId="29107"/>
    <cellStyle name="Output 2 13 2 2" xfId="29108"/>
    <cellStyle name="Output 2 2 8 2 2" xfId="29109"/>
    <cellStyle name="Output 2 2 2 5 2 2" xfId="29110"/>
    <cellStyle name="Output 2 2 3 5 2 2" xfId="29111"/>
    <cellStyle name="Output 2 2 4 5 2 2" xfId="29112"/>
    <cellStyle name="Output 2 3 5 2 2" xfId="29113"/>
    <cellStyle name="Output 2 4 5 2 2" xfId="29114"/>
    <cellStyle name="Output 3 9 2 2" xfId="29115"/>
    <cellStyle name="StmtTtl2 5 2 2" xfId="29116"/>
    <cellStyle name="Total 2 14 2 2" xfId="29117"/>
    <cellStyle name="Total 2 2 8 2 2" xfId="29118"/>
    <cellStyle name="Total 2 2 2 5 2 2" xfId="29119"/>
    <cellStyle name="Total 2 2 3 5 2 2" xfId="29120"/>
    <cellStyle name="Total 2 2 4 5 2 2" xfId="29121"/>
    <cellStyle name="Total 2 3 5 2 2" xfId="29122"/>
    <cellStyle name="Total 2 4 5 2 2" xfId="29123"/>
    <cellStyle name="Total 2 5 5 2 2" xfId="29124"/>
    <cellStyle name="Total 3 9 2 2" xfId="29125"/>
    <cellStyle name="Calculation 2 6 5 4 2" xfId="29126"/>
    <cellStyle name="Calculation 2 5 5 2 2" xfId="29127"/>
    <cellStyle name="Note 6 2 3 9 2" xfId="29128"/>
    <cellStyle name="Input 2 5 5 2 2" xfId="29129"/>
    <cellStyle name="Input [yellow] 2 2 2 2" xfId="29130"/>
    <cellStyle name="Note 2 2 2 5 2 2" xfId="29131"/>
    <cellStyle name="Note 2 3 2 5 2 2" xfId="29132"/>
    <cellStyle name="Note 2 4 2 5 2 2" xfId="29133"/>
    <cellStyle name="Note 2 5 5 2 2" xfId="29134"/>
    <cellStyle name="Note 3 3 5 2 2" xfId="29135"/>
    <cellStyle name="Note 4 2 7 2 2" xfId="29136"/>
    <cellStyle name="Output 2 5 5 2 2" xfId="29137"/>
    <cellStyle name="Total 2 6 5 2 2" xfId="29138"/>
    <cellStyle name="Total 2 2 3 4 6 2" xfId="29139"/>
    <cellStyle name="Total 2 13 5 2" xfId="29140"/>
    <cellStyle name="Calculation 8 2 2 4 2" xfId="29141"/>
    <cellStyle name="styleSeriesAttributes 3 4 2" xfId="29142"/>
    <cellStyle name="Total 2 4 2 2 4 2" xfId="29143"/>
    <cellStyle name="Calculation 2 2 5 2 4 2" xfId="29144"/>
    <cellStyle name="Output 4 4 4 4 2" xfId="29145"/>
    <cellStyle name="Output 5 7 4 2" xfId="29146"/>
    <cellStyle name="Calculation 2 8 2 7 2" xfId="29147"/>
    <cellStyle name="Note 4 2 3 2 7 2" xfId="29148"/>
    <cellStyle name="Output 3 2 2 7 2" xfId="29149"/>
    <cellStyle name="styleColumnTitles 2 2 7 2" xfId="29150"/>
    <cellStyle name="Note 2 10 7 2" xfId="29151"/>
    <cellStyle name="Calculation 7 7 2 2" xfId="29152"/>
    <cellStyle name="Calculation 2 6 7 2 2" xfId="29153"/>
    <cellStyle name="Calculation 3 2 7 2 2" xfId="29154"/>
    <cellStyle name="Calculation 4 2 7 2 2" xfId="29155"/>
    <cellStyle name="Calculation 5 8 2 2" xfId="29156"/>
    <cellStyle name="Output 9 6 2 2" xfId="29157"/>
    <cellStyle name="Input 10 7 2 2" xfId="29158"/>
    <cellStyle name="Input 2 6 7 2 2" xfId="29159"/>
    <cellStyle name="Input 3 2 7 2 2" xfId="29160"/>
    <cellStyle name="Input 4 2 7 2 2" xfId="29161"/>
    <cellStyle name="Input 5 2 7 2 2" xfId="29162"/>
    <cellStyle name="Total 4 4 3 5 2" xfId="29163"/>
    <cellStyle name="Style 22 2 2 2 5 2" xfId="29164"/>
    <cellStyle name="Note 11 6 2 2" xfId="29165"/>
    <cellStyle name="Note 2 6 6 2 2" xfId="29166"/>
    <cellStyle name="Note 2 2 3 6 2 2" xfId="29167"/>
    <cellStyle name="Note 3 4 6 2 2" xfId="29168"/>
    <cellStyle name="Note 3 2 4 6 2 2" xfId="29169"/>
    <cellStyle name="Note 4 3 6 2 2" xfId="29170"/>
    <cellStyle name="Note 4 2 2 6 2 2" xfId="29171"/>
    <cellStyle name="Note 5 9 2 2" xfId="29172"/>
    <cellStyle name="Note 5 2 8 2 2" xfId="29173"/>
    <cellStyle name="Note 6 9 2 2" xfId="29174"/>
    <cellStyle name="Note 6 2 8 2 2" xfId="29175"/>
    <cellStyle name="Note 7 9 2 2" xfId="29176"/>
    <cellStyle name="Note 7 2 8 2 2" xfId="29177"/>
    <cellStyle name="Note 8 8 2 2" xfId="29178"/>
    <cellStyle name="Note 9 7 2 2" xfId="29179"/>
    <cellStyle name="Output 7 6 2 2" xfId="29180"/>
    <cellStyle name="Output 2 6 6 2 2" xfId="29181"/>
    <cellStyle name="Output 3 2 6 2 2" xfId="29182"/>
    <cellStyle name="Output 4 2 6 2 2" xfId="29183"/>
    <cellStyle name="Output 5 9 2 2" xfId="29184"/>
    <cellStyle name="Total 7 6 2 2" xfId="29185"/>
    <cellStyle name="Total 2 7 6 2 2" xfId="29186"/>
    <cellStyle name="Total 3 2 6 2 2" xfId="29187"/>
    <cellStyle name="Total 4 2 6 2 2" xfId="29188"/>
    <cellStyle name="Total 5 9 2 2" xfId="29189"/>
    <cellStyle name="Calculation 8 7 2 2" xfId="29190"/>
    <cellStyle name="Input 12 7 2 2" xfId="29191"/>
    <cellStyle name="Input 11 7 2 2" xfId="29192"/>
    <cellStyle name="Calculation 9 7 2 2" xfId="29193"/>
    <cellStyle name="Output 8 6 2 2" xfId="29194"/>
    <cellStyle name="Total 8 6 2 2" xfId="29195"/>
    <cellStyle name="Total 9 6 2 2" xfId="29196"/>
    <cellStyle name="Input 2 7 2 2 4 2" xfId="29197"/>
    <cellStyle name="styleSeriesData 2 2 2 4 2" xfId="29198"/>
    <cellStyle name="Total 2 5 3 2 4 2" xfId="29199"/>
    <cellStyle name="Input 4 5 2 4 2" xfId="29200"/>
    <cellStyle name="Input 19 4 4 2" xfId="29201"/>
    <cellStyle name="Output 13 5 4 2" xfId="29202"/>
    <cellStyle name="Note 7 4 2 7 2" xfId="29203"/>
    <cellStyle name="Total 2 8 2 7 2" xfId="29204"/>
    <cellStyle name="Total 2 9 2 2 5 2" xfId="29205"/>
    <cellStyle name="Note 2 2 3 2 2 5 2" xfId="29206"/>
    <cellStyle name="Output 5 2 6 2 2" xfId="29207"/>
    <cellStyle name="Output 4 3 6 2 2" xfId="29208"/>
    <cellStyle name="Output 3 3 6 2 2" xfId="29209"/>
    <cellStyle name="Output 2 7 6 2 2" xfId="29210"/>
    <cellStyle name="Output 11 6 2 2" xfId="29211"/>
    <cellStyle name="Input 5 3 7 2 2" xfId="29212"/>
    <cellStyle name="Input 4 3 7 2 2" xfId="29213"/>
    <cellStyle name="Input 3 3 7 2 2" xfId="29214"/>
    <cellStyle name="Input 2 7 7 2 2" xfId="29215"/>
    <cellStyle name="Calculation 10 7 2 2" xfId="29216"/>
    <cellStyle name="Input 14 7 2 2" xfId="29217"/>
    <cellStyle name="Input 16 7 2 2" xfId="29218"/>
    <cellStyle name="Input 17 7 2 2" xfId="29219"/>
    <cellStyle name="Input 15 7 2 2" xfId="29220"/>
    <cellStyle name="Input 13 7 2 2" xfId="29221"/>
    <cellStyle name="Calculation 5 2 7 2 2" xfId="29222"/>
    <cellStyle name="Calculation 4 3 7 2 2" xfId="29223"/>
    <cellStyle name="Calculation 3 3 7 2 2" xfId="29224"/>
    <cellStyle name="Calculation 2 7 7 2 2" xfId="29225"/>
    <cellStyle name="Calculation 11 7 2 2" xfId="29226"/>
    <cellStyle name="Note 3 6 3 5 2" xfId="29227"/>
    <cellStyle name="Calculation 3 4 2 2 5 2" xfId="29228"/>
    <cellStyle name="Output 10 6 2 2" xfId="29229"/>
    <cellStyle name="Note 12 6 2 2" xfId="29230"/>
    <cellStyle name="Note 2 7 6 2 2" xfId="29231"/>
    <cellStyle name="Note 2 2 4 6 2 2" xfId="29232"/>
    <cellStyle name="Note 3 5 6 2 2" xfId="29233"/>
    <cellStyle name="Note 3 2 5 6 2 2" xfId="29234"/>
    <cellStyle name="Note 4 4 6 2 2" xfId="29235"/>
    <cellStyle name="Note 4 2 3 6 2 2" xfId="29236"/>
    <cellStyle name="Note 5 3 6 2 2" xfId="29237"/>
    <cellStyle name="Note 5 2 2 6 2 2" xfId="29238"/>
    <cellStyle name="Note 6 3 6 2 2" xfId="29239"/>
    <cellStyle name="Note 6 2 2 6 2 2" xfId="29240"/>
    <cellStyle name="Note 7 3 6 2 2" xfId="29241"/>
    <cellStyle name="Note 7 2 2 6 2 2" xfId="29242"/>
    <cellStyle name="Note 8 2 6 2 2" xfId="29243"/>
    <cellStyle name="Note 9 2 6 2 2" xfId="29244"/>
    <cellStyle name="Output 12 6 2 2" xfId="29245"/>
    <cellStyle name="Output 2 8 6 2 2" xfId="29246"/>
    <cellStyle name="Output 3 4 6 2 2" xfId="29247"/>
    <cellStyle name="Output 4 4 6 2 2" xfId="29248"/>
    <cellStyle name="Output 5 3 6 2 2" xfId="29249"/>
    <cellStyle name="Total 10 6 2 2" xfId="29250"/>
    <cellStyle name="Total 11 6 2 2" xfId="29251"/>
    <cellStyle name="Total 2 8 6 2 2" xfId="29252"/>
    <cellStyle name="Total 3 3 6 2 2" xfId="29253"/>
    <cellStyle name="Total 4 3 6 2 2" xfId="29254"/>
    <cellStyle name="Total 5 2 6 2 2" xfId="29255"/>
    <cellStyle name="Total 12 6 2 2" xfId="29256"/>
    <cellStyle name="Total 2 9 6 2 2" xfId="29257"/>
    <cellStyle name="Total 3 4 6 2 2" xfId="29258"/>
    <cellStyle name="Total 4 4 6 2 2" xfId="29259"/>
    <cellStyle name="Total 5 3 6 2 2" xfId="29260"/>
    <cellStyle name="Note 13 5 4 2" xfId="29261"/>
    <cellStyle name="styleSeriesDataNA 2 3 4 2" xfId="29262"/>
    <cellStyle name="Output 2 2 3 3 2 4 2" xfId="29263"/>
    <cellStyle name="Input 2 5 3 2 4 2" xfId="29264"/>
    <cellStyle name="Total 2 9 4 4 2" xfId="29265"/>
    <cellStyle name="Input 11 4 4 2" xfId="29266"/>
    <cellStyle name="Note 2 8 2 7 2" xfId="29267"/>
    <cellStyle name="Output 12 2 7 2" xfId="29268"/>
    <cellStyle name="Calculation 8 2 7 2" xfId="29269"/>
    <cellStyle name="Output 2 2 3 3 7 2" xfId="29270"/>
    <cellStyle name="Input 18 7 2 2" xfId="29271"/>
    <cellStyle name="Calculation 2 2 4 3 3 5 2" xfId="29272"/>
    <cellStyle name="Calculation 12 7 2 2" xfId="29273"/>
    <cellStyle name="Input 19 7 2 2" xfId="29274"/>
    <cellStyle name="Note 13 7 2 2" xfId="29275"/>
    <cellStyle name="Output 13 7 2 2" xfId="29276"/>
    <cellStyle name="Total 13 7 2 2" xfId="29277"/>
    <cellStyle name="Note 2 6 3 4 2" xfId="29278"/>
    <cellStyle name="Style 26 2 2 8 2" xfId="29279"/>
    <cellStyle name="Calculation 2 8 7 2 2" xfId="29280"/>
    <cellStyle name="Calculation 3 4 7 2 2" xfId="29281"/>
    <cellStyle name="Calculation 4 4 7 2 2" xfId="29282"/>
    <cellStyle name="Calculation 5 3 7 2 2" xfId="29283"/>
    <cellStyle name="Input 2 8 7 2 2" xfId="29284"/>
    <cellStyle name="Input 3 4 7 2 2" xfId="29285"/>
    <cellStyle name="Input 4 4 7 2 2" xfId="29286"/>
    <cellStyle name="Input 5 4 7 2 2" xfId="29287"/>
    <cellStyle name="Input 6 3 8 2" xfId="29288"/>
    <cellStyle name="Note 2 8 7 2 2" xfId="29289"/>
    <cellStyle name="Note 2 2 5 7 2 2" xfId="29290"/>
    <cellStyle name="Note 3 6 7 2 2" xfId="29291"/>
    <cellStyle name="Note 3 2 6 7 2 2" xfId="29292"/>
    <cellStyle name="Note 4 5 7 2 2" xfId="29293"/>
    <cellStyle name="Note 4 2 4 7 2 2" xfId="29294"/>
    <cellStyle name="Note 5 4 7 2 2" xfId="29295"/>
    <cellStyle name="Note 5 2 3 7 2 2" xfId="29296"/>
    <cellStyle name="Note 6 4 7 2 2" xfId="29297"/>
    <cellStyle name="Note 6 2 3 7 2 2" xfId="29298"/>
    <cellStyle name="Note 7 4 7 2 2" xfId="29299"/>
    <cellStyle name="Note 7 2 3 7 2 2" xfId="29300"/>
    <cellStyle name="Note 8 3 7 2 2" xfId="29301"/>
    <cellStyle name="Output 2 9 7 2 2" xfId="29302"/>
    <cellStyle name="Output 3 5 7 2 2" xfId="29303"/>
    <cellStyle name="Output 4 5 7 2 2" xfId="29304"/>
    <cellStyle name="Output 5 4 7 2 2" xfId="29305"/>
    <cellStyle name="Total 2 10 7 2 2" xfId="29306"/>
    <cellStyle name="Total 3 5 7 2 2" xfId="29307"/>
    <cellStyle name="Total 4 5 7 2 2" xfId="29308"/>
    <cellStyle name="Total 5 4 7 2 2" xfId="29309"/>
    <cellStyle name="Input 20 7 2 2" xfId="29310"/>
    <cellStyle name="Input 2 6 3 4 2" xfId="29311"/>
    <cellStyle name="Total 2 9 2 8 2" xfId="29312"/>
    <cellStyle name="Output 2 2 2 2 8 2" xfId="29313"/>
    <cellStyle name="Note 6 2 3 3 5 2" xfId="29314"/>
    <cellStyle name="Note 3 6 5 4 2" xfId="29315"/>
    <cellStyle name="Input 21 7 2 2" xfId="29316"/>
    <cellStyle name="Total 3 7 8 2" xfId="29317"/>
    <cellStyle name="Calculation 7 2 2 5 2" xfId="29318"/>
    <cellStyle name="Note 4 4 2 8 2" xfId="29319"/>
    <cellStyle name="Note 6 7 2 2 2" xfId="29320"/>
    <cellStyle name="Note 5 7 2 2 2" xfId="29321"/>
    <cellStyle name="Note 4 3 4 2 2 2" xfId="29322"/>
    <cellStyle name="Note 3 4 4 2 2 2" xfId="29323"/>
    <cellStyle name="Note 2 6 4 2 2 2" xfId="29324"/>
    <cellStyle name="Input 5 2 4 2 2 2" xfId="29325"/>
    <cellStyle name="Input 4 2 4 2 2 2" xfId="29326"/>
    <cellStyle name="Input 3 2 4 2 2 2" xfId="29327"/>
    <cellStyle name="Note 2 2 4 2 2 4 2" xfId="29328"/>
    <cellStyle name="Input 2 6 2 2 4 2" xfId="29329"/>
    <cellStyle name="Input 2 2 3 3 2 4 2" xfId="29330"/>
    <cellStyle name="Note 3 2 7 2 4 2" xfId="29331"/>
    <cellStyle name="Note 3 2 6 4 4 2" xfId="29332"/>
    <cellStyle name="Calculation 5 6 2 2 2" xfId="29333"/>
    <cellStyle name="Calculation 4 2 4 2 2 2" xfId="29334"/>
    <cellStyle name="Calculation 3 2 4 2 2 2" xfId="29335"/>
    <cellStyle name="Calculation 2 6 4 2 2 2" xfId="29336"/>
    <cellStyle name="Calculation 7 4 2 2 2" xfId="29337"/>
    <cellStyle name="Input 17 4 4 2" xfId="29338"/>
    <cellStyle name="Calculation 3 2 5 2 2 2" xfId="29339"/>
    <cellStyle name="Calculation 4 2 5 2 2 2" xfId="29340"/>
    <cellStyle name="Input 20 2 7 2" xfId="29341"/>
    <cellStyle name="Input 10 5 2 2 2" xfId="29342"/>
    <cellStyle name="Style 22 3 5 2" xfId="29343"/>
    <cellStyle name="Style 25 2 2 8 2" xfId="29344"/>
    <cellStyle name="Calculation 8 5 2 2 2" xfId="29345"/>
    <cellStyle name="Calculation 5 4 7 2" xfId="29346"/>
    <cellStyle name="Input 16 5 2 2 2" xfId="29347"/>
    <cellStyle name="Style 26 8 2" xfId="29348"/>
    <cellStyle name="Total 13 5 2 2 2" xfId="29349"/>
    <cellStyle name="Calculation 3 4 5 2 2 2" xfId="29350"/>
    <cellStyle name="Note 4 2 6 3 5 2" xfId="29351"/>
    <cellStyle name="Calculation 2 9 3 2 2 2" xfId="29352"/>
    <cellStyle name="Calculation 2 2 5 3 2 2 2" xfId="29353"/>
    <cellStyle name="Calculation 2 2 3 2 3 2 2 2" xfId="29354"/>
    <cellStyle name="Calculation 2 3 2 3 2 2 2" xfId="29355"/>
    <cellStyle name="Total 2 4 3 3 2 2 2" xfId="29356"/>
    <cellStyle name="Calculation 2 11 3 2 2" xfId="29357"/>
    <cellStyle name="Calculation 2 2 7 3 2 2" xfId="29358"/>
    <cellStyle name="Calculation 2 2 2 4 3 2 2" xfId="29359"/>
    <cellStyle name="Calculation 2 2 3 4 3 2 2" xfId="29360"/>
    <cellStyle name="Calculation 2 2 4 4 3 2 2" xfId="29361"/>
    <cellStyle name="Calculation 2 3 4 3 2 2" xfId="29362"/>
    <cellStyle name="Calculation 2 4 4 3 2 2" xfId="29363"/>
    <cellStyle name="Calculation 3 7 3 2 2" xfId="29364"/>
    <cellStyle name="Header2 3 3 2 2" xfId="29365"/>
    <cellStyle name="Input 2 11 3 2 2" xfId="29366"/>
    <cellStyle name="Input 2 2 7 3 2 2" xfId="29367"/>
    <cellStyle name="Input 2 2 2 4 3 2 2" xfId="29368"/>
    <cellStyle name="Input 2 2 3 4 3 2 2" xfId="29369"/>
    <cellStyle name="Input 2 2 4 4 3 2 2" xfId="29370"/>
    <cellStyle name="Input 2 3 4 3 2 2" xfId="29371"/>
    <cellStyle name="Input 2 4 4 3 2 2" xfId="29372"/>
    <cellStyle name="Input 5 7 3 2 2" xfId="29373"/>
    <cellStyle name="Input 6 5 3 2 2" xfId="29374"/>
    <cellStyle name="Input 7 4 3 2 2" xfId="29375"/>
    <cellStyle name="Input 8 4 3 2 2" xfId="29376"/>
    <cellStyle name="Input 17 3 5 2" xfId="29377"/>
    <cellStyle name="Total 4 4 4 5 2" xfId="29378"/>
    <cellStyle name="Calculation 5 2 5 2 2 2" xfId="29379"/>
    <cellStyle name="Input 18 5 2 2 2" xfId="29380"/>
    <cellStyle name="Calculation 3 5 3 2 2 2" xfId="29381"/>
    <cellStyle name="Input 7 2 3 2 2 2" xfId="29382"/>
    <cellStyle name="Note 2 3 5 3 2 2" xfId="29383"/>
    <cellStyle name="Note 2 4 5 3 2 2" xfId="29384"/>
    <cellStyle name="Note 3 2 9 3 2 2" xfId="29385"/>
    <cellStyle name="Note 3 2 2 4 3 2 2" xfId="29386"/>
    <cellStyle name="Output 2 12 3 2 2" xfId="29387"/>
    <cellStyle name="Output 2 2 7 3 2 2" xfId="29388"/>
    <cellStyle name="Output 2 2 2 4 3 2 2" xfId="29389"/>
    <cellStyle name="Output 2 2 3 4 3 2 2" xfId="29390"/>
    <cellStyle name="Output 2 2 4 4 3 2 2" xfId="29391"/>
    <cellStyle name="Output 2 3 4 3 2 2" xfId="29392"/>
    <cellStyle name="Output 2 4 4 3 2 2" xfId="29393"/>
    <cellStyle name="Output 3 8 3 2 2" xfId="29394"/>
    <cellStyle name="Header2 4 3 2 2" xfId="29395"/>
    <cellStyle name="Calculation 7 5 2 2 2" xfId="29396"/>
    <cellStyle name="Input 2 6 5 2 2 2" xfId="29397"/>
    <cellStyle name="Input 11 5 2 2 2" xfId="29398"/>
    <cellStyle name="Input 17 5 2 2 2" xfId="29399"/>
    <cellStyle name="Calculation 11 5 2 2 2" xfId="29400"/>
    <cellStyle name="Input 5 4 5 2 2 2" xfId="29401"/>
    <cellStyle name="Note 2 8 5 2 2 2" xfId="29402"/>
    <cellStyle name="Note 3 6 5 2 2 2" xfId="29403"/>
    <cellStyle name="StmtTtl2 4 3 2 2" xfId="29404"/>
    <cellStyle name="Input 21 5 2 2 2" xfId="29405"/>
    <cellStyle name="Calculation 2 2 4 2 3 2 2 2" xfId="29406"/>
    <cellStyle name="Calculation 2 4 2 3 2 2 2" xfId="29407"/>
    <cellStyle name="Header2 2 3 2 2 2" xfId="29408"/>
    <cellStyle name="Input 2 5 3 3 2 2 2" xfId="29409"/>
    <cellStyle name="Input 2 2 2 2 3 2 2 2" xfId="29410"/>
    <cellStyle name="Input 2 2 3 2 3 2 2 2" xfId="29411"/>
    <cellStyle name="Input 2 3 2 3 2 2 2" xfId="29412"/>
    <cellStyle name="Input 2 4 2 3 2 2 2" xfId="29413"/>
    <cellStyle name="Input 2 5 2 3 2 2 2" xfId="29414"/>
    <cellStyle name="Input 3 5 3 2 2 2" xfId="29415"/>
    <cellStyle name="Total 2 13 3 2 2" xfId="29416"/>
    <cellStyle name="Total 2 2 7 3 2 2" xfId="29417"/>
    <cellStyle name="Total 2 2 2 4 3 2 2" xfId="29418"/>
    <cellStyle name="Total 2 2 3 4 3 2 2" xfId="29419"/>
    <cellStyle name="Total 2 2 4 4 3 2 2" xfId="29420"/>
    <cellStyle name="Total 2 3 4 3 2 2" xfId="29421"/>
    <cellStyle name="Total 2 4 4 3 2 2" xfId="29422"/>
    <cellStyle name="Total 2 5 4 3 2 2" xfId="29423"/>
    <cellStyle name="Total 3 8 3 2 2" xfId="29424"/>
    <cellStyle name="Input 4 5 3 2 2 2" xfId="29425"/>
    <cellStyle name="Input 8 2 3 2 2 2" xfId="29426"/>
    <cellStyle name="Total 2 2 4 3 3 2 2 2" xfId="29427"/>
    <cellStyle name="Total 2 2 3 3 3 2 2 2" xfId="29428"/>
    <cellStyle name="Calculation 9 5 4 2" xfId="29429"/>
    <cellStyle name="Note 3 2 4 4 2 2 2" xfId="29430"/>
    <cellStyle name="Note 11 4 2 2 2" xfId="29431"/>
    <cellStyle name="Input 2 6 4 2 2 2" xfId="29432"/>
    <cellStyle name="Input 3 2 5 2 2 2" xfId="29433"/>
    <cellStyle name="Note 4 2 6 3 2 2 2" xfId="29434"/>
    <cellStyle name="Calculation 2 5 4 2 2 2" xfId="29435"/>
    <cellStyle name="Note 8 3 9 2" xfId="29436"/>
    <cellStyle name="Note 7 2 4 2 5 2" xfId="29437"/>
    <cellStyle name="Input 2 5 4 2 2 2" xfId="29438"/>
    <cellStyle name="Total 3 5 5 2 2 2" xfId="29439"/>
    <cellStyle name="Input 2 2 5 3 2 2 2" xfId="29440"/>
    <cellStyle name="Input 5 5 3 2 2 2" xfId="29441"/>
    <cellStyle name="Total 2 12 3 2 2 2" xfId="29442"/>
    <cellStyle name="Note 2 2 2 4 2 2 2" xfId="29443"/>
    <cellStyle name="Note 2 3 2 4 2 2 2" xfId="29444"/>
    <cellStyle name="Note 2 4 2 4 2 2 2" xfId="29445"/>
    <cellStyle name="Note 2 5 4 2 2 2" xfId="29446"/>
    <cellStyle name="Note 3 3 4 2 2 2" xfId="29447"/>
    <cellStyle name="Output 2 5 4 2 2 2" xfId="29448"/>
    <cellStyle name="Calculation 2 6 5 2 2 2" xfId="29449"/>
    <cellStyle name="Input 4 2 5 2 2 2" xfId="29450"/>
    <cellStyle name="Input 5 2 5 2 2 2" xfId="29451"/>
    <cellStyle name="Calculation 9 5 2 2 2" xfId="29452"/>
    <cellStyle name="Note 2 2 5 5 2 2 2" xfId="29453"/>
    <cellStyle name="Input 20 5 2 2 2" xfId="29454"/>
    <cellStyle name="Input 2 2 4 2 3 2 2 2" xfId="29455"/>
    <cellStyle name="Total 2 6 4 2 2 2" xfId="29456"/>
    <cellStyle name="Total 2 13 6 2" xfId="29457"/>
    <cellStyle name="Total 2 2 3 4 5 2" xfId="29458"/>
    <cellStyle name="Note 5 2 6 2 2 2" xfId="29459"/>
    <cellStyle name="Note 4 2 2 4 2 2 2" xfId="29460"/>
    <cellStyle name="Note 2 2 3 4 2 2 2" xfId="29461"/>
    <cellStyle name="Calculation 9 2 2 4 2" xfId="29462"/>
    <cellStyle name="styleSeriesData 2 3 4 2" xfId="29463"/>
    <cellStyle name="Total 3 6 2 4 2" xfId="29464"/>
    <cellStyle name="Calculation 2 2 4 2 2 4 2" xfId="29465"/>
    <cellStyle name="Output 9 4 2 2 2" xfId="29466"/>
    <cellStyle name="Total 11 4 4 2" xfId="29467"/>
    <cellStyle name="Total 2 7 4 4 2" xfId="29468"/>
    <cellStyle name="Calculation 5 3 2 7 2" xfId="29469"/>
    <cellStyle name="Note 6 3 2 7 2" xfId="29470"/>
    <cellStyle name="Note 8 3 5 2 2 2" xfId="29471"/>
    <cellStyle name="Output 2 9 5 2 2 2" xfId="29472"/>
    <cellStyle name="Output 4 5 5 2 2 2" xfId="29473"/>
    <cellStyle name="Calculation 2 5 3 3 2 2 2" xfId="29474"/>
    <cellStyle name="Calculation 7 3 2 2 2" xfId="29475"/>
    <cellStyle name="Calculation 2 6 3 2 2 2" xfId="29476"/>
    <cellStyle name="Calculation 3 2 3 2 2 2" xfId="29477"/>
    <cellStyle name="Calculation 4 2 3 2 2 2" xfId="29478"/>
    <cellStyle name="Calculation 5 5 2 2 2" xfId="29479"/>
    <cellStyle name="Output 9 3 2 2 2" xfId="29480"/>
    <cellStyle name="Note 5 4 5 2 2 2" xfId="29481"/>
    <cellStyle name="Input 10 3 3 2 2" xfId="29482"/>
    <cellStyle name="Input 2 6 3 2 2 2" xfId="29483"/>
    <cellStyle name="Input 3 2 3 2 2 2" xfId="29484"/>
    <cellStyle name="Input 4 2 3 2 2 2" xfId="29485"/>
    <cellStyle name="Input 5 2 3 2 2 2" xfId="29486"/>
    <cellStyle name="Total 10 3 5 2" xfId="29487"/>
    <cellStyle name="styleDateRange 3 5 2" xfId="29488"/>
    <cellStyle name="Note 11 3 2 2 2" xfId="29489"/>
    <cellStyle name="Note 2 6 3 2 2 2" xfId="29490"/>
    <cellStyle name="Note 2 2 3 3 2 2 2" xfId="29491"/>
    <cellStyle name="Note 3 4 3 2 2 2" xfId="29492"/>
    <cellStyle name="Note 3 2 4 3 2 2 2" xfId="29493"/>
    <cellStyle name="Note 4 3 3 2 2 2" xfId="29494"/>
    <cellStyle name="Note 4 2 2 3 2 2 2" xfId="29495"/>
    <cellStyle name="Note 5 6 2 2 2" xfId="29496"/>
    <cellStyle name="Note 5 2 5 2 2 2" xfId="29497"/>
    <cellStyle name="Note 6 6 2 2 2" xfId="29498"/>
    <cellStyle name="Note 6 2 5 2 2 2" xfId="29499"/>
    <cellStyle name="Note 7 6 2 2 2" xfId="29500"/>
    <cellStyle name="Note 7 2 5 2 2 2" xfId="29501"/>
    <cellStyle name="Note 8 5 2 2 2" xfId="29502"/>
    <cellStyle name="Note 9 4 2 2 2" xfId="29503"/>
    <cellStyle name="Output 7 3 2 2 2" xfId="29504"/>
    <cellStyle name="Output 2 6 3 2 2 2" xfId="29505"/>
    <cellStyle name="Output 3 2 3 2 2 2" xfId="29506"/>
    <cellStyle name="Output 4 2 3 2 2 2" xfId="29507"/>
    <cellStyle name="Output 5 6 2 2 2" xfId="29508"/>
    <cellStyle name="Input 15 5 2 2 2" xfId="29509"/>
    <cellStyle name="Input 13 5 2 2 2" xfId="29510"/>
    <cellStyle name="Calculation 4 3 5 2 2 2" xfId="29511"/>
    <cellStyle name="Calculation 3 3 5 2 2 2" xfId="29512"/>
    <cellStyle name="Calculation 2 7 5 2 2 2" xfId="29513"/>
    <cellStyle name="Calculation 2 8 5 2 2 2" xfId="29514"/>
    <cellStyle name="Input 2 8 5 2 2 2" xfId="29515"/>
    <cellStyle name="Output 5 4 5 2 2 2" xfId="29516"/>
    <cellStyle name="Total 2 10 5 2 2 2" xfId="29517"/>
    <cellStyle name="Total 4 5 5 2 2 2" xfId="29518"/>
    <cellStyle name="Total 5 4 5 2 2 2" xfId="29519"/>
    <cellStyle name="Calculation 2 5 2 3 2 2 2" xfId="29520"/>
    <cellStyle name="Total 7 3 2 2 2" xfId="29521"/>
    <cellStyle name="Total 2 7 3 2 2 2" xfId="29522"/>
    <cellStyle name="Total 3 2 3 2 2 2" xfId="29523"/>
    <cellStyle name="Total 4 2 3 2 2 2" xfId="29524"/>
    <cellStyle name="Total 5 6 2 2 2" xfId="29525"/>
    <cellStyle name="Input 6 3 3 2 2 2" xfId="29526"/>
    <cellStyle name="Calculation 8 3 2 2 2" xfId="29527"/>
    <cellStyle name="Input 12 3 2 2 2" xfId="29528"/>
    <cellStyle name="Input 11 3 2 2 2" xfId="29529"/>
    <cellStyle name="Calculation 9 3 2 2 2" xfId="29530"/>
    <cellStyle name="Output 8 3 2 2 2" xfId="29531"/>
    <cellStyle name="Total 8 3 2 2 2" xfId="29532"/>
    <cellStyle name="Total 9 3 2 2 2" xfId="29533"/>
    <cellStyle name="Input 10 4 2 2 2" xfId="29534"/>
    <cellStyle name="Input 16 2 2 4 2" xfId="29535"/>
    <cellStyle name="styleSeriesDataNA 2 2 2 4 2" xfId="29536"/>
    <cellStyle name="Total 2 2 2 3 2 4 2" xfId="29537"/>
    <cellStyle name="Input 7 2 2 4 2" xfId="29538"/>
    <cellStyle name="Total 13 4 4 2" xfId="29539"/>
    <cellStyle name="Output 5 2 4 4 2" xfId="29540"/>
    <cellStyle name="Output 2 9 2 7 2" xfId="29541"/>
    <cellStyle name="Total 5 2 2 7 2" xfId="29542"/>
    <cellStyle name="Total 2 2 2 2 2 5 2" xfId="29543"/>
    <cellStyle name="Note 6 2 3 4 5 2" xfId="29544"/>
    <cellStyle name="Output 5 2 3 2 2 2" xfId="29545"/>
    <cellStyle name="Output 4 3 3 2 2 2" xfId="29546"/>
    <cellStyle name="Output 3 3 3 2 2 2" xfId="29547"/>
    <cellStyle name="Output 2 7 3 2 2 2" xfId="29548"/>
    <cellStyle name="Output 11 3 2 2 2" xfId="29549"/>
    <cellStyle name="Input 5 3 3 2 2 2" xfId="29550"/>
    <cellStyle name="Input 4 3 3 2 2 2" xfId="29551"/>
    <cellStyle name="Input 3 3 3 2 2 2" xfId="29552"/>
    <cellStyle name="Input 2 7 3 2 2 2" xfId="29553"/>
    <cellStyle name="Calculation 10 3 2 2 2" xfId="29554"/>
    <cellStyle name="Input 14 3 2 2 2" xfId="29555"/>
    <cellStyle name="Input 16 3 2 2 2" xfId="29556"/>
    <cellStyle name="Input 17 3 2 2 2" xfId="29557"/>
    <cellStyle name="Input 15 3 2 2 2" xfId="29558"/>
    <cellStyle name="Input 13 3 2 2 2" xfId="29559"/>
    <cellStyle name="Calculation 5 2 3 2 2 2" xfId="29560"/>
    <cellStyle name="Calculation 4 3 3 2 2 2" xfId="29561"/>
    <cellStyle name="Calculation 3 3 3 2 2 2" xfId="29562"/>
    <cellStyle name="Calculation 2 7 3 2 2 2" xfId="29563"/>
    <cellStyle name="Calculation 11 3 2 2 2" xfId="29564"/>
    <cellStyle name="Input 19 3 5 2" xfId="29565"/>
    <cellStyle name="Total 4 4 2 2 5 2" xfId="29566"/>
    <cellStyle name="Output 10 3 2 2 2" xfId="29567"/>
    <cellStyle name="Note 12 3 2 2 2" xfId="29568"/>
    <cellStyle name="Note 2 7 3 2 2 2" xfId="29569"/>
    <cellStyle name="Note 2 2 4 3 2 2 2" xfId="29570"/>
    <cellStyle name="Note 3 5 3 2 2 2" xfId="29571"/>
    <cellStyle name="Note 3 2 5 3 2 2 2" xfId="29572"/>
    <cellStyle name="Note 4 4 3 2 2 2" xfId="29573"/>
    <cellStyle name="Note 4 2 3 3 2 2 2" xfId="29574"/>
    <cellStyle name="Note 5 3 3 2 2 2" xfId="29575"/>
    <cellStyle name="Note 5 2 2 3 2 2 2" xfId="29576"/>
    <cellStyle name="Note 6 3 3 2 2 2" xfId="29577"/>
    <cellStyle name="Note 6 2 2 3 2 2 2" xfId="29578"/>
    <cellStyle name="Note 7 3 3 2 2 2" xfId="29579"/>
    <cellStyle name="Note 7 2 2 3 2 2 2" xfId="29580"/>
    <cellStyle name="Note 8 2 3 2 2 2" xfId="29581"/>
    <cellStyle name="Note 9 2 3 2 2 2" xfId="29582"/>
    <cellStyle name="Output 12 3 2 2 2" xfId="29583"/>
    <cellStyle name="Output 2 8 3 2 2 2" xfId="29584"/>
    <cellStyle name="Output 3 4 3 2 2 2" xfId="29585"/>
    <cellStyle name="Output 4 4 3 2 2 2" xfId="29586"/>
    <cellStyle name="Output 5 3 3 2 2 2" xfId="29587"/>
    <cellStyle name="Total 10 3 2 2 2" xfId="29588"/>
    <cellStyle name="Total 11 3 2 2 2" xfId="29589"/>
    <cellStyle name="Total 2 8 3 2 2 2" xfId="29590"/>
    <cellStyle name="Total 3 3 3 2 2 2" xfId="29591"/>
    <cellStyle name="Total 4 3 3 2 2 2" xfId="29592"/>
    <cellStyle name="Total 5 2 3 2 2 2" xfId="29593"/>
    <cellStyle name="Total 12 3 2 2 2" xfId="29594"/>
    <cellStyle name="Total 2 9 3 2 2 2" xfId="29595"/>
    <cellStyle name="Total 3 4 3 2 2 2" xfId="29596"/>
    <cellStyle name="Total 4 4 3 2 2 2" xfId="29597"/>
    <cellStyle name="Total 5 3 3 2 2 2" xfId="29598"/>
    <cellStyle name="Output 4 3 2 2 4 2" xfId="29599"/>
    <cellStyle name="Style 23 2 2 2 4 2" xfId="29600"/>
    <cellStyle name="Note 3 2 2 3 2 4 2" xfId="29601"/>
    <cellStyle name="Input 2 2 2 2 2 4 2" xfId="29602"/>
    <cellStyle name="Total 5 3 4 4 2" xfId="29603"/>
    <cellStyle name="Note 4 5 5 4 2" xfId="29604"/>
    <cellStyle name="Note 3 2 6 2 7 2" xfId="29605"/>
    <cellStyle name="Output 4 4 2 7 2" xfId="29606"/>
    <cellStyle name="Calculation 9 2 7 2" xfId="29607"/>
    <cellStyle name="Input 5 2 10 2" xfId="29608"/>
    <cellStyle name="Note 3 2 2 3 7 2" xfId="29609"/>
    <cellStyle name="Input 18 3 2 2 2" xfId="29610"/>
    <cellStyle name="Input 20 3 5 2" xfId="29611"/>
    <cellStyle name="Output 2 4 2 3 5 2" xfId="29612"/>
    <cellStyle name="Calculation 12 3 2 2 2" xfId="29613"/>
    <cellStyle name="Input 19 3 2 2 2" xfId="29614"/>
    <cellStyle name="Note 13 3 2 2 2" xfId="29615"/>
    <cellStyle name="Output 13 3 2 2 2" xfId="29616"/>
    <cellStyle name="Total 13 3 2 2 2" xfId="29617"/>
    <cellStyle name="Note 3 2 4 3 4 2" xfId="29618"/>
    <cellStyle name="Calculation 2 8 3 2 2 2" xfId="29619"/>
    <cellStyle name="Calculation 3 4 3 2 2 2" xfId="29620"/>
    <cellStyle name="Calculation 4 4 3 2 2 2" xfId="29621"/>
    <cellStyle name="Calculation 5 3 3 2 2 2" xfId="29622"/>
    <cellStyle name="Input 2 8 3 2 2 2" xfId="29623"/>
    <cellStyle name="Input 3 4 3 2 2 2" xfId="29624"/>
    <cellStyle name="Input 4 4 3 2 2 2" xfId="29625"/>
    <cellStyle name="Input 5 4 3 2 2 2" xfId="29626"/>
    <cellStyle name="Calculation 2 2 4 2 8 2" xfId="29627"/>
    <cellStyle name="Note 2 8 3 2 2 2" xfId="29628"/>
    <cellStyle name="Note 2 2 5 3 2 2 2" xfId="29629"/>
    <cellStyle name="Note 3 6 3 2 2 2" xfId="29630"/>
    <cellStyle name="Note 3 2 6 3 2 2 2" xfId="29631"/>
    <cellStyle name="Note 4 5 3 2 2 2" xfId="29632"/>
    <cellStyle name="Note 4 2 4 3 2 2 2" xfId="29633"/>
    <cellStyle name="Note 5 4 3 2 2 2" xfId="29634"/>
    <cellStyle name="Note 5 2 3 3 2 2 2" xfId="29635"/>
    <cellStyle name="Note 6 4 3 2 2 2" xfId="29636"/>
    <cellStyle name="Note 6 2 3 3 2 2 2" xfId="29637"/>
    <cellStyle name="Note 7 4 3 2 2 2" xfId="29638"/>
    <cellStyle name="Note 7 2 3 3 2 2 2" xfId="29639"/>
    <cellStyle name="Note 8 3 3 2 2 2" xfId="29640"/>
    <cellStyle name="Output 2 9 3 2 2 2" xfId="29641"/>
    <cellStyle name="Output 3 5 3 2 2 2" xfId="29642"/>
    <cellStyle name="Output 4 5 3 2 2 2" xfId="29643"/>
    <cellStyle name="Output 5 4 3 2 2 2" xfId="29644"/>
    <cellStyle name="Total 2 10 3 2 2 2" xfId="29645"/>
    <cellStyle name="Total 3 5 3 2 2 2" xfId="29646"/>
    <cellStyle name="Total 4 5 3 2 2 2" xfId="29647"/>
    <cellStyle name="Total 5 4 3 2 2 2" xfId="29648"/>
    <cellStyle name="Input 2 2 4 2 3 5 2" xfId="29649"/>
    <cellStyle name="Input 20 3 2 2 2" xfId="29650"/>
    <cellStyle name="Input 5 2 3 4 2" xfId="29651"/>
    <cellStyle name="Input 2 5 2 8 2" xfId="29652"/>
    <cellStyle name="Input 4 4 5 2 2 2" xfId="29653"/>
    <cellStyle name="Calculation 5 3 5 2 2 2" xfId="29654"/>
    <cellStyle name="Calculation 4 4 5 2 2 2" xfId="29655"/>
    <cellStyle name="Input 3 4 5 2 2 2" xfId="29656"/>
    <cellStyle name="Input 4 3 3 5 2" xfId="29657"/>
    <cellStyle name="Total 3 3 3 5 2" xfId="29658"/>
    <cellStyle name="Calculation 2 2 4 2 3 4 2" xfId="29659"/>
    <cellStyle name="Input 21 3 2 2 2" xfId="29660"/>
    <cellStyle name="Calculation 2 6 3 4 2" xfId="29661"/>
    <cellStyle name="Total 2 2 3 2 2 5 2" xfId="29662"/>
    <cellStyle name="Note 2 2 3 4 5 2" xfId="29663"/>
    <cellStyle name="Input 11 2 8 2" xfId="29664"/>
    <cellStyle name="Calculation 2 5 3 8 2" xfId="29665"/>
    <cellStyle name="Note 4 2 6 5 2 2" xfId="29666"/>
    <cellStyle name="Note 3 3 3 5 2 2" xfId="29667"/>
    <cellStyle name="Note 2 5 3 5 2 2" xfId="29668"/>
    <cellStyle name="Note 2 4 2 3 5 2 2" xfId="29669"/>
    <cellStyle name="Note 2 3 2 3 5 2 2" xfId="29670"/>
    <cellStyle name="Note 2 2 2 3 5 2 2" xfId="29671"/>
    <cellStyle name="Calculation 2 9 5 2 2" xfId="29672"/>
    <cellStyle name="Calculation 2 2 5 5 2 2" xfId="29673"/>
    <cellStyle name="Calculation 2 2 2 2 5 2 2" xfId="29674"/>
    <cellStyle name="Calculation 2 2 3 2 5 2 2" xfId="29675"/>
    <cellStyle name="Calculation 2 2 4 2 5 2 2" xfId="29676"/>
    <cellStyle name="Calculation 2 3 2 5 2 2" xfId="29677"/>
    <cellStyle name="Calculation 2 4 2 5 2 2" xfId="29678"/>
    <cellStyle name="Calculation 2 5 2 5 2 2" xfId="29679"/>
    <cellStyle name="Calculation 3 5 5 2 2" xfId="29680"/>
    <cellStyle name="Calculation 3 4 5 4 2" xfId="29681"/>
    <cellStyle name="Calculation 5 6 4 2" xfId="29682"/>
    <cellStyle name="Output 3 5 9 2" xfId="29683"/>
    <cellStyle name="Input 2 10 2 5 2" xfId="29684"/>
    <cellStyle name="Header2 2 5 2 2" xfId="29685"/>
    <cellStyle name="Input 2 5 3 5 2 2" xfId="29686"/>
    <cellStyle name="Input 2 9 5 2 2" xfId="29687"/>
    <cellStyle name="Input 2 2 5 5 2 2" xfId="29688"/>
    <cellStyle name="Input 2 2 2 2 5 2 2" xfId="29689"/>
    <cellStyle name="Input 2 2 3 2 5 2 2" xfId="29690"/>
    <cellStyle name="Input 2 2 4 2 5 2 2" xfId="29691"/>
    <cellStyle name="Input 2 3 2 5 2 2" xfId="29692"/>
    <cellStyle name="Input 2 4 2 5 2 2" xfId="29693"/>
    <cellStyle name="Input 2 5 2 5 2 2" xfId="29694"/>
    <cellStyle name="Input 3 5 5 2 2" xfId="29695"/>
    <cellStyle name="Input 4 5 5 2 2" xfId="29696"/>
    <cellStyle name="Input 5 5 5 2 2" xfId="29697"/>
    <cellStyle name="Input 6 3 5 2 2" xfId="29698"/>
    <cellStyle name="Input 7 2 5 2 2" xfId="29699"/>
    <cellStyle name="Input 8 2 5 2 2" xfId="29700"/>
    <cellStyle name="Input 14 3 5 2" xfId="29701"/>
    <cellStyle name="Calculation 2 8 2 8 2" xfId="29702"/>
    <cellStyle name="Calculation 2 5 3 5 2 2" xfId="29703"/>
    <cellStyle name="Input 2 2 4 2 3 4 2" xfId="29704"/>
    <cellStyle name="Total 2 4 3 5 2 2" xfId="29705"/>
    <cellStyle name="Total 2 2 4 3 5 2 2" xfId="29706"/>
    <cellStyle name="Total 2 2 3 3 5 2 2" xfId="29707"/>
    <cellStyle name="Total 2 12 5 2 2" xfId="29708"/>
    <cellStyle name="Note 2 9 5 2 2" xfId="29709"/>
    <cellStyle name="Note 2 2 6 5 2 2" xfId="29710"/>
    <cellStyle name="Note 2 3 3 5 2 2" xfId="29711"/>
    <cellStyle name="Note 2 4 3 5 2 2" xfId="29712"/>
    <cellStyle name="Note 3 7 5 2 2" xfId="29713"/>
    <cellStyle name="Note 3 2 7 5 2 2" xfId="29714"/>
    <cellStyle name="Output 2 10 5 2 2" xfId="29715"/>
    <cellStyle name="Output 2 2 5 5 2 2" xfId="29716"/>
    <cellStyle name="Output 2 2 2 2 5 2 2" xfId="29717"/>
    <cellStyle name="Output 2 2 3 2 5 2 2" xfId="29718"/>
    <cellStyle name="Output 2 2 4 2 5 2 2" xfId="29719"/>
    <cellStyle name="Output 2 3 2 5 2 2" xfId="29720"/>
    <cellStyle name="Output 2 4 2 5 2 2" xfId="29721"/>
    <cellStyle name="Output 2 5 2 5 2 2" xfId="29722"/>
    <cellStyle name="Output 3 6 5 2 2" xfId="29723"/>
    <cellStyle name="Input 7 3 5 2 2" xfId="29724"/>
    <cellStyle name="Input 5 6 5 2 2" xfId="29725"/>
    <cellStyle name="Input 3 6 5 2 2" xfId="29726"/>
    <cellStyle name="Input 2 4 3 5 2 2" xfId="29727"/>
    <cellStyle name="Input 2 2 4 3 5 2 2" xfId="29728"/>
    <cellStyle name="Input 2 2 2 3 5 2 2" xfId="29729"/>
    <cellStyle name="Input 2 10 5 2 2" xfId="29730"/>
    <cellStyle name="Calculation 3 6 5 2 2" xfId="29731"/>
    <cellStyle name="Calculation 2 4 3 5 2 2" xfId="29732"/>
    <cellStyle name="Calculation 2 2 4 3 5 2 2" xfId="29733"/>
    <cellStyle name="Calculation 2 2 2 3 5 2 2" xfId="29734"/>
    <cellStyle name="Calculation 2 10 5 2 2" xfId="29735"/>
    <cellStyle name="StmtTtl2 2 5 2 2" xfId="29736"/>
    <cellStyle name="Total 2 11 5 2 2" xfId="29737"/>
    <cellStyle name="Total 2 2 5 5 2 2" xfId="29738"/>
    <cellStyle name="Total 2 2 2 2 5 2 2" xfId="29739"/>
    <cellStyle name="Total 2 2 3 2 5 2 2" xfId="29740"/>
    <cellStyle name="Total 2 2 4 2 5 2 2" xfId="29741"/>
    <cellStyle name="Total 2 3 2 5 2 2" xfId="29742"/>
    <cellStyle name="Total 2 4 2 5 2 2" xfId="29743"/>
    <cellStyle name="Total 2 5 2 5 2 2" xfId="29744"/>
    <cellStyle name="Total 2 6 2 5 2 2" xfId="29745"/>
    <cellStyle name="Total 3 6 5 2 2" xfId="29746"/>
    <cellStyle name="Note 3 2 5 2 2 4 2" xfId="29747"/>
    <cellStyle name="Input 4 2 2 2 4 2" xfId="29748"/>
    <cellStyle name="Calculation 2 3 3 2 4 2" xfId="29749"/>
    <cellStyle name="Output 2 2 5 2 4 2" xfId="29750"/>
    <cellStyle name="Note 4 2 4 4 4 2" xfId="29751"/>
    <cellStyle name="Input 13 4 4 2" xfId="29752"/>
    <cellStyle name="Calculation 2 5 2 3 5 2" xfId="29753"/>
    <cellStyle name="Total 3 5 4 5 2" xfId="29754"/>
    <cellStyle name="Input 5 3 2 7 2" xfId="29755"/>
    <cellStyle name="Input 10 2 7 2" xfId="29756"/>
    <cellStyle name="styleColumnTitles 8 2" xfId="29757"/>
    <cellStyle name="Total 3 7 7 2" xfId="29758"/>
    <cellStyle name="Output 2 5 3 5 2 2" xfId="29759"/>
    <cellStyle name="Output 4 4 4 5 2" xfId="29760"/>
    <cellStyle name="Output 2 3 3 5 2 2" xfId="29761"/>
    <cellStyle name="Output 2 2 3 3 5 2 2" xfId="29762"/>
    <cellStyle name="Output 2 2 6 5 2 2" xfId="29763"/>
    <cellStyle name="Note 4 7 5 2 2" xfId="29764"/>
    <cellStyle name="Note 3 2 2 3 5 2 2" xfId="29765"/>
    <cellStyle name="Note 3 8 5 2 2" xfId="29766"/>
    <cellStyle name="Note 2 4 4 5 2 2" xfId="29767"/>
    <cellStyle name="Note 2 2 7 5 2 2" xfId="29768"/>
    <cellStyle name="Note 3 2 2 2 5 2 2" xfId="29769"/>
    <cellStyle name="Note 4 6 5 2 2" xfId="29770"/>
    <cellStyle name="Input 17 5 4 2" xfId="29771"/>
    <cellStyle name="Total 3 7 5 2 2" xfId="29772"/>
    <cellStyle name="Total 2 5 3 5 2 2" xfId="29773"/>
    <cellStyle name="Total 2 3 3 5 2 2" xfId="29774"/>
    <cellStyle name="Total 2 2 6 5 2 2" xfId="29775"/>
    <cellStyle name="Total 2 2 2 3 5 2 2" xfId="29776"/>
    <cellStyle name="StmtTtl2 3 5 2 2" xfId="29777"/>
    <cellStyle name="Output 3 7 5 2 2" xfId="29778"/>
    <cellStyle name="Note 2 5 2 5 2 2" xfId="29779"/>
    <cellStyle name="Note 2 2 2 2 5 2 2" xfId="29780"/>
    <cellStyle name="Note 2 3 2 2 5 2 2" xfId="29781"/>
    <cellStyle name="Note 2 4 2 2 5 2 2" xfId="29782"/>
    <cellStyle name="Note 3 3 2 5 2 2" xfId="29783"/>
    <cellStyle name="Input 8 3 5 2 2" xfId="29784"/>
    <cellStyle name="Input 6 4 5 2 2" xfId="29785"/>
    <cellStyle name="Input 4 6 5 2 2" xfId="29786"/>
    <cellStyle name="Input 2 3 3 5 2 2" xfId="29787"/>
    <cellStyle name="Input 2 2 3 3 5 2 2" xfId="29788"/>
    <cellStyle name="Input 2 2 6 5 2 2" xfId="29789"/>
    <cellStyle name="Calculation 2 3 3 5 2 2" xfId="29790"/>
    <cellStyle name="Calculation 2 2 3 3 5 2 2" xfId="29791"/>
    <cellStyle name="Calculation 2 2 6 5 2 2" xfId="29792"/>
    <cellStyle name="Output 2 4 3 5 2 2" xfId="29793"/>
    <cellStyle name="Output 2 2 4 3 5 2 2" xfId="29794"/>
    <cellStyle name="Output 2 2 2 3 5 2 2" xfId="29795"/>
    <cellStyle name="Output 2 11 5 2 2" xfId="29796"/>
    <cellStyle name="Note 3 2 8 5 2 2" xfId="29797"/>
    <cellStyle name="Note 2 3 4 5 2 2" xfId="29798"/>
    <cellStyle name="Note 2 10 5 2 2" xfId="29799"/>
    <cellStyle name="Note 4 2 5 5 2 2" xfId="29800"/>
    <cellStyle name="Style 21 6 2 2" xfId="29801"/>
    <cellStyle name="Style 21 2 6 2 2" xfId="29802"/>
    <cellStyle name="Style 22 6 2 2" xfId="29803"/>
    <cellStyle name="Style 22 2 6 2 2" xfId="29804"/>
    <cellStyle name="Style 23 6 2 2" xfId="29805"/>
    <cellStyle name="Style 23 2 6 2 2" xfId="29806"/>
    <cellStyle name="Style 24 6 2 2" xfId="29807"/>
    <cellStyle name="Style 24 2 6 2 2" xfId="29808"/>
    <cellStyle name="Style 25 6 2 2" xfId="29809"/>
    <cellStyle name="Style 25 2 6 2 2" xfId="29810"/>
    <cellStyle name="Style 26 6 2 2" xfId="29811"/>
    <cellStyle name="Style 26 2 6 2 2" xfId="29812"/>
    <cellStyle name="styleColumnTitles 6 2 2" xfId="29813"/>
    <cellStyle name="styleColumnTitles 2 6 2 2" xfId="29814"/>
    <cellStyle name="styleDateRange 6 2 2" xfId="29815"/>
    <cellStyle name="styleDateRange 2 6 2 2" xfId="29816"/>
    <cellStyle name="styleSeriesAttributes 6 2 2" xfId="29817"/>
    <cellStyle name="styleSeriesAttributes 2 6 2 2" xfId="29818"/>
    <cellStyle name="styleSeriesData 6 2 2" xfId="29819"/>
    <cellStyle name="styleSeriesData 2 6 2 2" xfId="29820"/>
    <cellStyle name="styleSeriesDataForecast 6 2 2" xfId="29821"/>
    <cellStyle name="styleSeriesDataForecast 2 6 2 2" xfId="29822"/>
    <cellStyle name="styleSeriesDataForecastNA 6 2 2" xfId="29823"/>
    <cellStyle name="styleSeriesDataForecastNA 2 6 2 2" xfId="29824"/>
    <cellStyle name="styleSeriesDataNA 6 2 2" xfId="29825"/>
    <cellStyle name="styleSeriesDataNA 2 6 2 2" xfId="29826"/>
    <cellStyle name="Style 21 2 2 5 2 2" xfId="29827"/>
    <cellStyle name="Style 22 2 2 5 2 2" xfId="29828"/>
    <cellStyle name="Style 23 2 2 5 2 2" xfId="29829"/>
    <cellStyle name="Style 24 2 2 5 2 2" xfId="29830"/>
    <cellStyle name="Style 25 2 2 5 2 2" xfId="29831"/>
    <cellStyle name="Style 26 2 2 5 2 2" xfId="29832"/>
    <cellStyle name="styleColumnTitles 2 2 5 2 2" xfId="29833"/>
    <cellStyle name="styleDateRange 2 2 5 2 2" xfId="29834"/>
    <cellStyle name="styleSeriesAttributes 2 2 5 2 2" xfId="29835"/>
    <cellStyle name="styleSeriesData 2 2 5 2 2" xfId="29836"/>
    <cellStyle name="styleSeriesDataForecast 2 2 5 2 2" xfId="29837"/>
    <cellStyle name="styleSeriesDataForecastNA 2 2 5 2 2" xfId="29838"/>
    <cellStyle name="styleSeriesDataNA 2 2 5 2 2" xfId="29839"/>
    <cellStyle name="Total 2 6 3 5 2 2" xfId="29840"/>
    <cellStyle name="Calculation 7 5 5 2" xfId="29841"/>
    <cellStyle name="Total 2 3 4 5 2" xfId="29842"/>
    <cellStyle name="Total 8 2 2 4 2" xfId="29843"/>
    <cellStyle name="styleSeriesDataForecast 2 3 4 2" xfId="29844"/>
    <cellStyle name="Output 3 5 5 4 2" xfId="29845"/>
    <cellStyle name="Calculation 2 4 2 2 4 2" xfId="29846"/>
    <cellStyle name="Total 3 3 4 4 2" xfId="29847"/>
    <cellStyle name="Total 4 2 4 4 2" xfId="29848"/>
    <cellStyle name="Input 3 4 2 7 2" xfId="29849"/>
    <cellStyle name="Note 7 3 2 7 2" xfId="29850"/>
    <cellStyle name="Total 2 7 2 7 2" xfId="29851"/>
    <cellStyle name="styleSeriesData 2 2 7 2" xfId="29852"/>
    <cellStyle name="Input 10 10 2" xfId="29853"/>
    <cellStyle name="Calculation 7 2 5 2 2" xfId="29854"/>
    <cellStyle name="Calculation 2 6 2 5 2 2" xfId="29855"/>
    <cellStyle name="Calculation 3 2 2 5 2 2" xfId="29856"/>
    <cellStyle name="Calculation 4 2 2 5 2 2" xfId="29857"/>
    <cellStyle name="Calculation 5 4 5 2 2" xfId="29858"/>
    <cellStyle name="Output 9 2 5 2 2" xfId="29859"/>
    <cellStyle name="Input 10 2 5 2 2" xfId="29860"/>
    <cellStyle name="Input 2 6 2 5 2 2" xfId="29861"/>
    <cellStyle name="Input 3 2 2 5 2 2" xfId="29862"/>
    <cellStyle name="Input 4 2 2 5 2 2" xfId="29863"/>
    <cellStyle name="Input 5 2 2 5 2 2" xfId="29864"/>
    <cellStyle name="Calculation 7 9 2" xfId="29865"/>
    <cellStyle name="Note 4 7 2 5 2" xfId="29866"/>
    <cellStyle name="Note 11 2 5 2 2" xfId="29867"/>
    <cellStyle name="Note 2 6 2 5 2 2" xfId="29868"/>
    <cellStyle name="Note 2 2 3 2 5 2 2" xfId="29869"/>
    <cellStyle name="Note 3 4 2 5 2 2" xfId="29870"/>
    <cellStyle name="Note 3 2 4 2 5 2 2" xfId="29871"/>
    <cellStyle name="Note 4 3 2 5 2 2" xfId="29872"/>
    <cellStyle name="Note 4 2 2 2 5 2 2" xfId="29873"/>
    <cellStyle name="Note 5 5 5 2 2" xfId="29874"/>
    <cellStyle name="Note 5 2 4 5 2 2" xfId="29875"/>
    <cellStyle name="Note 6 5 5 2 2" xfId="29876"/>
    <cellStyle name="Note 6 2 4 5 2 2" xfId="29877"/>
    <cellStyle name="Note 7 5 5 2 2" xfId="29878"/>
    <cellStyle name="Note 7 2 4 5 2 2" xfId="29879"/>
    <cellStyle name="Note 8 4 5 2 2" xfId="29880"/>
    <cellStyle name="Note 9 3 5 2 2" xfId="29881"/>
    <cellStyle name="Output 7 2 5 2 2" xfId="29882"/>
    <cellStyle name="Output 2 6 2 5 2 2" xfId="29883"/>
    <cellStyle name="Output 3 2 2 5 2 2" xfId="29884"/>
    <cellStyle name="Output 4 2 2 5 2 2" xfId="29885"/>
    <cellStyle name="Output 5 5 5 2 2" xfId="29886"/>
    <cellStyle name="Total 7 2 5 2 2" xfId="29887"/>
    <cellStyle name="Total 2 7 2 5 2 2" xfId="29888"/>
    <cellStyle name="Total 3 2 2 5 2 2" xfId="29889"/>
    <cellStyle name="Total 4 2 2 5 2 2" xfId="29890"/>
    <cellStyle name="Total 5 5 5 2 2" xfId="29891"/>
    <cellStyle name="Calculation 8 2 5 2 2" xfId="29892"/>
    <cellStyle name="Input 12 2 5 2 2" xfId="29893"/>
    <cellStyle name="Input 11 2 5 2 2" xfId="29894"/>
    <cellStyle name="Calculation 9 2 5 2 2" xfId="29895"/>
    <cellStyle name="Output 8 2 5 2 2" xfId="29896"/>
    <cellStyle name="Total 8 2 5 2 2" xfId="29897"/>
    <cellStyle name="Total 9 2 5 2 2" xfId="29898"/>
    <cellStyle name="Input 15 2 2 4 2" xfId="29899"/>
    <cellStyle name="Note 3 3 3 3 4 2" xfId="29900"/>
    <cellStyle name="Output 3 7 2 4 2" xfId="29901"/>
    <cellStyle name="Calculation 2 5 3 2 4 2" xfId="29902"/>
    <cellStyle name="Calculation 3 4 4 4 2" xfId="29903"/>
    <cellStyle name="Output 3 3 4 4 2" xfId="29904"/>
    <cellStyle name="Output 4 5 2 7 2" xfId="29905"/>
    <cellStyle name="Output 2 8 4 5 2" xfId="29906"/>
    <cellStyle name="Output 5 2 2 5 2 2" xfId="29907"/>
    <cellStyle name="Output 4 3 2 5 2 2" xfId="29908"/>
    <cellStyle name="Output 3 3 2 5 2 2" xfId="29909"/>
    <cellStyle name="Output 2 7 2 5 2 2" xfId="29910"/>
    <cellStyle name="Output 11 2 5 2 2" xfId="29911"/>
    <cellStyle name="Style 21 8 2" xfId="29912"/>
    <cellStyle name="Input 5 3 2 5 2 2" xfId="29913"/>
    <cellStyle name="Input 4 3 2 5 2 2" xfId="29914"/>
    <cellStyle name="Input 3 3 2 5 2 2" xfId="29915"/>
    <cellStyle name="Input 2 7 2 5 2 2" xfId="29916"/>
    <cellStyle name="Calculation 10 2 5 2 2" xfId="29917"/>
    <cellStyle name="Input 14 2 5 2 2" xfId="29918"/>
    <cellStyle name="Input 16 2 5 2 2" xfId="29919"/>
    <cellStyle name="Input 17 2 5 2 2" xfId="29920"/>
    <cellStyle name="Input 15 2 5 2 2" xfId="29921"/>
    <cellStyle name="Input 13 2 5 2 2" xfId="29922"/>
    <cellStyle name="Calculation 5 2 2 5 2 2" xfId="29923"/>
    <cellStyle name="Calculation 4 3 2 5 2 2" xfId="29924"/>
    <cellStyle name="Calculation 3 3 2 5 2 2" xfId="29925"/>
    <cellStyle name="Calculation 2 7 2 5 2 2" xfId="29926"/>
    <cellStyle name="Calculation 11 2 5 2 2" xfId="29927"/>
    <cellStyle name="Note 3 7 8 2" xfId="29928"/>
    <cellStyle name="Output 5 2 2 2 5 2" xfId="29929"/>
    <cellStyle name="Output 10 2 5 2 2" xfId="29930"/>
    <cellStyle name="Note 12 2 5 2 2" xfId="29931"/>
    <cellStyle name="Note 2 7 2 5 2 2" xfId="29932"/>
    <cellStyle name="Note 2 2 4 2 5 2 2" xfId="29933"/>
    <cellStyle name="Note 3 5 2 5 2 2" xfId="29934"/>
    <cellStyle name="Note 3 2 5 2 5 2 2" xfId="29935"/>
    <cellStyle name="Note 4 4 2 5 2 2" xfId="29936"/>
    <cellStyle name="Note 4 2 3 2 5 2 2" xfId="29937"/>
    <cellStyle name="Note 5 3 2 5 2 2" xfId="29938"/>
    <cellStyle name="Note 5 2 2 2 5 2 2" xfId="29939"/>
    <cellStyle name="Note 6 3 2 5 2 2" xfId="29940"/>
    <cellStyle name="Note 6 2 2 2 5 2 2" xfId="29941"/>
    <cellStyle name="Note 7 3 2 5 2 2" xfId="29942"/>
    <cellStyle name="Note 7 2 2 2 5 2 2" xfId="29943"/>
    <cellStyle name="Note 8 2 2 5 2 2" xfId="29944"/>
    <cellStyle name="Note 9 2 2 5 2 2" xfId="29945"/>
    <cellStyle name="Output 12 2 5 2 2" xfId="29946"/>
    <cellStyle name="Output 2 8 2 5 2 2" xfId="29947"/>
    <cellStyle name="Output 3 4 2 5 2 2" xfId="29948"/>
    <cellStyle name="Output 4 4 2 5 2 2" xfId="29949"/>
    <cellStyle name="Output 5 3 2 5 2 2" xfId="29950"/>
    <cellStyle name="Total 10 2 5 2 2" xfId="29951"/>
    <cellStyle name="Total 11 2 5 2 2" xfId="29952"/>
    <cellStyle name="Total 2 8 2 5 2 2" xfId="29953"/>
    <cellStyle name="Total 3 3 2 5 2 2" xfId="29954"/>
    <cellStyle name="Total 4 3 2 5 2 2" xfId="29955"/>
    <cellStyle name="Total 5 2 2 5 2 2" xfId="29956"/>
    <cellStyle name="Total 12 2 5 2 2" xfId="29957"/>
    <cellStyle name="Total 2 9 2 5 2 2" xfId="29958"/>
    <cellStyle name="Total 3 4 2 5 2 2" xfId="29959"/>
    <cellStyle name="Total 4 4 2 5 2 2" xfId="29960"/>
    <cellStyle name="Total 5 3 2 5 2 2" xfId="29961"/>
    <cellStyle name="Output 2 7 2 2 4 2" xfId="29962"/>
    <cellStyle name="Style 25 2 2 2 4 2" xfId="29963"/>
    <cellStyle name="Note 2 4 4 2 4 2" xfId="29964"/>
    <cellStyle name="Input 2 2 4 2 2 4 2" xfId="29965"/>
    <cellStyle name="Note 6 2 3 5 4 2" xfId="29966"/>
    <cellStyle name="Total 9 4 4 2" xfId="29967"/>
    <cellStyle name="Note 4 2 4 2 7 2" xfId="29968"/>
    <cellStyle name="Total 10 2 7 2" xfId="29969"/>
    <cellStyle name="Note 2 4 4 7 2" xfId="29970"/>
    <cellStyle name="Input 18 2 5 2 2" xfId="29971"/>
    <cellStyle name="Note 3 2 7 3 5 2" xfId="29972"/>
    <cellStyle name="Calculation 12 2 5 2 2" xfId="29973"/>
    <cellStyle name="Input 19 2 5 2 2" xfId="29974"/>
    <cellStyle name="Note 13 2 5 2 2" xfId="29975"/>
    <cellStyle name="Output 13 2 5 2 2" xfId="29976"/>
    <cellStyle name="Total 13 2 5 2 2" xfId="29977"/>
    <cellStyle name="Note 4 2 2 3 4 2" xfId="29978"/>
    <cellStyle name="Calculation 2 8 2 5 2 2" xfId="29979"/>
    <cellStyle name="Calculation 3 4 2 5 2 2" xfId="29980"/>
    <cellStyle name="Calculation 4 4 2 5 2 2" xfId="29981"/>
    <cellStyle name="Calculation 5 3 2 5 2 2" xfId="29982"/>
    <cellStyle name="Input 2 8 2 5 2 2" xfId="29983"/>
    <cellStyle name="Input 3 4 2 5 2 2" xfId="29984"/>
    <cellStyle name="Input 4 4 2 5 2 2" xfId="29985"/>
    <cellStyle name="Input 5 4 2 5 2 2" xfId="29986"/>
    <cellStyle name="Calculation 2 5 2 8 2" xfId="29987"/>
    <cellStyle name="Note 2 8 2 5 2 2" xfId="29988"/>
    <cellStyle name="Note 2 2 5 2 5 2 2" xfId="29989"/>
    <cellStyle name="Note 3 6 2 5 2 2" xfId="29990"/>
    <cellStyle name="Note 3 2 6 2 5 2 2" xfId="29991"/>
    <cellStyle name="Note 4 5 2 5 2 2" xfId="29992"/>
    <cellStyle name="Note 4 2 4 2 5 2 2" xfId="29993"/>
    <cellStyle name="Note 5 4 2 5 2 2" xfId="29994"/>
    <cellStyle name="Note 5 2 3 2 5 2 2" xfId="29995"/>
    <cellStyle name="Note 6 4 2 5 2 2" xfId="29996"/>
    <cellStyle name="Note 6 2 3 2 5 2 2" xfId="29997"/>
    <cellStyle name="Note 7 4 2 5 2 2" xfId="29998"/>
    <cellStyle name="Note 7 2 3 2 5 2 2" xfId="29999"/>
    <cellStyle name="Note 8 3 2 5 2 2" xfId="30000"/>
    <cellStyle name="Output 2 9 2 5 2 2" xfId="30001"/>
    <cellStyle name="Output 3 5 2 5 2 2" xfId="30002"/>
    <cellStyle name="Output 4 5 2 5 2 2" xfId="30003"/>
    <cellStyle name="Output 5 4 2 5 2 2" xfId="30004"/>
    <cellStyle name="Total 2 10 2 5 2 2" xfId="30005"/>
    <cellStyle name="Total 3 5 2 5 2 2" xfId="30006"/>
    <cellStyle name="Total 4 5 2 5 2 2" xfId="30007"/>
    <cellStyle name="Total 5 4 2 5 2 2" xfId="30008"/>
    <cellStyle name="Input 20 2 5 2 2" xfId="30009"/>
    <cellStyle name="Output 5 2 8 2" xfId="30010"/>
    <cellStyle name="Calculation 3 3 3 5 2" xfId="30011"/>
    <cellStyle name="Header2 2 3 4 2" xfId="30012"/>
    <cellStyle name="Input 21 2 5 2 2" xfId="30013"/>
    <cellStyle name="Calculation 4 2 3 4 2" xfId="30014"/>
    <cellStyle name="Output 3 4 4 5 2" xfId="30015"/>
    <cellStyle name="Output 2 2 3 3 8 2" xfId="30016"/>
    <cellStyle name="Output 2 6 2 8 2" xfId="30017"/>
    <cellStyle name="Note 6 2 6 2 2 2" xfId="30018"/>
    <cellStyle name="Note 7 7 2 2 2" xfId="30019"/>
    <cellStyle name="Note 7 2 6 2 2 2" xfId="30020"/>
    <cellStyle name="Note 8 6 2 2 2" xfId="30021"/>
    <cellStyle name="Note 9 5 2 2 2" xfId="30022"/>
    <cellStyle name="Output 7 4 2 2 2" xfId="30023"/>
    <cellStyle name="Output 2 6 4 2 2 2" xfId="30024"/>
    <cellStyle name="Output 3 2 4 2 2 2" xfId="30025"/>
    <cellStyle name="Output 4 2 4 2 2 2" xfId="30026"/>
    <cellStyle name="Output 5 7 2 2 2" xfId="30027"/>
    <cellStyle name="Note 4 2 4 5 2 2 2" xfId="30028"/>
    <cellStyle name="Total 7 4 2 2 2" xfId="30029"/>
    <cellStyle name="Total 2 7 4 2 2 2" xfId="30030"/>
    <cellStyle name="Total 3 2 4 2 2 2" xfId="30031"/>
    <cellStyle name="Total 4 2 4 2 2 2" xfId="30032"/>
    <cellStyle name="Total 5 7 2 2 2" xfId="30033"/>
    <cellStyle name="Calculation 8 4 2 2 2" xfId="30034"/>
    <cellStyle name="Input 12 4 2 2 2" xfId="30035"/>
    <cellStyle name="Input 11 4 2 2 2" xfId="30036"/>
    <cellStyle name="Calculation 9 4 2 2 2" xfId="30037"/>
    <cellStyle name="Output 8 4 2 2 2" xfId="30038"/>
    <cellStyle name="Note 4 5 5 2 2 2" xfId="30039"/>
    <cellStyle name="Total 8 4 2 2 2" xfId="30040"/>
    <cellStyle name="Total 9 4 2 2 2" xfId="30041"/>
    <cellStyle name="Input 2 9 3 2 2 2" xfId="30042"/>
    <cellStyle name="Note 2 2 2 3 3 2 2 2" xfId="30043"/>
    <cellStyle name="Note 7 2 3 5 2 2 2" xfId="30044"/>
    <cellStyle name="Note 3 2 6 5 2 2 2" xfId="30045"/>
    <cellStyle name="Output 13 5 2 2 2" xfId="30046"/>
    <cellStyle name="Input 14 5 2 2 2" xfId="30047"/>
    <cellStyle name="Input 5 3 5 2 2 2" xfId="30048"/>
    <cellStyle name="Output 5 2 4 2 2 2" xfId="30049"/>
    <cellStyle name="Output 4 3 4 2 2 2" xfId="30050"/>
    <cellStyle name="Output 3 3 4 2 2 2" xfId="30051"/>
    <cellStyle name="Output 2 7 4 2 2 2" xfId="30052"/>
    <cellStyle name="Output 11 4 2 2 2" xfId="30053"/>
    <cellStyle name="Input 5 3 4 2 2 2" xfId="30054"/>
    <cellStyle name="Input 4 3 4 2 2 2" xfId="30055"/>
    <cellStyle name="Input 3 3 4 2 2 2" xfId="30056"/>
    <cellStyle name="Input 2 7 4 2 2 2" xfId="30057"/>
    <cellStyle name="Calculation 10 4 2 2 2" xfId="30058"/>
    <cellStyle name="Input 14 4 2 2 2" xfId="30059"/>
    <cellStyle name="Input 16 4 2 2 2" xfId="30060"/>
    <cellStyle name="Input 17 4 2 2 2" xfId="30061"/>
    <cellStyle name="Input 15 4 2 2 2" xfId="30062"/>
    <cellStyle name="Input 13 4 2 2 2" xfId="30063"/>
    <cellStyle name="Calculation 5 2 4 2 2 2" xfId="30064"/>
    <cellStyle name="Calculation 4 3 4 2 2 2" xfId="30065"/>
    <cellStyle name="Calculation 3 3 4 2 2 2" xfId="30066"/>
    <cellStyle name="Calculation 2 7 4 2 2 2" xfId="30067"/>
    <cellStyle name="Calculation 11 4 2 2 2" xfId="30068"/>
    <cellStyle name="Output 10 4 2 2 2" xfId="30069"/>
    <cellStyle name="Note 12 4 2 2 2" xfId="30070"/>
    <cellStyle name="Note 2 7 4 2 2 2" xfId="30071"/>
    <cellStyle name="Note 2 2 4 4 2 2 2" xfId="30072"/>
    <cellStyle name="Note 3 5 4 2 2 2" xfId="30073"/>
    <cellStyle name="Note 3 2 5 4 2 2 2" xfId="30074"/>
    <cellStyle name="Note 4 4 4 2 2 2" xfId="30075"/>
    <cellStyle name="Note 4 2 3 4 2 2 2" xfId="30076"/>
    <cellStyle name="Note 5 3 4 2 2 2" xfId="30077"/>
    <cellStyle name="Note 5 2 2 4 2 2 2" xfId="30078"/>
    <cellStyle name="Note 6 3 4 2 2 2" xfId="30079"/>
    <cellStyle name="Note 6 2 2 4 2 2 2" xfId="30080"/>
    <cellStyle name="Note 7 3 4 2 2 2" xfId="30081"/>
    <cellStyle name="Note 7 2 2 4 2 2 2" xfId="30082"/>
    <cellStyle name="Note 8 2 4 2 2 2" xfId="30083"/>
    <cellStyle name="Note 9 2 4 2 2 2" xfId="30084"/>
    <cellStyle name="Output 12 4 2 2 2" xfId="30085"/>
    <cellStyle name="Output 2 8 4 2 2 2" xfId="30086"/>
    <cellStyle name="Output 3 4 4 2 2 2" xfId="30087"/>
    <cellStyle name="Output 4 4 4 2 2 2" xfId="30088"/>
    <cellStyle name="Output 5 3 4 2 2 2" xfId="30089"/>
    <cellStyle name="Total 10 4 2 2 2" xfId="30090"/>
    <cellStyle name="Total 11 4 2 2 2" xfId="30091"/>
    <cellStyle name="Total 2 8 4 2 2 2" xfId="30092"/>
    <cellStyle name="Total 3 3 4 2 2 2" xfId="30093"/>
    <cellStyle name="Total 4 3 4 2 2 2" xfId="30094"/>
    <cellStyle name="Total 5 2 4 2 2 2" xfId="30095"/>
    <cellStyle name="Total 12 4 2 2 2" xfId="30096"/>
    <cellStyle name="Total 2 9 4 2 2 2" xfId="30097"/>
    <cellStyle name="Total 3 4 4 2 2 2" xfId="30098"/>
    <cellStyle name="Total 4 4 4 2 2 2" xfId="30099"/>
    <cellStyle name="Total 5 3 4 2 2 2" xfId="30100"/>
    <cellStyle name="Note 2 4 2 3 3 2 2 2" xfId="30101"/>
    <cellStyle name="Note 6 2 3 5 2 2 2" xfId="30102"/>
    <cellStyle name="Input 19 5 2 2 2" xfId="30103"/>
    <cellStyle name="Input 2 7 5 2 2 2" xfId="30104"/>
    <cellStyle name="Input 18 4 2 2 2" xfId="30105"/>
    <cellStyle name="Calculation 12 4 2 2 2" xfId="30106"/>
    <cellStyle name="Input 19 4 2 2 2" xfId="30107"/>
    <cellStyle name="Note 13 4 2 2 2" xfId="30108"/>
    <cellStyle name="Output 13 4 2 2 2" xfId="30109"/>
    <cellStyle name="Total 13 4 2 2 2" xfId="30110"/>
    <cellStyle name="Calculation 2 8 4 2 2 2" xfId="30111"/>
    <cellStyle name="Calculation 3 4 4 2 2 2" xfId="30112"/>
    <cellStyle name="Calculation 4 4 4 2 2 2" xfId="30113"/>
    <cellStyle name="Calculation 5 3 4 2 2 2" xfId="30114"/>
    <cellStyle name="Input 2 8 4 2 2 2" xfId="30115"/>
    <cellStyle name="Input 3 4 4 2 2 2" xfId="30116"/>
    <cellStyle name="Input 4 4 4 2 2 2" xfId="30117"/>
    <cellStyle name="Input 5 4 4 2 2 2" xfId="30118"/>
    <cellStyle name="Note 2 8 4 2 2 2" xfId="30119"/>
    <cellStyle name="Note 2 2 5 4 2 2 2" xfId="30120"/>
    <cellStyle name="Note 3 6 4 2 2 2" xfId="30121"/>
    <cellStyle name="Note 3 2 6 4 2 2 2" xfId="30122"/>
    <cellStyle name="Note 4 5 4 2 2 2" xfId="30123"/>
    <cellStyle name="Note 4 2 4 4 2 2 2" xfId="30124"/>
    <cellStyle name="Note 5 4 4 2 2 2" xfId="30125"/>
    <cellStyle name="Note 5 2 3 4 2 2 2" xfId="30126"/>
    <cellStyle name="Note 6 4 4 2 2 2" xfId="30127"/>
    <cellStyle name="Note 6 2 3 4 2 2 2" xfId="30128"/>
    <cellStyle name="Note 7 4 4 2 2 2" xfId="30129"/>
    <cellStyle name="Note 7 2 3 4 2 2 2" xfId="30130"/>
    <cellStyle name="Note 8 3 4 2 2 2" xfId="30131"/>
    <cellStyle name="Output 2 9 4 2 2 2" xfId="30132"/>
    <cellStyle name="Output 3 5 4 2 2 2" xfId="30133"/>
    <cellStyle name="Output 4 5 4 2 2 2" xfId="30134"/>
    <cellStyle name="Output 5 4 4 2 2 2" xfId="30135"/>
    <cellStyle name="Total 2 10 4 2 2 2" xfId="30136"/>
    <cellStyle name="Total 3 5 4 2 2 2" xfId="30137"/>
    <cellStyle name="Total 4 5 4 2 2 2" xfId="30138"/>
    <cellStyle name="Total 5 4 4 2 2 2" xfId="30139"/>
    <cellStyle name="Input 20 4 2 2 2" xfId="30140"/>
    <cellStyle name="Input 21 4 2 2 2" xfId="30141"/>
    <cellStyle name="Note 4 2 6 2 2 2 2" xfId="30142"/>
    <cellStyle name="Note 3 3 3 2 2 2 2" xfId="30143"/>
    <cellStyle name="Note 2 5 3 2 2 2 2" xfId="30144"/>
    <cellStyle name="Note 2 4 2 3 2 2 2 2" xfId="30145"/>
    <cellStyle name="Note 2 3 2 3 2 2 2 2" xfId="30146"/>
    <cellStyle name="Note 2 2 2 3 2 2 2 2" xfId="30147"/>
    <cellStyle name="Calculation 2 9 2 2 2 2" xfId="30148"/>
    <cellStyle name="Calculation 2 2 5 2 2 2 2" xfId="30149"/>
    <cellStyle name="Calculation 2 2 2 2 2 2 2 2" xfId="30150"/>
    <cellStyle name="Calculation 2 2 3 2 2 2 2 2" xfId="30151"/>
    <cellStyle name="Calculation 2 2 4 2 2 2 2 2" xfId="30152"/>
    <cellStyle name="Calculation 2 3 2 2 2 2 2" xfId="30153"/>
    <cellStyle name="Calculation 2 4 2 2 2 2 2" xfId="30154"/>
    <cellStyle name="Calculation 2 5 2 2 2 2 2" xfId="30155"/>
    <cellStyle name="Calculation 3 5 2 2 2 2" xfId="30156"/>
    <cellStyle name="Header2 2 2 2 2 2" xfId="30157"/>
    <cellStyle name="Input 2 5 3 2 2 2 2" xfId="30158"/>
    <cellStyle name="Input 2 9 2 2 2 2" xfId="30159"/>
    <cellStyle name="Input 2 2 5 2 2 2 2" xfId="30160"/>
    <cellStyle name="Input 2 2 2 2 2 2 2 2" xfId="30161"/>
    <cellStyle name="Input 2 2 3 2 2 2 2 2" xfId="30162"/>
    <cellStyle name="Input 2 2 4 2 2 2 2 2" xfId="30163"/>
    <cellStyle name="Input 2 3 2 2 2 2 2" xfId="30164"/>
    <cellStyle name="Input 2 4 2 2 2 2 2" xfId="30165"/>
    <cellStyle name="Input 2 5 2 2 2 2 2" xfId="30166"/>
    <cellStyle name="Input 3 5 2 2 2 2" xfId="30167"/>
    <cellStyle name="Input 4 5 2 2 2 2" xfId="30168"/>
    <cellStyle name="Input 5 5 2 2 2 2" xfId="30169"/>
    <cellStyle name="Input 6 3 2 2 2 2" xfId="30170"/>
    <cellStyle name="Input 7 2 2 2 2 2" xfId="30171"/>
    <cellStyle name="Input 8 2 2 2 2 2" xfId="30172"/>
    <cellStyle name="Calculation 2 5 3 2 2 2 2" xfId="30173"/>
    <cellStyle name="Total 2 4 3 2 2 2 2" xfId="30174"/>
    <cellStyle name="Total 2 2 4 3 2 2 2 2" xfId="30175"/>
    <cellStyle name="Total 2 2 3 3 2 2 2 2" xfId="30176"/>
    <cellStyle name="Total 2 12 2 2 2 2" xfId="30177"/>
    <cellStyle name="Note 2 9 2 2 2 2" xfId="30178"/>
    <cellStyle name="Note 2 2 6 2 2 2 2" xfId="30179"/>
    <cellStyle name="Note 2 3 3 2 2 2 2" xfId="30180"/>
    <cellStyle name="Note 2 4 3 2 2 2 2" xfId="30181"/>
    <cellStyle name="Note 3 7 2 2 2 2" xfId="30182"/>
    <cellStyle name="Note 3 2 7 2 2 2 2" xfId="30183"/>
    <cellStyle name="Output 2 10 2 2 2 2" xfId="30184"/>
    <cellStyle name="Output 2 2 5 2 2 2 2" xfId="30185"/>
    <cellStyle name="Output 2 2 2 2 2 2 2 2" xfId="30186"/>
    <cellStyle name="Output 2 2 3 2 2 2 2 2" xfId="30187"/>
    <cellStyle name="Output 2 2 4 2 2 2 2 2" xfId="30188"/>
    <cellStyle name="Output 2 3 2 2 2 2 2" xfId="30189"/>
    <cellStyle name="Output 2 4 2 2 2 2 2" xfId="30190"/>
    <cellStyle name="Output 2 5 2 2 2 2 2" xfId="30191"/>
    <cellStyle name="Output 3 6 2 2 2 2" xfId="30192"/>
    <cellStyle name="Input 7 3 2 2 2 2" xfId="30193"/>
    <cellStyle name="Input 5 6 2 2 2 2" xfId="30194"/>
    <cellStyle name="Input 3 6 2 2 2 2" xfId="30195"/>
    <cellStyle name="Input 2 4 3 2 2 2 2" xfId="30196"/>
    <cellStyle name="Input 2 2 4 3 2 2 2 2" xfId="30197"/>
    <cellStyle name="Input 2 2 2 3 2 2 2 2" xfId="30198"/>
    <cellStyle name="Input 2 10 2 2 2 2" xfId="30199"/>
    <cellStyle name="Calculation 3 6 2 2 2 2" xfId="30200"/>
    <cellStyle name="Calculation 2 4 3 2 2 2 2" xfId="30201"/>
    <cellStyle name="Calculation 2 2 4 3 2 2 2 2" xfId="30202"/>
    <cellStyle name="Calculation 2 2 2 3 2 2 2 2" xfId="30203"/>
    <cellStyle name="Calculation 2 10 2 2 2 2" xfId="30204"/>
    <cellStyle name="StmtTtl2 2 2 2 2 2" xfId="30205"/>
    <cellStyle name="Total 2 11 2 2 2 2" xfId="30206"/>
    <cellStyle name="Total 2 2 5 2 2 2 2" xfId="30207"/>
    <cellStyle name="Total 2 2 2 2 2 2 2 2" xfId="30208"/>
    <cellStyle name="Total 2 2 3 2 2 2 2 2" xfId="30209"/>
    <cellStyle name="Total 2 2 4 2 2 2 2 2" xfId="30210"/>
    <cellStyle name="Total 2 3 2 2 2 2 2" xfId="30211"/>
    <cellStyle name="Total 2 4 2 2 2 2 2" xfId="30212"/>
    <cellStyle name="Total 2 5 2 2 2 2 2" xfId="30213"/>
    <cellStyle name="Total 2 6 2 2 2 2 2" xfId="30214"/>
    <cellStyle name="Total 3 6 2 2 2 2" xfId="30215"/>
    <cellStyle name="Calculation 2 2 2 2 3 2 2 2" xfId="30216"/>
    <cellStyle name="Output 3 5 5 2 2 2" xfId="30217"/>
    <cellStyle name="Input 12 5 2 2 2" xfId="30218"/>
    <cellStyle name="Output 2 5 3 2 2 2 2" xfId="30219"/>
    <cellStyle name="Output 2 3 3 2 2 2 2" xfId="30220"/>
    <cellStyle name="Output 2 2 3 3 2 2 2 2" xfId="30221"/>
    <cellStyle name="Output 2 2 6 2 2 2 2" xfId="30222"/>
    <cellStyle name="Note 4 7 2 2 2 2" xfId="30223"/>
    <cellStyle name="Note 3 2 2 3 2 2 2 2" xfId="30224"/>
    <cellStyle name="Note 3 8 2 2 2 2" xfId="30225"/>
    <cellStyle name="Note 2 4 4 2 2 2 2" xfId="30226"/>
    <cellStyle name="Note 2 2 7 2 2 2 2" xfId="30227"/>
    <cellStyle name="Note 3 2 2 2 2 2 2 2" xfId="30228"/>
    <cellStyle name="Note 4 6 2 2 2 2" xfId="30229"/>
    <cellStyle name="Total 3 7 2 2 2 2" xfId="30230"/>
    <cellStyle name="Total 2 5 3 2 2 2 2" xfId="30231"/>
    <cellStyle name="Total 2 3 3 2 2 2 2" xfId="30232"/>
    <cellStyle name="Total 2 2 6 2 2 2 2" xfId="30233"/>
    <cellStyle name="Total 2 2 2 3 2 2 2 2" xfId="30234"/>
    <cellStyle name="StmtTtl2 3 2 2 2 2" xfId="30235"/>
    <cellStyle name="Output 3 7 2 2 2 2" xfId="30236"/>
    <cellStyle name="Note 2 5 2 2 2 2 2" xfId="30237"/>
    <cellStyle name="Note 2 2 2 2 2 2 2 2" xfId="30238"/>
    <cellStyle name="Note 2 3 2 2 2 2 2 2" xfId="30239"/>
    <cellStyle name="Note 2 4 2 2 2 2 2 2" xfId="30240"/>
    <cellStyle name="Note 3 3 2 2 2 2 2" xfId="30241"/>
    <cellStyle name="Input 8 3 2 2 2 2" xfId="30242"/>
    <cellStyle name="Input 6 4 2 2 2 2" xfId="30243"/>
    <cellStyle name="Input 4 6 2 2 2 2" xfId="30244"/>
    <cellStyle name="Input 2 3 3 2 2 2 2" xfId="30245"/>
    <cellStyle name="Input 2 2 3 3 2 2 2 2" xfId="30246"/>
    <cellStyle name="Input 2 2 6 2 2 2 2" xfId="30247"/>
    <cellStyle name="Calculation 2 3 3 2 2 2 2" xfId="30248"/>
    <cellStyle name="Calculation 2 2 3 3 2 2 2 2" xfId="30249"/>
    <cellStyle name="Calculation 2 2 6 2 2 2 2" xfId="30250"/>
    <cellStyle name="Output 2 4 3 2 2 2 2" xfId="30251"/>
    <cellStyle name="Output 2 2 4 3 2 2 2 2" xfId="30252"/>
    <cellStyle name="Output 2 2 2 3 2 2 2 2" xfId="30253"/>
    <cellStyle name="Output 2 11 2 2 2 2" xfId="30254"/>
    <cellStyle name="Note 3 2 8 2 2 2 2" xfId="30255"/>
    <cellStyle name="Note 2 3 4 2 2 2 2" xfId="30256"/>
    <cellStyle name="Note 2 10 2 2 2 2" xfId="30257"/>
    <cellStyle name="Note 4 2 5 2 2 2 2" xfId="30258"/>
    <cellStyle name="Style 21 3 2 2 2" xfId="30259"/>
    <cellStyle name="Style 21 2 3 2 2 2" xfId="30260"/>
    <cellStyle name="Style 22 3 2 2 2" xfId="30261"/>
    <cellStyle name="Style 22 2 3 2 2 2" xfId="30262"/>
    <cellStyle name="Style 23 3 2 2 2" xfId="30263"/>
    <cellStyle name="Style 23 2 3 2 2 2" xfId="30264"/>
    <cellStyle name="Style 24 3 2 2 2" xfId="30265"/>
    <cellStyle name="Style 24 2 3 2 2 2" xfId="30266"/>
    <cellStyle name="Style 25 3 2 2 2" xfId="30267"/>
    <cellStyle name="Style 25 2 3 2 2 2" xfId="30268"/>
    <cellStyle name="Style 26 3 2 2 2" xfId="30269"/>
    <cellStyle name="Style 26 2 3 2 2 2" xfId="30270"/>
    <cellStyle name="styleColumnTitles 3 2 2 2" xfId="30271"/>
    <cellStyle name="styleColumnTitles 2 3 2 2 2" xfId="30272"/>
    <cellStyle name="styleDateRange 3 2 2 2" xfId="30273"/>
    <cellStyle name="styleDateRange 2 3 2 2 2" xfId="30274"/>
    <cellStyle name="styleSeriesAttributes 3 2 2 2" xfId="30275"/>
    <cellStyle name="styleSeriesAttributes 2 3 2 2 2" xfId="30276"/>
    <cellStyle name="styleSeriesData 3 2 2 2" xfId="30277"/>
    <cellStyle name="styleSeriesData 2 3 2 2 2" xfId="30278"/>
    <cellStyle name="styleSeriesDataForecast 3 2 2 2" xfId="30279"/>
    <cellStyle name="styleSeriesDataForecast 2 3 2 2 2" xfId="30280"/>
    <cellStyle name="styleSeriesDataForecastNA 3 2 2 2" xfId="30281"/>
    <cellStyle name="styleSeriesDataForecastNA 2 3 2 2 2" xfId="30282"/>
    <cellStyle name="styleSeriesDataNA 3 2 2 2" xfId="30283"/>
    <cellStyle name="styleSeriesDataNA 2 3 2 2 2" xfId="30284"/>
    <cellStyle name="Style 21 2 2 2 2 2 2" xfId="30285"/>
    <cellStyle name="Style 22 2 2 2 2 2 2" xfId="30286"/>
    <cellStyle name="Style 23 2 2 2 2 2 2" xfId="30287"/>
    <cellStyle name="Style 24 2 2 2 2 2 2" xfId="30288"/>
    <cellStyle name="Style 25 2 2 2 2 2 2" xfId="30289"/>
    <cellStyle name="Style 26 2 2 2 2 2 2" xfId="30290"/>
    <cellStyle name="styleColumnTitles 2 2 2 2 2 2" xfId="30291"/>
    <cellStyle name="styleDateRange 2 2 2 2 2 2" xfId="30292"/>
    <cellStyle name="styleSeriesAttributes 2 2 2 2 2 2" xfId="30293"/>
    <cellStyle name="styleSeriesData 2 2 2 2 2 2" xfId="30294"/>
    <cellStyle name="styleSeriesDataForecast 2 2 2 2 2 2" xfId="30295"/>
    <cellStyle name="styleSeriesDataForecastNA 2 2 2 2 2 2" xfId="30296"/>
    <cellStyle name="styleSeriesDataNA 2 2 2 2 2 2" xfId="30297"/>
    <cellStyle name="Total 2 6 3 2 2 2 2" xfId="30298"/>
    <cellStyle name="Note 3 3 3 3 2 2 2" xfId="30299"/>
    <cellStyle name="Note 5 2 3 5 2 2 2" xfId="30300"/>
    <cellStyle name="Input 4 3 5 2 2 2" xfId="30301"/>
    <cellStyle name="Calculation 7 2 2 2 2 2" xfId="30302"/>
    <cellStyle name="Calculation 2 6 2 2 2 2 2" xfId="30303"/>
    <cellStyle name="Calculation 3 2 2 2 2 2 2" xfId="30304"/>
    <cellStyle name="Calculation 4 2 2 2 2 2 2" xfId="30305"/>
    <cellStyle name="Calculation 5 4 2 2 2 2" xfId="30306"/>
    <cellStyle name="Output 9 2 2 2 2 2" xfId="30307"/>
    <cellStyle name="Input 10 2 2 2 2 2" xfId="30308"/>
    <cellStyle name="Input 2 6 2 2 2 2 2" xfId="30309"/>
    <cellStyle name="Input 3 2 2 2 2 2 2" xfId="30310"/>
    <cellStyle name="Input 4 2 2 2 2 2 2" xfId="30311"/>
    <cellStyle name="Input 5 2 2 2 2 2 2" xfId="30312"/>
    <cellStyle name="Note 11 2 2 2 2 2" xfId="30313"/>
    <cellStyle name="Note 2 6 2 2 2 2 2" xfId="30314"/>
    <cellStyle name="Note 2 2 3 2 2 2 2 2" xfId="30315"/>
    <cellStyle name="Note 3 4 2 2 2 2 2" xfId="30316"/>
    <cellStyle name="Note 3 2 4 2 2 2 2 2" xfId="30317"/>
    <cellStyle name="Note 4 3 2 2 2 2 2" xfId="30318"/>
    <cellStyle name="Note 4 2 2 2 2 2 2 2" xfId="30319"/>
    <cellStyle name="Note 5 5 2 2 2 2" xfId="30320"/>
    <cellStyle name="Note 5 2 4 2 2 2 2" xfId="30321"/>
    <cellStyle name="Note 6 5 2 2 2 2" xfId="30322"/>
    <cellStyle name="Note 6 2 4 2 2 2 2" xfId="30323"/>
    <cellStyle name="Note 7 5 2 2 2 2" xfId="30324"/>
    <cellStyle name="Note 7 2 4 2 2 2 2" xfId="30325"/>
    <cellStyle name="Note 8 4 2 2 2 2" xfId="30326"/>
    <cellStyle name="Note 9 3 2 2 2 2" xfId="30327"/>
    <cellStyle name="Output 7 2 2 2 2 2" xfId="30328"/>
    <cellStyle name="Output 2 6 2 2 2 2 2" xfId="30329"/>
    <cellStyle name="Output 3 2 2 2 2 2 2" xfId="30330"/>
    <cellStyle name="Output 4 2 2 2 2 2 2" xfId="30331"/>
    <cellStyle name="Output 5 5 2 2 2 2" xfId="30332"/>
    <cellStyle name="Total 7 2 2 2 2 2" xfId="30333"/>
    <cellStyle name="Total 2 7 2 2 2 2 2" xfId="30334"/>
    <cellStyle name="Total 3 2 2 2 2 2 2" xfId="30335"/>
    <cellStyle name="Total 4 2 2 2 2 2 2" xfId="30336"/>
    <cellStyle name="Total 5 5 2 2 2 2" xfId="30337"/>
    <cellStyle name="Calculation 8 2 2 2 2 2" xfId="30338"/>
    <cellStyle name="Input 12 2 2 2 2 2" xfId="30339"/>
    <cellStyle name="Input 11 2 2 2 2 2" xfId="30340"/>
    <cellStyle name="Calculation 9 2 2 2 2 2" xfId="30341"/>
    <cellStyle name="Output 8 2 2 2 2 2" xfId="30342"/>
    <cellStyle name="Total 8 2 2 2 2 2" xfId="30343"/>
    <cellStyle name="Total 9 2 2 2 2 2" xfId="30344"/>
    <cellStyle name="Note 2 3 2 3 3 2 2 2" xfId="30345"/>
    <cellStyle name="Note 7 4 5 2 2 2" xfId="30346"/>
    <cellStyle name="Note 13 5 2 2 2" xfId="30347"/>
    <cellStyle name="Calculation 10 5 2 2 2" xfId="30348"/>
    <cellStyle name="Output 5 2 2 2 2 2 2" xfId="30349"/>
    <cellStyle name="Output 4 3 2 2 2 2 2" xfId="30350"/>
    <cellStyle name="Output 3 3 2 2 2 2 2" xfId="30351"/>
    <cellStyle name="Output 2 7 2 2 2 2 2" xfId="30352"/>
    <cellStyle name="Output 11 2 2 2 2 2" xfId="30353"/>
    <cellStyle name="Input 5 3 2 2 2 2 2" xfId="30354"/>
    <cellStyle name="Input 4 3 2 2 2 2 2" xfId="30355"/>
    <cellStyle name="Input 3 3 2 2 2 2 2" xfId="30356"/>
    <cellStyle name="Input 2 7 2 2 2 2 2" xfId="30357"/>
    <cellStyle name="Calculation 10 2 2 2 2 2" xfId="30358"/>
    <cellStyle name="Input 14 2 2 2 2 2" xfId="30359"/>
    <cellStyle name="Input 16 2 2 2 2 2" xfId="30360"/>
    <cellStyle name="Input 17 2 2 2 2 2" xfId="30361"/>
    <cellStyle name="Input 15 2 2 2 2 2" xfId="30362"/>
    <cellStyle name="Input 13 2 2 2 2 2" xfId="30363"/>
    <cellStyle name="Calculation 5 2 2 2 2 2 2" xfId="30364"/>
    <cellStyle name="Calculation 4 3 2 2 2 2 2" xfId="30365"/>
    <cellStyle name="Calculation 3 3 2 2 2 2 2" xfId="30366"/>
    <cellStyle name="Calculation 2 7 2 2 2 2 2" xfId="30367"/>
    <cellStyle name="Calculation 11 2 2 2 2 2" xfId="30368"/>
    <cellStyle name="Output 10 2 2 2 2 2" xfId="30369"/>
    <cellStyle name="Note 12 2 2 2 2 2" xfId="30370"/>
    <cellStyle name="Note 2 7 2 2 2 2 2" xfId="30371"/>
    <cellStyle name="Note 2 2 4 2 2 2 2 2" xfId="30372"/>
    <cellStyle name="Note 3 5 2 2 2 2 2" xfId="30373"/>
    <cellStyle name="Note 3 2 5 2 2 2 2 2" xfId="30374"/>
    <cellStyle name="Note 4 4 2 2 2 2 2" xfId="30375"/>
    <cellStyle name="Note 4 2 3 2 2 2 2 2" xfId="30376"/>
    <cellStyle name="Note 5 3 2 2 2 2 2" xfId="30377"/>
    <cellStyle name="Note 5 2 2 2 2 2 2 2" xfId="30378"/>
    <cellStyle name="Note 6 3 2 2 2 2 2" xfId="30379"/>
    <cellStyle name="Note 6 2 2 2 2 2 2 2" xfId="30380"/>
    <cellStyle name="Note 7 3 2 2 2 2 2" xfId="30381"/>
    <cellStyle name="Note 7 2 2 2 2 2 2 2" xfId="30382"/>
    <cellStyle name="Note 8 2 2 2 2 2 2" xfId="30383"/>
    <cellStyle name="Note 9 2 2 2 2 2 2" xfId="30384"/>
    <cellStyle name="Output 12 2 2 2 2 2" xfId="30385"/>
    <cellStyle name="Output 2 8 2 2 2 2 2" xfId="30386"/>
    <cellStyle name="Output 3 4 2 2 2 2 2" xfId="30387"/>
    <cellStyle name="Output 4 4 2 2 2 2 2" xfId="30388"/>
    <cellStyle name="Output 5 3 2 2 2 2 2" xfId="30389"/>
    <cellStyle name="Total 10 2 2 2 2 2" xfId="30390"/>
    <cellStyle name="Total 11 2 2 2 2 2" xfId="30391"/>
    <cellStyle name="Total 2 8 2 2 2 2 2" xfId="30392"/>
    <cellStyle name="Total 3 3 2 2 2 2 2" xfId="30393"/>
    <cellStyle name="Total 4 3 2 2 2 2 2" xfId="30394"/>
    <cellStyle name="Total 5 2 2 2 2 2 2" xfId="30395"/>
    <cellStyle name="Total 12 2 2 2 2 2" xfId="30396"/>
    <cellStyle name="Total 2 9 2 2 2 2 2" xfId="30397"/>
    <cellStyle name="Total 3 4 2 2 2 2 2" xfId="30398"/>
    <cellStyle name="Total 4 4 2 2 2 2 2" xfId="30399"/>
    <cellStyle name="Total 5 3 2 2 2 2 2" xfId="30400"/>
    <cellStyle name="Note 2 5 3 3 2 2 2" xfId="30401"/>
    <cellStyle name="Note 6 4 5 2 2 2" xfId="30402"/>
    <cellStyle name="Calculation 12 5 2 2 2" xfId="30403"/>
    <cellStyle name="Input 3 3 5 2 2 2" xfId="30404"/>
    <cellStyle name="Input 18 2 2 2 2 2" xfId="30405"/>
    <cellStyle name="Calculation 12 2 2 2 2 2" xfId="30406"/>
    <cellStyle name="Input 19 2 2 2 2 2" xfId="30407"/>
    <cellStyle name="Note 13 2 2 2 2 2" xfId="30408"/>
    <cellStyle name="Output 13 2 2 2 2 2" xfId="30409"/>
    <cellStyle name="Total 13 2 2 2 2 2" xfId="30410"/>
    <cellStyle name="Calculation 2 8 2 2 2 2 2" xfId="30411"/>
    <cellStyle name="Calculation 3 4 2 2 2 2 2" xfId="30412"/>
    <cellStyle name="Calculation 4 4 2 2 2 2 2" xfId="30413"/>
    <cellStyle name="Calculation 5 3 2 2 2 2 2" xfId="30414"/>
    <cellStyle name="Input 2 8 2 2 2 2 2" xfId="30415"/>
    <cellStyle name="Input 3 4 2 2 2 2 2" xfId="30416"/>
    <cellStyle name="Input 4 4 2 2 2 2 2" xfId="30417"/>
    <cellStyle name="Input 5 4 2 2 2 2 2" xfId="30418"/>
    <cellStyle name="Note 2 8 2 2 2 2 2" xfId="30419"/>
    <cellStyle name="Note 2 2 5 2 2 2 2 2" xfId="30420"/>
    <cellStyle name="Note 3 6 2 2 2 2 2" xfId="30421"/>
    <cellStyle name="Note 3 2 6 2 2 2 2 2" xfId="30422"/>
    <cellStyle name="Note 4 5 2 2 2 2 2" xfId="30423"/>
    <cellStyle name="Note 4 2 4 2 2 2 2 2" xfId="30424"/>
    <cellStyle name="Note 5 4 2 2 2 2 2" xfId="30425"/>
    <cellStyle name="Note 5 2 3 2 2 2 2 2" xfId="30426"/>
    <cellStyle name="Note 6 4 2 2 2 2 2" xfId="30427"/>
    <cellStyle name="Note 6 2 3 2 2 2 2 2" xfId="30428"/>
    <cellStyle name="Note 7 4 2 2 2 2 2" xfId="30429"/>
    <cellStyle name="Note 7 2 3 2 2 2 2 2" xfId="30430"/>
    <cellStyle name="Note 8 3 2 2 2 2 2" xfId="30431"/>
    <cellStyle name="Output 2 9 2 2 2 2 2" xfId="30432"/>
    <cellStyle name="Output 3 5 2 2 2 2 2" xfId="30433"/>
    <cellStyle name="Output 4 5 2 2 2 2 2" xfId="30434"/>
    <cellStyle name="Output 5 4 2 2 2 2 2" xfId="30435"/>
    <cellStyle name="Total 2 10 2 2 2 2 2" xfId="30436"/>
    <cellStyle name="Total 3 5 2 2 2 2 2" xfId="30437"/>
    <cellStyle name="Total 4 5 2 2 2 2 2" xfId="30438"/>
    <cellStyle name="Total 5 4 2 2 2 2 2" xfId="30439"/>
    <cellStyle name="Input 20 2 2 2 2 2" xfId="30440"/>
    <cellStyle name="Input 21 2 2 2 2 2" xfId="30441"/>
    <cellStyle name="Note 2 9 3 2 2 2" xfId="30442"/>
    <cellStyle name="Note 2 2 6 3 2 2 2" xfId="30443"/>
    <cellStyle name="Note 2 3 3 3 2 2 2" xfId="30444"/>
    <cellStyle name="Note 2 4 3 3 2 2 2" xfId="30445"/>
    <cellStyle name="Note 3 7 3 2 2 2" xfId="30446"/>
    <cellStyle name="Note 3 2 7 3 2 2 2" xfId="30447"/>
    <cellStyle name="Output 2 10 3 2 2 2" xfId="30448"/>
    <cellStyle name="Output 2 2 5 3 2 2 2" xfId="30449"/>
    <cellStyle name="Output 2 2 2 2 3 2 2 2" xfId="30450"/>
    <cellStyle name="Output 2 2 3 2 3 2 2 2" xfId="30451"/>
    <cellStyle name="Output 2 2 4 2 3 2 2 2" xfId="30452"/>
    <cellStyle name="Output 2 3 2 3 2 2 2" xfId="30453"/>
    <cellStyle name="Output 2 4 2 3 2 2 2" xfId="30454"/>
    <cellStyle name="Output 2 5 2 3 2 2 2" xfId="30455"/>
    <cellStyle name="Output 3 6 3 2 2 2" xfId="30456"/>
    <cellStyle name="Input 7 3 3 2 2 2" xfId="30457"/>
    <cellStyle name="Input 5 6 3 2 2 2" xfId="30458"/>
    <cellStyle name="Input 3 6 3 2 2 2" xfId="30459"/>
    <cellStyle name="Input 2 4 3 3 2 2 2" xfId="30460"/>
    <cellStyle name="Input 2 2 4 3 3 2 2 2" xfId="30461"/>
    <cellStyle name="Input 2 2 2 3 3 2 2 2" xfId="30462"/>
    <cellStyle name="Input 2 10 3 2 2 2" xfId="30463"/>
    <cellStyle name="Calculation 3 6 3 2 2 2" xfId="30464"/>
    <cellStyle name="Calculation 2 4 3 3 2 2 2" xfId="30465"/>
    <cellStyle name="Calculation 2 2 4 3 3 2 2 2" xfId="30466"/>
    <cellStyle name="Calculation 2 2 2 3 3 2 2 2" xfId="30467"/>
    <cellStyle name="Calculation 2 10 3 2 2 2" xfId="30468"/>
    <cellStyle name="StmtTtl2 2 3 2 2 2" xfId="30469"/>
    <cellStyle name="Total 2 11 3 2 2 2" xfId="30470"/>
    <cellStyle name="Total 2 2 5 3 2 2 2" xfId="30471"/>
    <cellStyle name="Total 2 2 2 2 3 2 2 2" xfId="30472"/>
    <cellStyle name="Total 2 2 3 2 3 2 2 2" xfId="30473"/>
    <cellStyle name="Total 2 2 4 2 3 2 2 2" xfId="30474"/>
    <cellStyle name="Total 2 3 2 3 2 2 2" xfId="30475"/>
    <cellStyle name="Total 2 4 2 3 2 2 2" xfId="30476"/>
    <cellStyle name="Total 2 5 2 3 2 2 2" xfId="30477"/>
    <cellStyle name="Total 2 6 2 3 2 2 2" xfId="30478"/>
    <cellStyle name="Total 3 6 3 2 2 2" xfId="30479"/>
    <cellStyle name="Output 2 5 3 3 2 2 2" xfId="30480"/>
    <cellStyle name="Output 2 3 3 3 2 2 2" xfId="30481"/>
    <cellStyle name="Output 2 2 3 3 3 2 2 2" xfId="30482"/>
    <cellStyle name="Output 2 2 6 3 2 2 2" xfId="30483"/>
    <cellStyle name="Note 4 7 3 2 2 2" xfId="30484"/>
    <cellStyle name="Note 3 2 2 3 3 2 2 2" xfId="30485"/>
    <cellStyle name="Note 3 8 3 2 2 2" xfId="30486"/>
    <cellStyle name="Note 2 4 4 3 2 2 2" xfId="30487"/>
    <cellStyle name="Note 2 2 7 3 2 2 2" xfId="30488"/>
    <cellStyle name="Note 3 2 2 2 3 2 2 2" xfId="30489"/>
    <cellStyle name="Note 4 6 3 2 2 2" xfId="30490"/>
    <cellStyle name="Total 3 7 3 2 2 2" xfId="30491"/>
    <cellStyle name="Total 2 5 3 3 2 2 2" xfId="30492"/>
    <cellStyle name="Total 2 3 3 3 2 2 2" xfId="30493"/>
    <cellStyle name="Total 2 2 6 3 2 2 2" xfId="30494"/>
    <cellStyle name="Total 2 2 2 3 3 2 2 2" xfId="30495"/>
    <cellStyle name="StmtTtl2 3 3 2 2 2" xfId="30496"/>
    <cellStyle name="Output 3 7 3 2 2 2" xfId="30497"/>
    <cellStyle name="Note 2 5 2 3 2 2 2" xfId="30498"/>
    <cellStyle name="Note 2 2 2 2 3 2 2 2" xfId="30499"/>
    <cellStyle name="Note 2 3 2 2 3 2 2 2" xfId="30500"/>
    <cellStyle name="Note 2 4 2 2 3 2 2 2" xfId="30501"/>
    <cellStyle name="Note 3 3 2 3 2 2 2" xfId="30502"/>
    <cellStyle name="Input 8 3 3 2 2 2" xfId="30503"/>
    <cellStyle name="Input 6 4 3 2 2 2" xfId="30504"/>
    <cellStyle name="Input 4 6 3 2 2 2" xfId="30505"/>
    <cellStyle name="Input 2 3 3 3 2 2 2" xfId="30506"/>
    <cellStyle name="Input 2 2 3 3 3 2 2 2" xfId="30507"/>
    <cellStyle name="Input 2 2 6 3 2 2 2" xfId="30508"/>
    <cellStyle name="Calculation 2 3 3 3 2 2 2" xfId="30509"/>
    <cellStyle name="Calculation 2 2 3 3 3 2 2 2" xfId="30510"/>
    <cellStyle name="Calculation 2 2 6 3 2 2 2" xfId="30511"/>
    <cellStyle name="Output 2 4 3 3 2 2 2" xfId="30512"/>
    <cellStyle name="Output 2 2 4 3 3 2 2 2" xfId="30513"/>
    <cellStyle name="Output 2 2 2 3 3 2 2 2" xfId="30514"/>
    <cellStyle name="Output 2 11 3 2 2 2" xfId="30515"/>
    <cellStyle name="Note 3 2 8 3 2 2 2" xfId="30516"/>
    <cellStyle name="Note 2 3 4 3 2 2 2" xfId="30517"/>
    <cellStyle name="Note 2 10 3 2 2 2" xfId="30518"/>
    <cellStyle name="Note 4 2 5 3 2 2 2" xfId="30519"/>
    <cellStyle name="Style 21 4 2 2 2" xfId="30520"/>
    <cellStyle name="Style 21 2 4 2 2 2" xfId="30521"/>
    <cellStyle name="Style 22 4 2 2 2" xfId="30522"/>
    <cellStyle name="Style 22 2 4 2 2 2" xfId="30523"/>
    <cellStyle name="Style 23 4 2 2 2" xfId="30524"/>
    <cellStyle name="Style 23 2 4 2 2 2" xfId="30525"/>
    <cellStyle name="Style 24 4 2 2 2" xfId="30526"/>
    <cellStyle name="Style 24 2 4 2 2 2" xfId="30527"/>
    <cellStyle name="Style 25 4 2 2 2" xfId="30528"/>
    <cellStyle name="Style 25 2 4 2 2 2" xfId="30529"/>
    <cellStyle name="Style 26 4 2 2 2" xfId="30530"/>
    <cellStyle name="Style 26 2 4 2 2 2" xfId="30531"/>
    <cellStyle name="styleColumnTitles 4 2 2 2" xfId="30532"/>
    <cellStyle name="styleColumnTitles 2 4 2 2 2" xfId="30533"/>
    <cellStyle name="styleDateRange 4 2 2 2" xfId="30534"/>
    <cellStyle name="styleDateRange 2 4 2 2 2" xfId="30535"/>
    <cellStyle name="styleSeriesAttributes 4 2 2 2" xfId="30536"/>
    <cellStyle name="styleSeriesAttributes 2 4 2 2 2" xfId="30537"/>
    <cellStyle name="styleSeriesData 4 2 2 2" xfId="30538"/>
    <cellStyle name="styleSeriesData 2 4 2 2 2" xfId="30539"/>
    <cellStyle name="styleSeriesDataForecast 4 2 2 2" xfId="30540"/>
    <cellStyle name="styleSeriesDataForecast 2 4 2 2 2" xfId="30541"/>
    <cellStyle name="styleSeriesDataForecastNA 4 2 2 2" xfId="30542"/>
    <cellStyle name="styleSeriesDataForecastNA 2 4 2 2 2" xfId="30543"/>
    <cellStyle name="styleSeriesDataNA 4 2 2 2" xfId="30544"/>
    <cellStyle name="styleSeriesDataNA 2 4 2 2 2" xfId="30545"/>
    <cellStyle name="Style 21 2 2 3 2 2 2" xfId="30546"/>
    <cellStyle name="Style 22 2 2 3 2 2 2" xfId="30547"/>
    <cellStyle name="Style 23 2 2 3 2 2 2" xfId="30548"/>
    <cellStyle name="Style 24 2 2 3 2 2 2" xfId="30549"/>
    <cellStyle name="Style 25 2 2 3 2 2 2" xfId="30550"/>
    <cellStyle name="Style 26 2 2 3 2 2 2" xfId="30551"/>
    <cellStyle name="styleColumnTitles 2 2 3 2 2 2" xfId="30552"/>
    <cellStyle name="styleDateRange 2 2 3 2 2 2" xfId="30553"/>
    <cellStyle name="styleSeriesAttributes 2 2 3 2 2 2" xfId="30554"/>
    <cellStyle name="styleSeriesData 2 2 3 2 2 2" xfId="30555"/>
    <cellStyle name="styleSeriesDataForecast 2 2 3 2 2 2" xfId="30556"/>
    <cellStyle name="styleSeriesDataForecastNA 2 2 3 2 2 2" xfId="30557"/>
    <cellStyle name="styleSeriesDataNA 2 2 3 2 2 2" xfId="30558"/>
    <cellStyle name="Total 2 6 3 3 2 2 2" xfId="30559"/>
    <cellStyle name="Calculation 7 2 3 2 2 2" xfId="30560"/>
    <cellStyle name="Calculation 2 6 2 3 2 2 2" xfId="30561"/>
    <cellStyle name="Calculation 3 2 2 3 2 2 2" xfId="30562"/>
    <cellStyle name="Calculation 4 2 2 3 2 2 2" xfId="30563"/>
    <cellStyle name="Calculation 5 4 3 2 2 2" xfId="30564"/>
    <cellStyle name="Output 9 2 3 2 2 2" xfId="30565"/>
    <cellStyle name="Input 10 2 3 2 2 2" xfId="30566"/>
    <cellStyle name="Input 2 6 2 3 2 2 2" xfId="30567"/>
    <cellStyle name="Input 3 2 2 3 2 2 2" xfId="30568"/>
    <cellStyle name="Input 4 2 2 3 2 2 2" xfId="30569"/>
    <cellStyle name="Input 5 2 2 3 2 2 2" xfId="30570"/>
    <cellStyle name="Note 11 2 3 2 2 2" xfId="30571"/>
    <cellStyle name="Note 2 6 2 3 2 2 2" xfId="30572"/>
    <cellStyle name="Note 2 2 3 2 3 2 2 2" xfId="30573"/>
    <cellStyle name="Note 3 4 2 3 2 2 2" xfId="30574"/>
    <cellStyle name="Note 3 2 4 2 3 2 2 2" xfId="30575"/>
    <cellStyle name="Note 4 3 2 3 2 2 2" xfId="30576"/>
    <cellStyle name="Note 4 2 2 2 3 2 2 2" xfId="30577"/>
    <cellStyle name="Note 5 5 3 2 2 2" xfId="30578"/>
    <cellStyle name="Note 5 2 4 3 2 2 2" xfId="30579"/>
    <cellStyle name="Note 6 5 3 2 2 2" xfId="30580"/>
    <cellStyle name="Note 6 2 4 3 2 2 2" xfId="30581"/>
    <cellStyle name="Note 7 5 3 2 2 2" xfId="30582"/>
    <cellStyle name="Note 7 2 4 3 2 2 2" xfId="30583"/>
    <cellStyle name="Note 8 4 3 2 2 2" xfId="30584"/>
    <cellStyle name="Note 9 3 3 2 2 2" xfId="30585"/>
    <cellStyle name="Output 7 2 3 2 2 2" xfId="30586"/>
    <cellStyle name="Output 2 6 2 3 2 2 2" xfId="30587"/>
    <cellStyle name="Output 3 2 2 3 2 2 2" xfId="30588"/>
    <cellStyle name="Output 4 2 2 3 2 2 2" xfId="30589"/>
    <cellStyle name="Output 5 5 3 2 2 2" xfId="30590"/>
    <cellStyle name="Total 7 2 3 2 2 2" xfId="30591"/>
    <cellStyle name="Total 2 7 2 3 2 2 2" xfId="30592"/>
    <cellStyle name="Total 3 2 2 3 2 2 2" xfId="30593"/>
    <cellStyle name="Total 4 2 2 3 2 2 2" xfId="30594"/>
    <cellStyle name="Total 5 5 3 2 2 2" xfId="30595"/>
    <cellStyle name="Calculation 8 2 3 2 2 2" xfId="30596"/>
    <cellStyle name="Input 12 2 3 2 2 2" xfId="30597"/>
    <cellStyle name="Input 11 2 3 2 2 2" xfId="30598"/>
    <cellStyle name="Calculation 9 2 3 2 2 2" xfId="30599"/>
    <cellStyle name="Output 8 2 3 2 2 2" xfId="30600"/>
    <cellStyle name="Total 8 2 3 2 2 2" xfId="30601"/>
    <cellStyle name="Total 9 2 3 2 2 2" xfId="30602"/>
    <cellStyle name="Output 5 2 2 3 2 2 2" xfId="30603"/>
    <cellStyle name="Output 4 3 2 3 2 2 2" xfId="30604"/>
    <cellStyle name="Output 3 3 2 3 2 2 2" xfId="30605"/>
    <cellStyle name="Output 2 7 2 3 2 2 2" xfId="30606"/>
    <cellStyle name="Output 11 2 3 2 2 2" xfId="30607"/>
    <cellStyle name="Input 5 3 2 3 2 2 2" xfId="30608"/>
    <cellStyle name="Input 4 3 2 3 2 2 2" xfId="30609"/>
    <cellStyle name="Input 3 3 2 3 2 2 2" xfId="30610"/>
    <cellStyle name="Input 2 7 2 3 2 2 2" xfId="30611"/>
    <cellStyle name="Calculation 10 2 3 2 2 2" xfId="30612"/>
    <cellStyle name="Input 14 2 3 2 2 2" xfId="30613"/>
    <cellStyle name="Input 16 2 3 2 2 2" xfId="30614"/>
    <cellStyle name="Input 17 2 3 2 2 2" xfId="30615"/>
    <cellStyle name="Input 15 2 3 2 2 2" xfId="30616"/>
    <cellStyle name="Input 13 2 3 2 2 2" xfId="30617"/>
    <cellStyle name="Calculation 5 2 2 3 2 2 2" xfId="30618"/>
    <cellStyle name="Calculation 4 3 2 3 2 2 2" xfId="30619"/>
    <cellStyle name="Calculation 3 3 2 3 2 2 2" xfId="30620"/>
    <cellStyle name="Calculation 2 7 2 3 2 2 2" xfId="30621"/>
    <cellStyle name="Calculation 11 2 3 2 2 2" xfId="30622"/>
    <cellStyle name="Output 10 2 3 2 2 2" xfId="30623"/>
    <cellStyle name="Note 12 2 3 2 2 2" xfId="30624"/>
    <cellStyle name="Note 2 7 2 3 2 2 2" xfId="30625"/>
    <cellStyle name="Note 2 2 4 2 3 2 2 2" xfId="30626"/>
    <cellStyle name="Note 3 5 2 3 2 2 2" xfId="30627"/>
    <cellStyle name="Note 3 2 5 2 3 2 2 2" xfId="30628"/>
    <cellStyle name="Note 4 4 2 3 2 2 2" xfId="30629"/>
    <cellStyle name="Note 4 2 3 2 3 2 2 2" xfId="30630"/>
    <cellStyle name="Note 5 3 2 3 2 2 2" xfId="30631"/>
    <cellStyle name="Note 5 2 2 2 3 2 2 2" xfId="30632"/>
    <cellStyle name="Note 6 3 2 3 2 2 2" xfId="30633"/>
    <cellStyle name="Note 6 2 2 2 3 2 2 2" xfId="30634"/>
    <cellStyle name="Note 7 3 2 3 2 2 2" xfId="30635"/>
    <cellStyle name="Note 7 2 2 2 3 2 2 2" xfId="30636"/>
    <cellStyle name="Note 8 2 2 3 2 2 2" xfId="30637"/>
    <cellStyle name="Note 9 2 2 3 2 2 2" xfId="30638"/>
    <cellStyle name="Output 12 2 3 2 2 2" xfId="30639"/>
    <cellStyle name="Output 2 8 2 3 2 2 2" xfId="30640"/>
    <cellStyle name="Output 3 4 2 3 2 2 2" xfId="30641"/>
    <cellStyle name="Output 4 4 2 3 2 2 2" xfId="30642"/>
    <cellStyle name="Output 5 3 2 3 2 2 2" xfId="30643"/>
    <cellStyle name="Total 10 2 3 2 2 2" xfId="30644"/>
    <cellStyle name="Total 11 2 3 2 2 2" xfId="30645"/>
    <cellStyle name="Total 2 8 2 3 2 2 2" xfId="30646"/>
    <cellStyle name="Total 3 3 2 3 2 2 2" xfId="30647"/>
    <cellStyle name="Total 4 3 2 3 2 2 2" xfId="30648"/>
    <cellStyle name="Total 5 2 2 3 2 2 2" xfId="30649"/>
    <cellStyle name="Total 12 2 3 2 2 2" xfId="30650"/>
    <cellStyle name="Total 2 9 2 3 2 2 2" xfId="30651"/>
    <cellStyle name="Total 3 4 2 3 2 2 2" xfId="30652"/>
    <cellStyle name="Total 4 4 2 3 2 2 2" xfId="30653"/>
    <cellStyle name="Total 5 3 2 3 2 2 2" xfId="30654"/>
    <cellStyle name="Input 18 2 3 2 2 2" xfId="30655"/>
    <cellStyle name="Calculation 12 2 3 2 2 2" xfId="30656"/>
    <cellStyle name="Input 19 2 3 2 2 2" xfId="30657"/>
    <cellStyle name="Note 13 2 3 2 2 2" xfId="30658"/>
    <cellStyle name="Output 13 2 3 2 2 2" xfId="30659"/>
    <cellStyle name="Total 13 2 3 2 2 2" xfId="30660"/>
    <cellStyle name="Calculation 2 8 2 3 2 2 2" xfId="30661"/>
    <cellStyle name="Calculation 3 4 2 3 2 2 2" xfId="30662"/>
    <cellStyle name="Calculation 4 4 2 3 2 2 2" xfId="30663"/>
    <cellStyle name="Calculation 5 3 2 3 2 2 2" xfId="30664"/>
    <cellStyle name="Input 2 8 2 3 2 2 2" xfId="30665"/>
    <cellStyle name="Input 3 4 2 3 2 2 2" xfId="30666"/>
    <cellStyle name="Input 4 4 2 3 2 2 2" xfId="30667"/>
    <cellStyle name="Input 5 4 2 3 2 2 2" xfId="30668"/>
    <cellStyle name="Note 2 8 2 3 2 2 2" xfId="30669"/>
    <cellStyle name="Note 2 2 5 2 3 2 2 2" xfId="30670"/>
    <cellStyle name="Note 3 6 2 3 2 2 2" xfId="30671"/>
    <cellStyle name="Note 3 2 6 2 3 2 2 2" xfId="30672"/>
    <cellStyle name="Note 4 5 2 3 2 2 2" xfId="30673"/>
    <cellStyle name="Note 4 2 4 2 3 2 2 2" xfId="30674"/>
    <cellStyle name="Note 5 4 2 3 2 2 2" xfId="30675"/>
    <cellStyle name="Note 5 2 3 2 3 2 2 2" xfId="30676"/>
    <cellStyle name="Note 6 4 2 3 2 2 2" xfId="30677"/>
    <cellStyle name="Note 6 2 3 2 3 2 2 2" xfId="30678"/>
    <cellStyle name="Note 7 4 2 3 2 2 2" xfId="30679"/>
    <cellStyle name="Note 7 2 3 2 3 2 2 2" xfId="30680"/>
    <cellStyle name="Note 8 3 2 3 2 2 2" xfId="30681"/>
    <cellStyle name="Output 2 9 2 3 2 2 2" xfId="30682"/>
    <cellStyle name="Output 3 5 2 3 2 2 2" xfId="30683"/>
    <cellStyle name="Output 4 5 2 3 2 2 2" xfId="30684"/>
    <cellStyle name="Output 5 4 2 3 2 2 2" xfId="30685"/>
    <cellStyle name="Total 2 10 2 3 2 2 2" xfId="30686"/>
    <cellStyle name="Total 3 5 2 3 2 2 2" xfId="30687"/>
    <cellStyle name="Total 4 5 2 3 2 2 2" xfId="30688"/>
    <cellStyle name="Total 5 4 2 3 2 2 2" xfId="30689"/>
    <cellStyle name="Input 20 2 3 2 2 2" xfId="30690"/>
    <cellStyle name="Input 21 2 3 2 2 2" xfId="30691"/>
    <cellStyle name="Note 12 2 2 4 2" xfId="30692"/>
    <cellStyle name="Output 9 2 2 4 2" xfId="30693"/>
    <cellStyle name="Input 4 6 2 4 2" xfId="30694"/>
    <cellStyle name="Note 2 4 3 2 4 2" xfId="30695"/>
    <cellStyle name="Note 2 2 5 4 4 2" xfId="30696"/>
    <cellStyle name="Input 14 4 4 2" xfId="30697"/>
    <cellStyle name="Output 3 4 2 2 5 2" xfId="30698"/>
    <cellStyle name="Output 2 7 2 7 2" xfId="30699"/>
    <cellStyle name="Calculation 3 2 2 7 2" xfId="30700"/>
    <cellStyle name="Style 25 8 2" xfId="30701"/>
    <cellStyle name="Note 3 2 2 2 7 2" xfId="30702"/>
    <cellStyle name="Output 9 8 2" xfId="30703"/>
    <cellStyle name="Calculation 2 2 5 2 5 2" xfId="30704"/>
    <cellStyle name="Input 4 2 5 4 2" xfId="30705"/>
    <cellStyle name="Note 7 4 9 2" xfId="30706"/>
    <cellStyle name="Total 2 2 2 4 6 2" xfId="30707"/>
    <cellStyle name="Total 2 2 7 5 2" xfId="30708"/>
    <cellStyle name="Input 12 2 2 4 2" xfId="30709"/>
    <cellStyle name="styleSeriesAttributes 2 3 4 2" xfId="30710"/>
    <cellStyle name="Total 2 5 2 2 4 2" xfId="30711"/>
    <cellStyle name="Calculation 2 2 2 2 2 4 2" xfId="30712"/>
    <cellStyle name="Output 5 3 4 4 2" xfId="30713"/>
    <cellStyle name="Note 4 2 4 5 4 2" xfId="30714"/>
    <cellStyle name="Calculation 3 4 2 7 2" xfId="30715"/>
    <cellStyle name="Note 5 3 2 7 2" xfId="30716"/>
    <cellStyle name="Output 4 2 2 7 2" xfId="30717"/>
    <cellStyle name="styleDateRange 2 2 7 2" xfId="30718"/>
    <cellStyle name="Note 4 2 5 7 2" xfId="30719"/>
    <cellStyle name="Calculation 7 6 2 2 2" xfId="30720"/>
    <cellStyle name="Calculation 2 6 6 2 2 2" xfId="30721"/>
    <cellStyle name="Calculation 3 2 6 2 2 2" xfId="30722"/>
    <cellStyle name="Calculation 4 2 6 2 2 2" xfId="30723"/>
    <cellStyle name="Calculation 5 7 2 2 2" xfId="30724"/>
    <cellStyle name="Output 9 5 2 2 2" xfId="30725"/>
    <cellStyle name="Input 10 6 2 2 2" xfId="30726"/>
    <cellStyle name="Input 2 6 6 2 2 2" xfId="30727"/>
    <cellStyle name="Input 3 2 6 2 2 2" xfId="30728"/>
    <cellStyle name="Input 4 2 6 2 2 2" xfId="30729"/>
    <cellStyle name="Input 5 2 6 2 2 2" xfId="30730"/>
    <cellStyle name="styleSeriesDataNA 2 3 5 2" xfId="30731"/>
    <cellStyle name="Note 11 5 2 2 2" xfId="30732"/>
    <cellStyle name="Note 2 6 5 2 2 2" xfId="30733"/>
    <cellStyle name="Note 2 2 3 5 2 2 2" xfId="30734"/>
    <cellStyle name="Note 3 4 5 2 2 2" xfId="30735"/>
    <cellStyle name="Note 3 2 4 5 2 2 2" xfId="30736"/>
    <cellStyle name="Note 4 3 5 2 2 2" xfId="30737"/>
    <cellStyle name="Note 4 2 2 5 2 2 2" xfId="30738"/>
    <cellStyle name="Note 5 8 2 2 2" xfId="30739"/>
    <cellStyle name="Note 5 2 7 2 2 2" xfId="30740"/>
    <cellStyle name="Note 6 8 2 2 2" xfId="30741"/>
    <cellStyle name="Note 6 2 7 2 2 2" xfId="30742"/>
    <cellStyle name="Note 7 8 2 2 2" xfId="30743"/>
    <cellStyle name="Note 7 2 7 2 2 2" xfId="30744"/>
    <cellStyle name="Note 8 7 2 2 2" xfId="30745"/>
    <cellStyle name="Note 9 6 2 2 2" xfId="30746"/>
    <cellStyle name="Output 7 5 2 2 2" xfId="30747"/>
    <cellStyle name="Output 2 6 5 2 2 2" xfId="30748"/>
    <cellStyle name="Output 3 2 5 2 2 2" xfId="30749"/>
    <cellStyle name="Output 4 2 5 2 2 2" xfId="30750"/>
    <cellStyle name="Output 5 8 2 2 2" xfId="30751"/>
    <cellStyle name="Total 7 5 2 2 2" xfId="30752"/>
    <cellStyle name="Total 2 7 5 2 2 2" xfId="30753"/>
    <cellStyle name="Total 3 2 5 2 2 2" xfId="30754"/>
    <cellStyle name="Total 4 2 5 2 2 2" xfId="30755"/>
    <cellStyle name="Total 5 8 2 2 2" xfId="30756"/>
    <cellStyle name="Calculation 8 6 2 2 2" xfId="30757"/>
    <cellStyle name="Input 12 6 2 2 2" xfId="30758"/>
    <cellStyle name="Input 11 6 2 2 2" xfId="30759"/>
    <cellStyle name="Calculation 9 6 2 2 2" xfId="30760"/>
    <cellStyle name="Output 8 5 2 2 2" xfId="30761"/>
    <cellStyle name="Total 8 5 2 2 2" xfId="30762"/>
    <cellStyle name="Total 9 5 2 2 2" xfId="30763"/>
    <cellStyle name="Calculation 10 2 2 4 2" xfId="30764"/>
    <cellStyle name="styleSeriesDataForecast 2 2 2 4 2" xfId="30765"/>
    <cellStyle name="Total 2 3 3 2 4 2" xfId="30766"/>
    <cellStyle name="Input 5 5 2 4 2" xfId="30767"/>
    <cellStyle name="Note 13 4 4 2" xfId="30768"/>
    <cellStyle name="Input 14 5 4 2" xfId="30769"/>
    <cellStyle name="Note 7 2 3 2 7 2" xfId="30770"/>
    <cellStyle name="Total 3 3 2 7 2" xfId="30771"/>
    <cellStyle name="Total 2 7 2 2 5 2" xfId="30772"/>
    <cellStyle name="Output 2 2 4 3 2 5 2" xfId="30773"/>
    <cellStyle name="Output 5 2 5 2 2 2" xfId="30774"/>
    <cellStyle name="Output 4 3 5 2 2 2" xfId="30775"/>
    <cellStyle name="Output 3 3 5 2 2 2" xfId="30776"/>
    <cellStyle name="Output 2 7 5 2 2 2" xfId="30777"/>
    <cellStyle name="Output 11 5 2 2 2" xfId="30778"/>
    <cellStyle name="Input 5 3 6 2 2 2" xfId="30779"/>
    <cellStyle name="Input 4 3 6 2 2 2" xfId="30780"/>
    <cellStyle name="Input 3 3 6 2 2 2" xfId="30781"/>
    <cellStyle name="Input 2 7 6 2 2 2" xfId="30782"/>
    <cellStyle name="Calculation 10 6 2 2 2" xfId="30783"/>
    <cellStyle name="Input 14 6 2 2 2" xfId="30784"/>
    <cellStyle name="Input 16 6 2 2 2" xfId="30785"/>
    <cellStyle name="Input 17 6 2 2 2" xfId="30786"/>
    <cellStyle name="Input 15 6 2 2 2" xfId="30787"/>
    <cellStyle name="Input 13 6 2 2 2" xfId="30788"/>
    <cellStyle name="Calculation 5 2 6 2 2 2" xfId="30789"/>
    <cellStyle name="Calculation 4 3 6 2 2 2" xfId="30790"/>
    <cellStyle name="Calculation 3 3 6 2 2 2" xfId="30791"/>
    <cellStyle name="Calculation 2 7 6 2 2 2" xfId="30792"/>
    <cellStyle name="Calculation 11 6 2 2 2" xfId="30793"/>
    <cellStyle name="Total 13 3 5 2" xfId="30794"/>
    <cellStyle name="Total 13 2 2 5 2" xfId="30795"/>
    <cellStyle name="Output 10 5 2 2 2" xfId="30796"/>
    <cellStyle name="Note 12 5 2 2 2" xfId="30797"/>
    <cellStyle name="Note 2 7 5 2 2 2" xfId="30798"/>
    <cellStyle name="Note 2 2 4 5 2 2 2" xfId="30799"/>
    <cellStyle name="Note 3 5 5 2 2 2" xfId="30800"/>
    <cellStyle name="Note 3 2 5 5 2 2 2" xfId="30801"/>
    <cellStyle name="Note 4 4 5 2 2 2" xfId="30802"/>
    <cellStyle name="Note 4 2 3 5 2 2 2" xfId="30803"/>
    <cellStyle name="Note 5 3 5 2 2 2" xfId="30804"/>
    <cellStyle name="Note 5 2 2 5 2 2 2" xfId="30805"/>
    <cellStyle name="Note 6 3 5 2 2 2" xfId="30806"/>
    <cellStyle name="Note 6 2 2 5 2 2 2" xfId="30807"/>
    <cellStyle name="Note 7 3 5 2 2 2" xfId="30808"/>
    <cellStyle name="Note 7 2 2 5 2 2 2" xfId="30809"/>
    <cellStyle name="Note 8 2 5 2 2 2" xfId="30810"/>
    <cellStyle name="Note 9 2 5 2 2 2" xfId="30811"/>
    <cellStyle name="Output 12 5 2 2 2" xfId="30812"/>
    <cellStyle name="Output 2 8 5 2 2 2" xfId="30813"/>
    <cellStyle name="Output 3 4 5 2 2 2" xfId="30814"/>
    <cellStyle name="Output 4 4 5 2 2 2" xfId="30815"/>
    <cellStyle name="Output 5 3 5 2 2 2" xfId="30816"/>
    <cellStyle name="Total 10 5 2 2 2" xfId="30817"/>
    <cellStyle name="Total 11 5 2 2 2" xfId="30818"/>
    <cellStyle name="Total 2 8 5 2 2 2" xfId="30819"/>
    <cellStyle name="Total 3 3 5 2 2 2" xfId="30820"/>
    <cellStyle name="Total 4 3 5 2 2 2" xfId="30821"/>
    <cellStyle name="Total 5 2 5 2 2 2" xfId="30822"/>
    <cellStyle name="Total 12 5 2 2 2" xfId="30823"/>
    <cellStyle name="Total 2 9 5 2 2 2" xfId="30824"/>
    <cellStyle name="Total 3 4 5 2 2 2" xfId="30825"/>
    <cellStyle name="Total 4 4 5 2 2 2" xfId="30826"/>
    <cellStyle name="Total 5 3 5 2 2 2" xfId="30827"/>
    <cellStyle name="Calculation 10 5 4 2" xfId="30828"/>
    <cellStyle name="Style 21 2 2 2 4 2" xfId="30829"/>
    <cellStyle name="Output 2 2 6 2 4 2" xfId="30830"/>
    <cellStyle name="Input 2 9 2 4 2" xfId="30831"/>
    <cellStyle name="Total 3 4 4 4 2" xfId="30832"/>
    <cellStyle name="Calculation 9 4 4 2" xfId="30833"/>
    <cellStyle name="Note 2 2 5 2 7 2" xfId="30834"/>
    <cellStyle name="Output 2 8 2 7 2" xfId="30835"/>
    <cellStyle name="Input 12 2 7 2" xfId="30836"/>
    <cellStyle name="Output 2 2 6 7 2" xfId="30837"/>
    <cellStyle name="Input 18 6 2 2 2" xfId="30838"/>
    <cellStyle name="Input 2 2 2 3 3 5 2" xfId="30839"/>
    <cellStyle name="Calculation 12 6 2 2 2" xfId="30840"/>
    <cellStyle name="Input 19 6 2 2 2" xfId="30841"/>
    <cellStyle name="Note 13 6 2 2 2" xfId="30842"/>
    <cellStyle name="Output 13 6 2 2 2" xfId="30843"/>
    <cellStyle name="Total 13 6 2 2 2" xfId="30844"/>
    <cellStyle name="Note 2 2 3 3 4 2" xfId="30845"/>
    <cellStyle name="Style 22 2 9 2" xfId="30846"/>
    <cellStyle name="Calculation 2 8 6 2 2 2" xfId="30847"/>
    <cellStyle name="Calculation 3 4 6 2 2 2" xfId="30848"/>
    <cellStyle name="Calculation 4 4 6 2 2 2" xfId="30849"/>
    <cellStyle name="Calculation 5 3 6 2 2 2" xfId="30850"/>
    <cellStyle name="Input 2 8 6 2 2 2" xfId="30851"/>
    <cellStyle name="Input 3 4 6 2 2 2" xfId="30852"/>
    <cellStyle name="Input 4 4 6 2 2 2" xfId="30853"/>
    <cellStyle name="Input 5 4 6 2 2 2" xfId="30854"/>
    <cellStyle name="Input 5 5 8 2" xfId="30855"/>
    <cellStyle name="Note 2 8 6 2 2 2" xfId="30856"/>
    <cellStyle name="Note 2 2 5 6 2 2 2" xfId="30857"/>
    <cellStyle name="Note 3 6 6 2 2 2" xfId="30858"/>
    <cellStyle name="Note 3 2 6 6 2 2 2" xfId="30859"/>
    <cellStyle name="Note 4 5 6 2 2 2" xfId="30860"/>
    <cellStyle name="Note 4 2 4 6 2 2 2" xfId="30861"/>
    <cellStyle name="Note 5 4 6 2 2 2" xfId="30862"/>
    <cellStyle name="Note 5 2 3 6 2 2 2" xfId="30863"/>
    <cellStyle name="Note 6 4 6 2 2 2" xfId="30864"/>
    <cellStyle name="Note 6 2 3 6 2 2 2" xfId="30865"/>
    <cellStyle name="Note 7 4 6 2 2 2" xfId="30866"/>
    <cellStyle name="Note 7 2 3 6 2 2 2" xfId="30867"/>
    <cellStyle name="Note 8 3 6 2 2 2" xfId="30868"/>
    <cellStyle name="Output 2 9 6 2 2 2" xfId="30869"/>
    <cellStyle name="Output 3 5 6 2 2 2" xfId="30870"/>
    <cellStyle name="Output 4 5 6 2 2 2" xfId="30871"/>
    <cellStyle name="Output 5 4 6 2 2 2" xfId="30872"/>
    <cellStyle name="Total 2 10 6 2 2 2" xfId="30873"/>
    <cellStyle name="Total 3 5 6 2 2 2" xfId="30874"/>
    <cellStyle name="Total 4 5 6 2 2 2" xfId="30875"/>
    <cellStyle name="Total 5 4 6 2 2 2" xfId="30876"/>
    <cellStyle name="Input 20 6 2 2 2" xfId="30877"/>
    <cellStyle name="Input 3 2 3 4 2" xfId="30878"/>
    <cellStyle name="Note 3 5 2 8 2" xfId="30879"/>
    <cellStyle name="Output 2 2 5 8 2" xfId="30880"/>
    <cellStyle name="StmtTtl2 4 5 2" xfId="30881"/>
    <cellStyle name="Input 21 6 2 2 2" xfId="30882"/>
    <cellStyle name="Calculation 2 5 3 3 4 2" xfId="30883"/>
    <cellStyle name="styleColumnTitles 2 3 5 2" xfId="30884"/>
    <cellStyle name="Note 3 2 5 2 8 2" xfId="30885"/>
    <cellStyle name="Input 10 3 2 2 2 2" xfId="30886"/>
    <cellStyle name="Input 2 4 4 2 2 2 2" xfId="30887"/>
    <cellStyle name="Input 7 4 2 2 2 2" xfId="30888"/>
    <cellStyle name="Note 4 2 6 4 2 2 2" xfId="30889"/>
    <cellStyle name="Note 3 3 3 4 2 2 2" xfId="30890"/>
    <cellStyle name="Note 2 5 3 4 2 2 2" xfId="30891"/>
    <cellStyle name="Note 2 4 2 3 4 2 2 2" xfId="30892"/>
    <cellStyle name="Note 2 3 2 3 4 2 2 2" xfId="30893"/>
    <cellStyle name="Note 2 2 2 3 4 2 2 2" xfId="30894"/>
    <cellStyle name="Input 6 6 2 2 2" xfId="30895"/>
    <cellStyle name="Input 4 7 2 2 2" xfId="30896"/>
    <cellStyle name="Input 2 4 5 2 2 2" xfId="30897"/>
    <cellStyle name="Input 2 2 4 5 2 2 2" xfId="30898"/>
    <cellStyle name="Input 2 2 2 5 2 2 2" xfId="30899"/>
    <cellStyle name="Input 2 12 2 2 2" xfId="30900"/>
    <cellStyle name="Input 24 2 2 2" xfId="30901"/>
    <cellStyle name="Note 14 2 2 2" xfId="30902"/>
    <cellStyle name="Note 2 11 2 2 2" xfId="30903"/>
    <cellStyle name="Note 2 2 8 2 2 2" xfId="30904"/>
    <cellStyle name="Calculation 2 9 4 2 2 2" xfId="30905"/>
    <cellStyle name="Calculation 2 2 5 4 2 2 2" xfId="30906"/>
    <cellStyle name="Calculation 2 2 2 2 4 2 2 2" xfId="30907"/>
    <cellStyle name="Calculation 2 2 3 2 4 2 2 2" xfId="30908"/>
    <cellStyle name="Calculation 2 2 4 2 4 2 2 2" xfId="30909"/>
    <cellStyle name="Calculation 2 3 2 4 2 2 2" xfId="30910"/>
    <cellStyle name="Calculation 2 4 2 4 2 2 2" xfId="30911"/>
    <cellStyle name="Calculation 2 5 2 4 2 2 2" xfId="30912"/>
    <cellStyle name="Calculation 3 5 4 2 2 2" xfId="30913"/>
    <cellStyle name="Note 3 2 10 2 2 2" xfId="30914"/>
    <cellStyle name="Note 3 2 2 5 2 2 2" xfId="30915"/>
    <cellStyle name="Note 4 8 2 2 2" xfId="30916"/>
    <cellStyle name="Output 3 8 2 2 2 2" xfId="30917"/>
    <cellStyle name="Calculation 2 3 5 2 2 2" xfId="30918"/>
    <cellStyle name="Calculation 2 2 4 5 2 2 2" xfId="30919"/>
    <cellStyle name="Calculation 2 2 3 5 2 2 2" xfId="30920"/>
    <cellStyle name="Calculation 2 2 2 5 2 2 2" xfId="30921"/>
    <cellStyle name="Calculation 2 2 8 2 2 2" xfId="30922"/>
    <cellStyle name="Calculation 13 2 2 2" xfId="30923"/>
    <cellStyle name="Calculation 4 2 4 4 2" xfId="30924"/>
    <cellStyle name="Output 4 5 9 2" xfId="30925"/>
    <cellStyle name="Total 4 5 4 5 2" xfId="30926"/>
    <cellStyle name="Total 2 2 2 4 2 2 2 2" xfId="30927"/>
    <cellStyle name="Total 2 2 4 4 2 2 2 2" xfId="30928"/>
    <cellStyle name="Total 14 2 2 2" xfId="30929"/>
    <cellStyle name="Header2 2 4 2 2 2" xfId="30930"/>
    <cellStyle name="Input 2 5 3 4 2 2 2" xfId="30931"/>
    <cellStyle name="Input 2 9 4 2 2 2" xfId="30932"/>
    <cellStyle name="Input 2 2 5 4 2 2 2" xfId="30933"/>
    <cellStyle name="Input 2 2 2 2 4 2 2 2" xfId="30934"/>
    <cellStyle name="Input 2 2 3 2 4 2 2 2" xfId="30935"/>
    <cellStyle name="Input 2 2 4 2 4 2 2 2" xfId="30936"/>
    <cellStyle name="Input 2 3 2 4 2 2 2" xfId="30937"/>
    <cellStyle name="Input 2 4 2 4 2 2 2" xfId="30938"/>
    <cellStyle name="Input 2 5 2 4 2 2 2" xfId="30939"/>
    <cellStyle name="Input 3 5 4 2 2 2" xfId="30940"/>
    <cellStyle name="Input 4 5 4 2 2 2" xfId="30941"/>
    <cellStyle name="Input 5 5 4 2 2 2" xfId="30942"/>
    <cellStyle name="Input 6 3 4 2 2 2" xfId="30943"/>
    <cellStyle name="Input 7 2 4 2 2 2" xfId="30944"/>
    <cellStyle name="Input 8 2 4 2 2 2" xfId="30945"/>
    <cellStyle name="Calculation 3 6 8 2" xfId="30946"/>
    <cellStyle name="Output 3 3 2 8 2" xfId="30947"/>
    <cellStyle name="Calculation 2 5 3 4 2 2 2" xfId="30948"/>
    <cellStyle name="Total 2 6 4 5 2" xfId="30949"/>
    <cellStyle name="Total 2 4 3 4 2 2 2" xfId="30950"/>
    <cellStyle name="Total 2 2 4 3 4 2 2 2" xfId="30951"/>
    <cellStyle name="Total 2 2 3 3 4 2 2 2" xfId="30952"/>
    <cellStyle name="Total 2 12 4 2 2 2" xfId="30953"/>
    <cellStyle name="Output 14 2 2 2" xfId="30954"/>
    <cellStyle name="Note 2 4 6 2 2 2" xfId="30955"/>
    <cellStyle name="Calculation 2 2 7 2 2 2 2" xfId="30956"/>
    <cellStyle name="Calculation 2 2 4 4 2 2 2 2" xfId="30957"/>
    <cellStyle name="Header2 3 2 2 2 2" xfId="30958"/>
    <cellStyle name="Input 2 2 7 2 2 2 2" xfId="30959"/>
    <cellStyle name="Input 2 3 4 2 2 2 2" xfId="30960"/>
    <cellStyle name="Input [yellow] 3 2 2 2" xfId="30961"/>
    <cellStyle name="Total 2 2 7 2 2 2 2" xfId="30962"/>
    <cellStyle name="Total 2 4 4 2 2 2 2" xfId="30963"/>
    <cellStyle name="Note 2 9 4 2 2 2" xfId="30964"/>
    <cellStyle name="Note 2 2 6 4 2 2 2" xfId="30965"/>
    <cellStyle name="Note 2 3 3 4 2 2 2" xfId="30966"/>
    <cellStyle name="Note 2 4 3 4 2 2 2" xfId="30967"/>
    <cellStyle name="Note 3 7 4 2 2 2" xfId="30968"/>
    <cellStyle name="Note 3 2 7 4 2 2 2" xfId="30969"/>
    <cellStyle name="Output 2 10 4 2 2 2" xfId="30970"/>
    <cellStyle name="Output 2 2 5 4 2 2 2" xfId="30971"/>
    <cellStyle name="Output 2 2 2 2 4 2 2 2" xfId="30972"/>
    <cellStyle name="Output 2 2 3 2 4 2 2 2" xfId="30973"/>
    <cellStyle name="Output 2 2 4 2 4 2 2 2" xfId="30974"/>
    <cellStyle name="Output 2 3 2 4 2 2 2" xfId="30975"/>
    <cellStyle name="Output 2 4 2 4 2 2 2" xfId="30976"/>
    <cellStyle name="Output 2 5 2 4 2 2 2" xfId="30977"/>
    <cellStyle name="Output 3 6 4 2 2 2" xfId="30978"/>
    <cellStyle name="Input 7 3 4 2 2 2" xfId="30979"/>
    <cellStyle name="Input 5 6 4 2 2 2" xfId="30980"/>
    <cellStyle name="Input 3 6 4 2 2 2" xfId="30981"/>
    <cellStyle name="Input 2 4 3 4 2 2 2" xfId="30982"/>
    <cellStyle name="Input 2 2 4 3 4 2 2 2" xfId="30983"/>
    <cellStyle name="Input 2 2 2 3 4 2 2 2" xfId="30984"/>
    <cellStyle name="Input 2 10 4 2 2 2" xfId="30985"/>
    <cellStyle name="Calculation 3 6 4 2 2 2" xfId="30986"/>
    <cellStyle name="Calculation 2 4 3 4 2 2 2" xfId="30987"/>
    <cellStyle name="Calculation 2 2 4 3 4 2 2 2" xfId="30988"/>
    <cellStyle name="Calculation 2 2 2 3 4 2 2 2" xfId="30989"/>
    <cellStyle name="Calculation 2 10 4 2 2 2" xfId="30990"/>
    <cellStyle name="StmtTtl2 2 4 2 2 2" xfId="30991"/>
    <cellStyle name="Total 2 11 4 2 2 2" xfId="30992"/>
    <cellStyle name="Total 2 2 5 4 2 2 2" xfId="30993"/>
    <cellStyle name="Total 2 2 2 2 4 2 2 2" xfId="30994"/>
    <cellStyle name="Total 2 2 3 2 4 2 2 2" xfId="30995"/>
    <cellStyle name="Total 2 2 4 2 4 2 2 2" xfId="30996"/>
    <cellStyle name="Total 2 3 2 4 2 2 2" xfId="30997"/>
    <cellStyle name="Total 2 4 2 4 2 2 2" xfId="30998"/>
    <cellStyle name="Total 2 5 2 4 2 2 2" xfId="30999"/>
    <cellStyle name="Total 2 6 2 4 2 2 2" xfId="31000"/>
    <cellStyle name="Total 3 6 4 2 2 2" xfId="31001"/>
    <cellStyle name="Note 4 4 2 2 4 2" xfId="31002"/>
    <cellStyle name="Input 5 2 2 2 4 2" xfId="31003"/>
    <cellStyle name="Calculation 2 2 3 3 2 4 2" xfId="31004"/>
    <cellStyle name="Output 2 2 2 2 2 4 2" xfId="31005"/>
    <cellStyle name="Note 5 4 4 4 2" xfId="31006"/>
    <cellStyle name="Calculation 5 2 4 4 2" xfId="31007"/>
    <cellStyle name="Note 4 2 3 4 5 2" xfId="31008"/>
    <cellStyle name="Input 4 3 2 7 2" xfId="31009"/>
    <cellStyle name="Input 2 6 2 7 2" xfId="31010"/>
    <cellStyle name="styleColumnTitles 2 8 2" xfId="31011"/>
    <cellStyle name="Total 2 5 3 7 2" xfId="31012"/>
    <cellStyle name="Output 2 5 3 4 2 2 2" xfId="31013"/>
    <cellStyle name="Input 8 5 2 2 2" xfId="31014"/>
    <cellStyle name="Note 3 9 2 2 2" xfId="31015"/>
    <cellStyle name="Note 2 3 5 2 2 2 2" xfId="31016"/>
    <cellStyle name="Note 2 4 5 2 2 2 2" xfId="31017"/>
    <cellStyle name="Note 3 2 9 2 2 2 2" xfId="31018"/>
    <cellStyle name="Output 2 12 2 2 2 2" xfId="31019"/>
    <cellStyle name="Output 2 2 7 2 2 2 2" xfId="31020"/>
    <cellStyle name="Output 2 2 2 4 2 2 2 2" xfId="31021"/>
    <cellStyle name="Output 2 3 4 2 2 2 2" xfId="31022"/>
    <cellStyle name="Output 2 4 4 2 2 2 2" xfId="31023"/>
    <cellStyle name="Calculation 2 4 4 2 2 2 2" xfId="31024"/>
    <cellStyle name="Input 2 2 2 4 2 2 2 2" xfId="31025"/>
    <cellStyle name="Output 2 3 3 4 2 2 2" xfId="31026"/>
    <cellStyle name="Output 2 2 3 3 4 2 2 2" xfId="31027"/>
    <cellStyle name="Output 2 2 6 4 2 2 2" xfId="31028"/>
    <cellStyle name="Note 4 7 4 2 2 2" xfId="31029"/>
    <cellStyle name="Note 3 2 2 3 4 2 2 2" xfId="31030"/>
    <cellStyle name="Note 3 8 4 2 2 2" xfId="31031"/>
    <cellStyle name="Note 2 4 4 4 2 2 2" xfId="31032"/>
    <cellStyle name="Note 2 2 7 4 2 2 2" xfId="31033"/>
    <cellStyle name="Input 7 5 2 2 2" xfId="31034"/>
    <cellStyle name="Input 3 7 2 2 2" xfId="31035"/>
    <cellStyle name="Input 2 2 3 5 2 2 2" xfId="31036"/>
    <cellStyle name="Note 3 2 2 2 4 2 2 2" xfId="31037"/>
    <cellStyle name="Note 4 6 4 2 2 2" xfId="31038"/>
    <cellStyle name="Calculation 11 5 4 2" xfId="31039"/>
    <cellStyle name="Calculation 2 12 2 2 2" xfId="31040"/>
    <cellStyle name="Calculation 2 4 5 2 2 2" xfId="31041"/>
    <cellStyle name="Total 2 13 2 2 2 2" xfId="31042"/>
    <cellStyle name="Total 3 8 2 2 2 2" xfId="31043"/>
    <cellStyle name="Total 2 3 4 2 2 2 2" xfId="31044"/>
    <cellStyle name="Total 3 7 4 2 2 2" xfId="31045"/>
    <cellStyle name="Total 2 5 3 4 2 2 2" xfId="31046"/>
    <cellStyle name="Total 2 3 3 4 2 2 2" xfId="31047"/>
    <cellStyle name="Total 2 2 6 4 2 2 2" xfId="31048"/>
    <cellStyle name="Total 2 2 2 3 4 2 2 2" xfId="31049"/>
    <cellStyle name="StmtTtl2 3 4 2 2 2" xfId="31050"/>
    <cellStyle name="Calculation 2 11 2 2 2 2" xfId="31051"/>
    <cellStyle name="Input 23 2 2 2" xfId="31052"/>
    <cellStyle name="Input 2 11 2 2 2 2" xfId="31053"/>
    <cellStyle name="Input 2 2 4 4 2 2 2 2" xfId="31054"/>
    <cellStyle name="Input 8 4 2 2 2 2" xfId="31055"/>
    <cellStyle name="Output 3 7 4 2 2 2" xfId="31056"/>
    <cellStyle name="Input 22 2 2 2" xfId="31057"/>
    <cellStyle name="Header2 4 2 2 2 2" xfId="31058"/>
    <cellStyle name="StmtTtl2 4 2 2 2 2" xfId="31059"/>
    <cellStyle name="Total 2 2 3 4 2 2 2 2" xfId="31060"/>
    <cellStyle name="Total 2 5 4 2 2 2 2" xfId="31061"/>
    <cellStyle name="Note 2 5 2 4 2 2 2" xfId="31062"/>
    <cellStyle name="Note 2 2 2 2 4 2 2 2" xfId="31063"/>
    <cellStyle name="Note 2 3 2 2 4 2 2 2" xfId="31064"/>
    <cellStyle name="Note 2 4 2 2 4 2 2 2" xfId="31065"/>
    <cellStyle name="Note 3 3 2 4 2 2 2" xfId="31066"/>
    <cellStyle name="Input 8 3 4 2 2 2" xfId="31067"/>
    <cellStyle name="Input 6 4 4 2 2 2" xfId="31068"/>
    <cellStyle name="Input 4 6 4 2 2 2" xfId="31069"/>
    <cellStyle name="Input 2 3 3 4 2 2 2" xfId="31070"/>
    <cellStyle name="Input 2 2 3 3 4 2 2 2" xfId="31071"/>
    <cellStyle name="Input 2 2 6 4 2 2 2" xfId="31072"/>
    <cellStyle name="Calculation 2 3 3 4 2 2 2" xfId="31073"/>
    <cellStyle name="Calculation 2 2 3 3 4 2 2 2" xfId="31074"/>
    <cellStyle name="Calculation 2 2 6 4 2 2 2" xfId="31075"/>
    <cellStyle name="Calculation 3 8 2 2 2" xfId="31076"/>
    <cellStyle name="Note 3 2 2 4 2 2 2 2" xfId="31077"/>
    <cellStyle name="Output 2 2 4 4 2 2 2 2" xfId="31078"/>
    <cellStyle name="Output 2 2 3 4 2 2 2 2" xfId="31079"/>
    <cellStyle name="Input 2 2 3 4 2 2 2 2" xfId="31080"/>
    <cellStyle name="Output 2 4 3 4 2 2 2" xfId="31081"/>
    <cellStyle name="Output 2 2 4 3 4 2 2 2" xfId="31082"/>
    <cellStyle name="Output 2 2 2 3 4 2 2 2" xfId="31083"/>
    <cellStyle name="Output 2 11 4 2 2 2" xfId="31084"/>
    <cellStyle name="Note 3 2 8 4 2 2 2" xfId="31085"/>
    <cellStyle name="Note 2 3 4 4 2 2 2" xfId="31086"/>
    <cellStyle name="Note 2 10 4 2 2 2" xfId="31087"/>
    <cellStyle name="Input 5 8 2 2 2" xfId="31088"/>
    <cellStyle name="Input 2 3 5 2 2 2" xfId="31089"/>
    <cellStyle name="Input 2 2 8 2 2 2" xfId="31090"/>
    <cellStyle name="Note 4 2 5 4 2 2 2" xfId="31091"/>
    <cellStyle name="Style 21 5 2 2 2" xfId="31092"/>
    <cellStyle name="Style 21 2 5 2 2 2" xfId="31093"/>
    <cellStyle name="Style 22 5 2 2 2" xfId="31094"/>
    <cellStyle name="Style 22 2 5 2 2 2" xfId="31095"/>
    <cellStyle name="Style 23 5 2 2 2" xfId="31096"/>
    <cellStyle name="Style 23 2 5 2 2 2" xfId="31097"/>
    <cellStyle name="Style 24 5 2 2 2" xfId="31098"/>
    <cellStyle name="Style 24 2 5 2 2 2" xfId="31099"/>
    <cellStyle name="Style 25 5 2 2 2" xfId="31100"/>
    <cellStyle name="Style 25 2 5 2 2 2" xfId="31101"/>
    <cellStyle name="Style 26 5 2 2 2" xfId="31102"/>
    <cellStyle name="Style 26 2 5 2 2 2" xfId="31103"/>
    <cellStyle name="styleColumnTitles 5 2 2 2" xfId="31104"/>
    <cellStyle name="styleColumnTitles 2 5 2 2 2" xfId="31105"/>
    <cellStyle name="styleDateRange 5 2 2 2" xfId="31106"/>
    <cellStyle name="styleDateRange 2 5 2 2 2" xfId="31107"/>
    <cellStyle name="styleSeriesAttributes 5 2 2 2" xfId="31108"/>
    <cellStyle name="styleSeriesAttributes 2 5 2 2 2" xfId="31109"/>
    <cellStyle name="styleSeriesData 5 2 2 2" xfId="31110"/>
    <cellStyle name="styleSeriesData 2 5 2 2 2" xfId="31111"/>
    <cellStyle name="styleSeriesDataForecast 5 2 2 2" xfId="31112"/>
    <cellStyle name="styleSeriesDataForecast 2 5 2 2 2" xfId="31113"/>
    <cellStyle name="styleSeriesDataForecastNA 5 2 2 2" xfId="31114"/>
    <cellStyle name="styleSeriesDataForecastNA 2 5 2 2 2" xfId="31115"/>
    <cellStyle name="styleSeriesDataNA 5 2 2 2" xfId="31116"/>
    <cellStyle name="styleSeriesDataNA 2 5 2 2 2" xfId="31117"/>
    <cellStyle name="Style 21 2 2 4 2 2 2" xfId="31118"/>
    <cellStyle name="Style 22 2 2 4 2 2 2" xfId="31119"/>
    <cellStyle name="Style 23 2 2 4 2 2 2" xfId="31120"/>
    <cellStyle name="Style 24 2 2 4 2 2 2" xfId="31121"/>
    <cellStyle name="Style 25 2 2 4 2 2 2" xfId="31122"/>
    <cellStyle name="Style 26 2 2 4 2 2 2" xfId="31123"/>
    <cellStyle name="styleColumnTitles 2 2 4 2 2 2" xfId="31124"/>
    <cellStyle name="styleDateRange 2 2 4 2 2 2" xfId="31125"/>
    <cellStyle name="styleSeriesAttributes 2 2 4 2 2 2" xfId="31126"/>
    <cellStyle name="styleSeriesData 2 2 4 2 2 2" xfId="31127"/>
    <cellStyle name="styleSeriesDataForecast 2 2 4 2 2 2" xfId="31128"/>
    <cellStyle name="styleSeriesDataForecastNA 2 2 4 2 2 2" xfId="31129"/>
    <cellStyle name="styleSeriesDataNA 2 2 4 2 2 2" xfId="31130"/>
    <cellStyle name="Calculation 3 7 2 2 2 2" xfId="31131"/>
    <cellStyle name="Calculation 2 3 4 2 2 2 2" xfId="31132"/>
    <cellStyle name="Calculation 2 2 3 4 2 2 2 2" xfId="31133"/>
    <cellStyle name="Calculation 2 2 2 4 2 2 2 2" xfId="31134"/>
    <cellStyle name="Note 2 3 6 2 2 2" xfId="31135"/>
    <cellStyle name="Total 2 6 3 4 2 2 2" xfId="31136"/>
    <cellStyle name="Output 2 5 2 8 2" xfId="31137"/>
    <cellStyle name="Output 3 8 6 2" xfId="31138"/>
    <cellStyle name="Total 2 4 4 5 2" xfId="31139"/>
    <cellStyle name="Total 9 2 2 4 2" xfId="31140"/>
    <cellStyle name="styleSeriesDataForecastNA 3 4 2" xfId="31141"/>
    <cellStyle name="Input 12 5 4 2" xfId="31142"/>
    <cellStyle name="Calculation 2 5 2 2 4 2" xfId="31143"/>
    <cellStyle name="Total 4 3 4 4 2" xfId="31144"/>
    <cellStyle name="Total 5 7 4 2" xfId="31145"/>
    <cellStyle name="Input 4 4 2 7 2" xfId="31146"/>
    <cellStyle name="Note 7 2 2 2 7 2" xfId="31147"/>
    <cellStyle name="Total 3 2 2 7 2" xfId="31148"/>
    <cellStyle name="styleSeriesDataForecast 2 2 7 2" xfId="31149"/>
    <cellStyle name="Calculation 7 2 4 2 2 2" xfId="31150"/>
    <cellStyle name="Calculation 2 6 2 4 2 2 2" xfId="31151"/>
    <cellStyle name="Calculation 3 2 2 4 2 2 2" xfId="31152"/>
    <cellStyle name="Calculation 4 2 2 4 2 2 2" xfId="31153"/>
    <cellStyle name="Calculation 5 4 4 2 2 2" xfId="31154"/>
    <cellStyle name="Output 9 2 4 2 2 2" xfId="31155"/>
    <cellStyle name="Input 10 2 4 2 2 2" xfId="31156"/>
    <cellStyle name="Input 2 6 2 4 2 2 2" xfId="31157"/>
    <cellStyle name="Input 3 2 2 4 2 2 2" xfId="31158"/>
    <cellStyle name="Input 4 2 2 4 2 2 2" xfId="31159"/>
    <cellStyle name="Input 5 2 2 4 2 2 2" xfId="31160"/>
    <cellStyle name="Calculation 2 6 9 2" xfId="31161"/>
    <cellStyle name="Output 2 2 3 3 2 5 2" xfId="31162"/>
    <cellStyle name="Note 11 2 4 2 2 2" xfId="31163"/>
    <cellStyle name="Note 2 6 2 4 2 2 2" xfId="31164"/>
    <cellStyle name="Note 2 2 3 2 4 2 2 2" xfId="31165"/>
    <cellStyle name="Note 3 4 2 4 2 2 2" xfId="31166"/>
    <cellStyle name="Note 3 2 4 2 4 2 2 2" xfId="31167"/>
    <cellStyle name="Note 4 3 2 4 2 2 2" xfId="31168"/>
    <cellStyle name="Note 4 2 2 2 4 2 2 2" xfId="31169"/>
    <cellStyle name="Note 5 5 4 2 2 2" xfId="31170"/>
    <cellStyle name="Note 5 2 4 4 2 2 2" xfId="31171"/>
    <cellStyle name="Note 6 5 4 2 2 2" xfId="31172"/>
    <cellStyle name="Note 6 2 4 4 2 2 2" xfId="31173"/>
    <cellStyle name="Note 7 5 4 2 2 2" xfId="31174"/>
    <cellStyle name="Note 7 2 4 4 2 2 2" xfId="31175"/>
    <cellStyle name="Note 8 4 4 2 2 2" xfId="31176"/>
    <cellStyle name="Note 9 3 4 2 2 2" xfId="31177"/>
    <cellStyle name="Output 7 2 4 2 2 2" xfId="31178"/>
    <cellStyle name="Output 2 6 2 4 2 2 2" xfId="31179"/>
    <cellStyle name="Output 3 2 2 4 2 2 2" xfId="31180"/>
    <cellStyle name="Output 4 2 2 4 2 2 2" xfId="31181"/>
    <cellStyle name="Output 5 5 4 2 2 2" xfId="31182"/>
    <cellStyle name="Input 5 7 2 2 2 2" xfId="31183"/>
    <cellStyle name="Input 6 5 2 2 2 2" xfId="31184"/>
    <cellStyle name="Total 7 2 4 2 2 2" xfId="31185"/>
    <cellStyle name="Total 2 7 2 4 2 2 2" xfId="31186"/>
    <cellStyle name="Total 3 2 2 4 2 2 2" xfId="31187"/>
    <cellStyle name="Total 4 2 2 4 2 2 2" xfId="31188"/>
    <cellStyle name="Total 5 5 4 2 2 2" xfId="31189"/>
    <cellStyle name="Calculation 8 2 4 2 2 2" xfId="31190"/>
    <cellStyle name="Input 12 2 4 2 2 2" xfId="31191"/>
    <cellStyle name="Input 11 2 4 2 2 2" xfId="31192"/>
    <cellStyle name="Calculation 9 2 4 2 2 2" xfId="31193"/>
    <cellStyle name="Output 8 2 4 2 2 2" xfId="31194"/>
    <cellStyle name="Total 8 2 4 2 2 2" xfId="31195"/>
    <cellStyle name="Total 9 2 4 2 2 2" xfId="31196"/>
    <cellStyle name="Input 13 2 2 4 2" xfId="31197"/>
    <cellStyle name="Note 5 2 3 5 4 2" xfId="31198"/>
    <cellStyle name="Note 2 5 2 2 4 2" xfId="31199"/>
    <cellStyle name="Total 2 4 3 2 4 2" xfId="31200"/>
    <cellStyle name="Calculation 4 4 4 4 2" xfId="31201"/>
    <cellStyle name="Output 2 7 4 4 2" xfId="31202"/>
    <cellStyle name="Output 5 4 2 7 2" xfId="31203"/>
    <cellStyle name="Output 7 4 5 2" xfId="31204"/>
    <cellStyle name="Output 5 2 2 4 2 2 2" xfId="31205"/>
    <cellStyle name="Output 4 3 2 4 2 2 2" xfId="31206"/>
    <cellStyle name="Output 3 3 2 4 2 2 2" xfId="31207"/>
    <cellStyle name="Output 2 7 2 4 2 2 2" xfId="31208"/>
    <cellStyle name="Output 11 2 4 2 2 2" xfId="31209"/>
    <cellStyle name="Style 21 2 8 2" xfId="31210"/>
    <cellStyle name="Input 5 3 2 4 2 2 2" xfId="31211"/>
    <cellStyle name="Input 4 3 2 4 2 2 2" xfId="31212"/>
    <cellStyle name="Input 3 3 2 4 2 2 2" xfId="31213"/>
    <cellStyle name="Input 2 7 2 4 2 2 2" xfId="31214"/>
    <cellStyle name="Calculation 10 2 4 2 2 2" xfId="31215"/>
    <cellStyle name="Input 14 2 4 2 2 2" xfId="31216"/>
    <cellStyle name="Input 16 2 4 2 2 2" xfId="31217"/>
    <cellStyle name="Input 17 2 4 2 2 2" xfId="31218"/>
    <cellStyle name="Input 15 2 4 2 2 2" xfId="31219"/>
    <cellStyle name="Input 13 2 4 2 2 2" xfId="31220"/>
    <cellStyle name="Calculation 5 2 2 4 2 2 2" xfId="31221"/>
    <cellStyle name="Calculation 4 3 2 4 2 2 2" xfId="31222"/>
    <cellStyle name="Calculation 3 3 2 4 2 2 2" xfId="31223"/>
    <cellStyle name="Calculation 2 7 2 4 2 2 2" xfId="31224"/>
    <cellStyle name="Calculation 11 2 4 2 2 2" xfId="31225"/>
    <cellStyle name="Note 13 5 5 2" xfId="31226"/>
    <cellStyle name="Output 10 2 4 2 2 2" xfId="31227"/>
    <cellStyle name="Note 12 2 4 2 2 2" xfId="31228"/>
    <cellStyle name="Note 2 7 2 4 2 2 2" xfId="31229"/>
    <cellStyle name="Note 2 2 4 2 4 2 2 2" xfId="31230"/>
    <cellStyle name="Note 3 5 2 4 2 2 2" xfId="31231"/>
    <cellStyle name="Note 3 2 5 2 4 2 2 2" xfId="31232"/>
    <cellStyle name="Note 4 4 2 4 2 2 2" xfId="31233"/>
    <cellStyle name="Note 4 2 3 2 4 2 2 2" xfId="31234"/>
    <cellStyle name="Note 5 3 2 4 2 2 2" xfId="31235"/>
    <cellStyle name="Note 5 2 2 2 4 2 2 2" xfId="31236"/>
    <cellStyle name="Note 6 3 2 4 2 2 2" xfId="31237"/>
    <cellStyle name="Note 6 2 2 2 4 2 2 2" xfId="31238"/>
    <cellStyle name="Note 7 3 2 4 2 2 2" xfId="31239"/>
    <cellStyle name="Note 7 2 2 2 4 2 2 2" xfId="31240"/>
    <cellStyle name="Note 8 2 2 4 2 2 2" xfId="31241"/>
    <cellStyle name="Note 9 2 2 4 2 2 2" xfId="31242"/>
    <cellStyle name="Output 12 2 4 2 2 2" xfId="31243"/>
    <cellStyle name="Output 2 8 2 4 2 2 2" xfId="31244"/>
    <cellStyle name="Output 3 4 2 4 2 2 2" xfId="31245"/>
    <cellStyle name="Output 4 4 2 4 2 2 2" xfId="31246"/>
    <cellStyle name="Output 5 3 2 4 2 2 2" xfId="31247"/>
    <cellStyle name="Total 10 2 4 2 2 2" xfId="31248"/>
    <cellStyle name="Total 11 2 4 2 2 2" xfId="31249"/>
    <cellStyle name="Total 2 8 2 4 2 2 2" xfId="31250"/>
    <cellStyle name="Total 3 3 2 4 2 2 2" xfId="31251"/>
    <cellStyle name="Total 4 3 2 4 2 2 2" xfId="31252"/>
    <cellStyle name="Total 5 2 2 4 2 2 2" xfId="31253"/>
    <cellStyle name="Total 12 2 4 2 2 2" xfId="31254"/>
    <cellStyle name="Total 2 9 2 4 2 2 2" xfId="31255"/>
    <cellStyle name="Total 3 4 2 4 2 2 2" xfId="31256"/>
    <cellStyle name="Total 4 4 2 4 2 2 2" xfId="31257"/>
    <cellStyle name="Total 5 3 2 4 2 2 2" xfId="31258"/>
    <cellStyle name="Output 11 2 2 4 2" xfId="31259"/>
    <cellStyle name="Style 26 2 2 2 4 2" xfId="31260"/>
    <cellStyle name="Note 2 2 7 2 4 2" xfId="31261"/>
    <cellStyle name="Input 2 3 2 2 4 2" xfId="31262"/>
    <cellStyle name="Input 19 5 4 2" xfId="31263"/>
    <cellStyle name="Input 2 9 3 4 2" xfId="31264"/>
    <cellStyle name="Note 5 4 2 7 2" xfId="31265"/>
    <cellStyle name="Total 2 6 3 7 2" xfId="31266"/>
    <cellStyle name="Note 2 2 7 7 2" xfId="31267"/>
    <cellStyle name="Input 18 2 4 2 2 2" xfId="31268"/>
    <cellStyle name="Note 2 2 5 3 5 2" xfId="31269"/>
    <cellStyle name="Note 2 4 3 3 5 2" xfId="31270"/>
    <cellStyle name="Calculation 12 2 4 2 2 2" xfId="31271"/>
    <cellStyle name="Input 19 2 4 2 2 2" xfId="31272"/>
    <cellStyle name="Note 13 2 4 2 2 2" xfId="31273"/>
    <cellStyle name="Output 13 2 4 2 2 2" xfId="31274"/>
    <cellStyle name="Total 13 2 4 2 2 2" xfId="31275"/>
    <cellStyle name="Note 5 6 4 2" xfId="31276"/>
    <cellStyle name="Calculation 2 8 2 4 2 2 2" xfId="31277"/>
    <cellStyle name="Calculation 3 4 2 4 2 2 2" xfId="31278"/>
    <cellStyle name="Calculation 4 4 2 4 2 2 2" xfId="31279"/>
    <cellStyle name="Calculation 5 3 2 4 2 2 2" xfId="31280"/>
    <cellStyle name="Input 2 8 2 4 2 2 2" xfId="31281"/>
    <cellStyle name="Input 3 4 2 4 2 2 2" xfId="31282"/>
    <cellStyle name="Input 4 4 2 4 2 2 2" xfId="31283"/>
    <cellStyle name="Input 5 4 2 4 2 2 2" xfId="31284"/>
    <cellStyle name="Calculation 2 4 2 8 2" xfId="31285"/>
    <cellStyle name="Note 2 8 2 4 2 2 2" xfId="31286"/>
    <cellStyle name="Note 2 2 5 2 4 2 2 2" xfId="31287"/>
    <cellStyle name="Note 3 6 2 4 2 2 2" xfId="31288"/>
    <cellStyle name="Note 3 2 6 2 4 2 2 2" xfId="31289"/>
    <cellStyle name="Note 4 5 2 4 2 2 2" xfId="31290"/>
    <cellStyle name="Note 4 2 4 2 4 2 2 2" xfId="31291"/>
    <cellStyle name="Note 5 4 2 4 2 2 2" xfId="31292"/>
    <cellStyle name="Note 5 2 3 2 4 2 2 2" xfId="31293"/>
    <cellStyle name="Note 6 4 2 4 2 2 2" xfId="31294"/>
    <cellStyle name="Note 6 2 3 2 4 2 2 2" xfId="31295"/>
    <cellStyle name="Note 7 4 2 4 2 2 2" xfId="31296"/>
    <cellStyle name="Note 7 2 3 2 4 2 2 2" xfId="31297"/>
    <cellStyle name="Note 8 3 2 4 2 2 2" xfId="31298"/>
    <cellStyle name="Output 2 9 2 4 2 2 2" xfId="31299"/>
    <cellStyle name="Output 3 5 2 4 2 2 2" xfId="31300"/>
    <cellStyle name="Output 4 5 2 4 2 2 2" xfId="31301"/>
    <cellStyle name="Output 5 4 2 4 2 2 2" xfId="31302"/>
    <cellStyle name="Total 2 10 2 4 2 2 2" xfId="31303"/>
    <cellStyle name="Total 3 5 2 4 2 2 2" xfId="31304"/>
    <cellStyle name="Total 4 5 2 4 2 2 2" xfId="31305"/>
    <cellStyle name="Total 5 4 2 4 2 2 2" xfId="31306"/>
    <cellStyle name="Input 3 5 3 5 2" xfId="31307"/>
    <cellStyle name="Input 20 2 4 2 2 2" xfId="31308"/>
    <cellStyle name="Output 4 3 8 2" xfId="31309"/>
    <cellStyle name="Output 2 7 3 5 2" xfId="31310"/>
    <cellStyle name="Input 2 5 3 3 4 2" xfId="31311"/>
    <cellStyle name="Input 21 2 4 2 2 2" xfId="31312"/>
    <cellStyle name="Calculation 5 5 4 2" xfId="31313"/>
    <cellStyle name="Input 5 3 4 5 2" xfId="31314"/>
    <cellStyle name="Output 7 2 8 2" xfId="31315"/>
    <cellStyle name="Calculation 2 5 4 3 2 2" xfId="31316"/>
    <cellStyle name="Input 2 5 4 3 2 2" xfId="31317"/>
    <cellStyle name="Note 2 2 2 4 3 2 2" xfId="31318"/>
    <cellStyle name="Note 2 3 2 4 3 2 2" xfId="31319"/>
    <cellStyle name="Note 2 4 2 4 3 2 2" xfId="31320"/>
    <cellStyle name="Note 2 5 4 3 2 2" xfId="31321"/>
    <cellStyle name="Note 3 3 4 3 2 2" xfId="31322"/>
    <cellStyle name="Output 2 5 4 3 2 2" xfId="31323"/>
    <cellStyle name="Total 2 6 4 3 2 2" xfId="31324"/>
    <cellStyle name="Calculation 4 4 2 2 5 2" xfId="31325"/>
    <cellStyle name="Note 8 10 2" xfId="31326"/>
    <cellStyle name="Note 2 2 4 3 4 2" xfId="31327"/>
    <cellStyle name="Input 2 7 3 4 2" xfId="31328"/>
    <cellStyle name="Note 13 2 8 2" xfId="31329"/>
    <cellStyle name="Note 3 7 3 5 2" xfId="31330"/>
    <cellStyle name="Total 5 4 2 8 2" xfId="31331"/>
    <cellStyle name="Total 2 10 2 2 5 2" xfId="31332"/>
    <cellStyle name="Total 2 9 2 2 4 2" xfId="31333"/>
    <cellStyle name="Output 7 4 4 2" xfId="31334"/>
    <cellStyle name="Input 20 3 4 2" xfId="31335"/>
    <cellStyle name="Total 2 7 2 2 4 2" xfId="31336"/>
    <cellStyle name="Total 13 2 7 2" xfId="31337"/>
    <cellStyle name="Total 2 11 7 2" xfId="31338"/>
    <cellStyle name="Note 5 4 3 4 2" xfId="31339"/>
    <cellStyle name="styleColumnTitles 3 4 2" xfId="31340"/>
    <cellStyle name="Note 2 2 4 2 7 2" xfId="31341"/>
    <cellStyle name="Output 2 4 2 7 2" xfId="31342"/>
    <cellStyle name="Total 13 3 4 2" xfId="31343"/>
    <cellStyle name="Total 2 2 2 2 2 4 2" xfId="31344"/>
    <cellStyle name="Note 8 4 7 2" xfId="31345"/>
    <cellStyle name="Output 3 5 4 5 2" xfId="31346"/>
    <cellStyle name="Note 2 4 2 3 2 4 2" xfId="31347"/>
    <cellStyle name="Style 23 2 2 7 2" xfId="31348"/>
    <cellStyle name="Input 8 2 7 2" xfId="31349"/>
    <cellStyle name="Note 9 2 4 4 2" xfId="31350"/>
    <cellStyle name="Output 2 2 2 3 7 2" xfId="31351"/>
    <cellStyle name="Input 2 2 2 4 6 2" xfId="31352"/>
    <cellStyle name="Total 10 2 8 2" xfId="31353"/>
    <cellStyle name="Input 11 5 4 2" xfId="31354"/>
    <cellStyle name="Calculation 7 5 4 2" xfId="31355"/>
    <cellStyle name="Note 5 2 3 2 8 2" xfId="31356"/>
    <cellStyle name="Input 2 6 5 4 2" xfId="31357"/>
    <cellStyle name="Total 3 5 9 2" xfId="31358"/>
    <cellStyle name="Note 6 2 5 5 2" xfId="31359"/>
    <cellStyle name="Note 5 3 8 2" xfId="31360"/>
    <cellStyle name="Total 9 4 5 2" xfId="31361"/>
    <cellStyle name="Calculation 3 4 2 8 2" xfId="31362"/>
    <cellStyle name="Total 4 3 2 2 4 2" xfId="31363"/>
    <cellStyle name="Note 7 2 6 4 2" xfId="31364"/>
    <cellStyle name="Output 4 2 2 2 4 2" xfId="31365"/>
    <cellStyle name="Output 13 2 7 2" xfId="31366"/>
    <cellStyle name="Style 25 2 3 4 2" xfId="31367"/>
    <cellStyle name="Output 10 2 7 2" xfId="31368"/>
    <cellStyle name="StmtTtl2 2 2 4 2" xfId="31369"/>
    <cellStyle name="Note 6 2 4 7 2" xfId="31370"/>
    <cellStyle name="Note 2 5 3 2 4 2" xfId="31371"/>
    <cellStyle name="Style 22 2 2 7 2" xfId="31372"/>
    <cellStyle name="Note 8 2 4 4 2" xfId="31373"/>
    <cellStyle name="Calculation 2 2 6 7 2" xfId="31374"/>
    <cellStyle name="Note 5 2 3 9 2" xfId="31375"/>
    <cellStyle name="Input 2 7 5 5 2" xfId="31376"/>
    <cellStyle name="Header2 4 5 2" xfId="31377"/>
    <cellStyle name="Input 2 4 2 2 5 2" xfId="31378"/>
    <cellStyle name="Output 3 8 5 2" xfId="31379"/>
    <cellStyle name="Total 3 3 2 2 4 2" xfId="31380"/>
    <cellStyle name="Note 7 7 4 2" xfId="31381"/>
    <cellStyle name="Output 3 2 2 2 4 2" xfId="31382"/>
    <cellStyle name="Note 13 2 7 2" xfId="31383"/>
    <cellStyle name="Style 25 3 4 2" xfId="31384"/>
    <cellStyle name="Calculation 2 10 2 4 2" xfId="31385"/>
    <cellStyle name="Note 6 5 7 2" xfId="31386"/>
    <cellStyle name="Note 3 3 3 2 4 2" xfId="31387"/>
    <cellStyle name="Style 21 2 2 7 2" xfId="31388"/>
    <cellStyle name="Note 7 2 2 4 4 2" xfId="31389"/>
    <cellStyle name="Calculation 2 2 3 3 7 2" xfId="31390"/>
    <cellStyle name="Note 2 4 4 2 5 2" xfId="31391"/>
    <cellStyle name="Output 2 4 4 5 2" xfId="31392"/>
    <cellStyle name="Total 2 8 2 2 4 2" xfId="31393"/>
    <cellStyle name="Note 6 2 6 4 2" xfId="31394"/>
    <cellStyle name="Output 2 6 2 2 4 2" xfId="31395"/>
    <cellStyle name="Input 19 2 7 2" xfId="31396"/>
    <cellStyle name="Style 24 2 3 4 2" xfId="31397"/>
    <cellStyle name="Calculation 2 2 2 3 2 4 2" xfId="31398"/>
    <cellStyle name="Note 5 2 4 7 2" xfId="31399"/>
    <cellStyle name="Note 4 2 6 2 4 2" xfId="31400"/>
    <cellStyle name="Note 8 3 5 5 2" xfId="31401"/>
    <cellStyle name="Note 7 3 4 4 2" xfId="31402"/>
    <cellStyle name="Calculation 2 3 3 7 2" xfId="31403"/>
    <cellStyle name="Note 5 4 9 2" xfId="31404"/>
    <cellStyle name="Note 12 8 2" xfId="31405"/>
    <cellStyle name="Input 13 9 2" xfId="31406"/>
    <cellStyle name="Input 17 9 2" xfId="31407"/>
    <cellStyle name="Input 18 5 5 2" xfId="31408"/>
    <cellStyle name="Input 2 3 2 3 5 2" xfId="31409"/>
    <cellStyle name="Total 4 5 2 2 4 2" xfId="31410"/>
    <cellStyle name="Total 5 4 2 2 4 2" xfId="31411"/>
    <cellStyle name="Input 20 2 2 4 2" xfId="31412"/>
    <cellStyle name="Input 21 2 2 4 2" xfId="31413"/>
    <cellStyle name="Note 2 9 3 4 2" xfId="31414"/>
    <cellStyle name="Note 2 2 6 3 4 2" xfId="31415"/>
    <cellStyle name="Note 2 3 3 3 4 2" xfId="31416"/>
    <cellStyle name="Note 2 4 3 3 4 2" xfId="31417"/>
    <cellStyle name="Note 3 7 3 4 2" xfId="31418"/>
    <cellStyle name="Note 3 2 7 3 4 2" xfId="31419"/>
    <cellStyle name="Output 2 10 3 4 2" xfId="31420"/>
    <cellStyle name="Output 2 2 5 3 4 2" xfId="31421"/>
    <cellStyle name="Output 2 2 2 2 3 4 2" xfId="31422"/>
    <cellStyle name="Output 2 2 3 2 3 4 2" xfId="31423"/>
    <cellStyle name="Output 2 2 4 2 3 4 2" xfId="31424"/>
    <cellStyle name="Output 2 3 2 3 4 2" xfId="31425"/>
    <cellStyle name="Output 2 4 2 3 4 2" xfId="31426"/>
    <cellStyle name="Output 2 5 2 3 4 2" xfId="31427"/>
    <cellStyle name="Output 3 6 3 4 2" xfId="31428"/>
    <cellStyle name="Input 7 3 3 4 2" xfId="31429"/>
    <cellStyle name="Input 5 6 3 4 2" xfId="31430"/>
    <cellStyle name="Input 3 6 3 4 2" xfId="31431"/>
    <cellStyle name="Input 2 4 3 3 4 2" xfId="31432"/>
    <cellStyle name="Input 2 2 4 3 3 4 2" xfId="31433"/>
    <cellStyle name="Input 2 2 2 3 3 4 2" xfId="31434"/>
    <cellStyle name="Input 2 10 3 4 2" xfId="31435"/>
    <cellStyle name="Calculation 3 6 3 4 2" xfId="31436"/>
    <cellStyle name="Calculation 2 4 3 3 4 2" xfId="31437"/>
    <cellStyle name="Calculation 2 2 4 3 3 4 2" xfId="31438"/>
    <cellStyle name="Calculation 2 2 2 3 3 4 2" xfId="31439"/>
    <cellStyle name="Calculation 2 10 3 4 2" xfId="31440"/>
    <cellStyle name="StmtTtl2 2 3 4 2" xfId="31441"/>
    <cellStyle name="Total 2 11 3 4 2" xfId="31442"/>
    <cellStyle name="Total 2 2 5 3 4 2" xfId="31443"/>
    <cellStyle name="Total 2 2 2 2 3 4 2" xfId="31444"/>
    <cellStyle name="Total 2 2 3 2 3 4 2" xfId="31445"/>
    <cellStyle name="Total 2 2 4 2 3 4 2" xfId="31446"/>
    <cellStyle name="Total 2 3 2 3 4 2" xfId="31447"/>
    <cellStyle name="Total 2 4 2 3 4 2" xfId="31448"/>
    <cellStyle name="Total 2 5 2 3 4 2" xfId="31449"/>
    <cellStyle name="Total 2 6 2 3 4 2" xfId="31450"/>
    <cellStyle name="Total 3 6 3 4 2" xfId="31451"/>
    <cellStyle name="Output 2 5 3 3 4 2" xfId="31452"/>
    <cellStyle name="Output 2 3 3 3 4 2" xfId="31453"/>
    <cellStyle name="Output 2 2 3 3 3 4 2" xfId="31454"/>
    <cellStyle name="Output 2 2 6 3 4 2" xfId="31455"/>
    <cellStyle name="Note 4 7 3 4 2" xfId="31456"/>
    <cellStyle name="Note 3 2 2 3 3 4 2" xfId="31457"/>
    <cellStyle name="Note 3 8 3 4 2" xfId="31458"/>
    <cellStyle name="Note 2 4 4 3 4 2" xfId="31459"/>
    <cellStyle name="Note 2 2 7 3 4 2" xfId="31460"/>
    <cellStyle name="Note 3 2 2 2 3 4 2" xfId="31461"/>
    <cellStyle name="Note 4 6 3 4 2" xfId="31462"/>
    <cellStyle name="Total 3 7 3 4 2" xfId="31463"/>
    <cellStyle name="Total 2 5 3 3 4 2" xfId="31464"/>
    <cellStyle name="Total 2 3 3 3 4 2" xfId="31465"/>
    <cellStyle name="Total 2 2 6 3 4 2" xfId="31466"/>
    <cellStyle name="Total 2 2 2 3 3 4 2" xfId="31467"/>
    <cellStyle name="StmtTtl2 3 3 4 2" xfId="31468"/>
    <cellStyle name="Output 3 7 3 4 2" xfId="31469"/>
    <cellStyle name="Note 2 5 2 3 4 2" xfId="31470"/>
    <cellStyle name="Note 2 2 2 2 3 4 2" xfId="31471"/>
    <cellStyle name="Note 2 3 2 2 3 4 2" xfId="31472"/>
    <cellStyle name="Note 2 4 2 2 3 4 2" xfId="31473"/>
    <cellStyle name="Note 3 3 2 3 4 2" xfId="31474"/>
    <cellStyle name="Input 8 3 3 4 2" xfId="31475"/>
    <cellStyle name="Input 6 4 3 4 2" xfId="31476"/>
    <cellStyle name="Input 4 6 3 4 2" xfId="31477"/>
    <cellStyle name="Input 2 3 3 3 4 2" xfId="31478"/>
    <cellStyle name="Input 2 2 3 3 3 4 2" xfId="31479"/>
    <cellStyle name="Input 2 2 6 3 4 2" xfId="31480"/>
    <cellStyle name="Calculation 2 3 3 3 4 2" xfId="31481"/>
    <cellStyle name="Calculation 2 2 3 3 3 4 2" xfId="31482"/>
    <cellStyle name="Calculation 2 2 6 3 4 2" xfId="31483"/>
    <cellStyle name="Output 2 4 3 3 4 2" xfId="31484"/>
    <cellStyle name="Output 2 2 4 3 3 4 2" xfId="31485"/>
    <cellStyle name="Output 2 2 2 3 3 4 2" xfId="31486"/>
    <cellStyle name="Output 2 11 3 4 2" xfId="31487"/>
    <cellStyle name="Note 3 2 8 3 4 2" xfId="31488"/>
    <cellStyle name="Note 2 3 4 3 4 2" xfId="31489"/>
    <cellStyle name="Note 2 10 3 4 2" xfId="31490"/>
    <cellStyle name="Note 4 2 5 3 4 2" xfId="31491"/>
    <cellStyle name="Style 21 4 4 2" xfId="31492"/>
    <cellStyle name="Style 21 2 4 4 2" xfId="31493"/>
    <cellStyle name="Style 22 4 4 2" xfId="31494"/>
    <cellStyle name="Style 22 2 4 4 2" xfId="31495"/>
    <cellStyle name="Style 23 4 4 2" xfId="31496"/>
    <cellStyle name="Style 23 2 4 4 2" xfId="31497"/>
    <cellStyle name="Style 24 4 4 2" xfId="31498"/>
    <cellStyle name="Style 24 2 4 4 2" xfId="31499"/>
    <cellStyle name="Style 25 4 4 2" xfId="31500"/>
    <cellStyle name="Style 25 2 4 4 2" xfId="31501"/>
    <cellStyle name="Style 26 4 4 2" xfId="31502"/>
    <cellStyle name="Style 26 2 4 4 2" xfId="31503"/>
    <cellStyle name="styleColumnTitles 4 4 2" xfId="31504"/>
    <cellStyle name="styleColumnTitles 2 4 4 2" xfId="31505"/>
    <cellStyle name="styleDateRange 4 4 2" xfId="31506"/>
    <cellStyle name="styleDateRange 2 4 4 2" xfId="31507"/>
    <cellStyle name="styleSeriesAttributes 4 4 2" xfId="31508"/>
    <cellStyle name="styleSeriesAttributes 2 4 4 2" xfId="31509"/>
    <cellStyle name="styleSeriesData 4 4 2" xfId="31510"/>
    <cellStyle name="styleSeriesData 2 4 4 2" xfId="31511"/>
    <cellStyle name="styleSeriesDataForecast 4 4 2" xfId="31512"/>
    <cellStyle name="styleSeriesDataForecast 2 4 4 2" xfId="31513"/>
    <cellStyle name="styleSeriesDataForecastNA 4 4 2" xfId="31514"/>
    <cellStyle name="styleSeriesDataForecastNA 2 4 4 2" xfId="31515"/>
    <cellStyle name="styleSeriesDataNA 4 4 2" xfId="31516"/>
    <cellStyle name="styleSeriesDataNA 2 4 4 2" xfId="31517"/>
    <cellStyle name="Style 21 2 2 3 4 2" xfId="31518"/>
    <cellStyle name="Style 22 2 2 3 4 2" xfId="31519"/>
    <cellStyle name="Style 23 2 2 3 4 2" xfId="31520"/>
    <cellStyle name="Style 24 2 2 3 4 2" xfId="31521"/>
    <cellStyle name="Style 25 2 2 3 4 2" xfId="31522"/>
    <cellStyle name="Style 26 2 2 3 4 2" xfId="31523"/>
    <cellStyle name="styleColumnTitles 2 2 3 4 2" xfId="31524"/>
    <cellStyle name="styleDateRange 2 2 3 4 2" xfId="31525"/>
    <cellStyle name="styleSeriesAttributes 2 2 3 4 2" xfId="31526"/>
    <cellStyle name="styleSeriesData 2 2 3 4 2" xfId="31527"/>
    <cellStyle name="styleSeriesDataForecast 2 2 3 4 2" xfId="31528"/>
    <cellStyle name="styleSeriesDataForecastNA 2 2 3 4 2" xfId="31529"/>
    <cellStyle name="styleSeriesDataNA 2 2 3 4 2" xfId="31530"/>
    <cellStyle name="Total 2 6 3 3 4 2" xfId="31531"/>
    <cellStyle name="Calculation 7 2 3 4 2" xfId="31532"/>
    <cellStyle name="Calculation 2 6 2 3 4 2" xfId="31533"/>
    <cellStyle name="Calculation 3 2 2 3 4 2" xfId="31534"/>
    <cellStyle name="Calculation 4 2 2 3 4 2" xfId="31535"/>
    <cellStyle name="Calculation 5 4 3 4 2" xfId="31536"/>
    <cellStyle name="Output 9 2 3 4 2" xfId="31537"/>
    <cellStyle name="Input 10 2 3 4 2" xfId="31538"/>
    <cellStyle name="Input 2 6 2 3 4 2" xfId="31539"/>
    <cellStyle name="Input 3 2 2 3 4 2" xfId="31540"/>
    <cellStyle name="Input 4 2 2 3 4 2" xfId="31541"/>
    <cellStyle name="Input 5 2 2 3 4 2" xfId="31542"/>
    <cellStyle name="Note 11 2 3 4 2" xfId="31543"/>
    <cellStyle name="Note 2 6 2 3 4 2" xfId="31544"/>
    <cellStyle name="Note 2 2 3 2 3 4 2" xfId="31545"/>
    <cellStyle name="Note 3 4 2 3 4 2" xfId="31546"/>
    <cellStyle name="Note 3 2 4 2 3 4 2" xfId="31547"/>
    <cellStyle name="Note 4 3 2 3 4 2" xfId="31548"/>
    <cellStyle name="Note 4 2 2 2 3 4 2" xfId="31549"/>
    <cellStyle name="Note 5 5 3 4 2" xfId="31550"/>
    <cellStyle name="Note 5 2 4 3 4 2" xfId="31551"/>
    <cellStyle name="Note 6 5 3 4 2" xfId="31552"/>
    <cellStyle name="Note 6 2 4 3 4 2" xfId="31553"/>
    <cellStyle name="Note 7 5 3 4 2" xfId="31554"/>
    <cellStyle name="Note 7 2 4 3 4 2" xfId="31555"/>
    <cellStyle name="Note 8 4 3 4 2" xfId="31556"/>
    <cellStyle name="Note 9 3 3 4 2" xfId="31557"/>
    <cellStyle name="Output 7 2 3 4 2" xfId="31558"/>
    <cellStyle name="Output 2 6 2 3 4 2" xfId="31559"/>
    <cellStyle name="Output 3 2 2 3 4 2" xfId="31560"/>
    <cellStyle name="Output 4 2 2 3 4 2" xfId="31561"/>
    <cellStyle name="Output 5 5 3 4 2" xfId="31562"/>
    <cellStyle name="Total 7 2 3 4 2" xfId="31563"/>
    <cellStyle name="Total 2 7 2 3 4 2" xfId="31564"/>
    <cellStyle name="Total 3 2 2 3 4 2" xfId="31565"/>
    <cellStyle name="Total 4 2 2 3 4 2" xfId="31566"/>
    <cellStyle name="Total 5 5 3 4 2" xfId="31567"/>
    <cellStyle name="Calculation 8 2 3 4 2" xfId="31568"/>
    <cellStyle name="Input 12 2 3 4 2" xfId="31569"/>
    <cellStyle name="Input 11 2 3 4 2" xfId="31570"/>
    <cellStyle name="Calculation 9 2 3 4 2" xfId="31571"/>
    <cellStyle name="Output 8 2 3 4 2" xfId="31572"/>
    <cellStyle name="Total 8 2 3 4 2" xfId="31573"/>
    <cellStyle name="Total 9 2 3 4 2" xfId="31574"/>
    <cellStyle name="Output 5 2 2 3 4 2" xfId="31575"/>
    <cellStyle name="Output 4 3 2 3 4 2" xfId="31576"/>
    <cellStyle name="Output 3 3 2 3 4 2" xfId="31577"/>
    <cellStyle name="Output 2 7 2 3 4 2" xfId="31578"/>
    <cellStyle name="Output 11 2 3 4 2" xfId="31579"/>
    <cellStyle name="Input 5 3 2 3 4 2" xfId="31580"/>
    <cellStyle name="Input 4 3 2 3 4 2" xfId="31581"/>
    <cellStyle name="Input 3 3 2 3 4 2" xfId="31582"/>
    <cellStyle name="Input 2 7 2 3 4 2" xfId="31583"/>
    <cellStyle name="Calculation 10 2 3 4 2" xfId="31584"/>
    <cellStyle name="Input 14 2 3 4 2" xfId="31585"/>
    <cellStyle name="Input 16 2 3 4 2" xfId="31586"/>
    <cellStyle name="Input 17 2 3 4 2" xfId="31587"/>
    <cellStyle name="Input 15 2 3 4 2" xfId="31588"/>
    <cellStyle name="Input 13 2 3 4 2" xfId="31589"/>
    <cellStyle name="Calculation 5 2 2 3 4 2" xfId="31590"/>
    <cellStyle name="Calculation 4 3 2 3 4 2" xfId="31591"/>
    <cellStyle name="Calculation 3 3 2 3 4 2" xfId="31592"/>
    <cellStyle name="Calculation 2 7 2 3 4 2" xfId="31593"/>
    <cellStyle name="Calculation 11 2 3 4 2" xfId="31594"/>
    <cellStyle name="Output 10 2 3 4 2" xfId="31595"/>
    <cellStyle name="Note 12 2 3 4 2" xfId="31596"/>
    <cellStyle name="Note 2 7 2 3 4 2" xfId="31597"/>
    <cellStyle name="Note 2 2 4 2 3 4 2" xfId="31598"/>
    <cellStyle name="Note 3 5 2 3 4 2" xfId="31599"/>
    <cellStyle name="Note 3 2 5 2 3 4 2" xfId="31600"/>
    <cellStyle name="Note 4 4 2 3 4 2" xfId="31601"/>
    <cellStyle name="Note 4 2 3 2 3 4 2" xfId="31602"/>
    <cellStyle name="Note 5 3 2 3 4 2" xfId="31603"/>
    <cellStyle name="Note 5 2 2 2 3 4 2" xfId="31604"/>
    <cellStyle name="Note 6 3 2 3 4 2" xfId="31605"/>
    <cellStyle name="Note 6 2 2 2 3 4 2" xfId="31606"/>
    <cellStyle name="Note 7 3 2 3 4 2" xfId="31607"/>
    <cellStyle name="Note 7 2 2 2 3 4 2" xfId="31608"/>
    <cellStyle name="Note 8 2 2 3 4 2" xfId="31609"/>
    <cellStyle name="Note 9 2 2 3 4 2" xfId="31610"/>
    <cellStyle name="Output 12 2 3 4 2" xfId="31611"/>
    <cellStyle name="Output 2 8 2 3 4 2" xfId="31612"/>
    <cellStyle name="Output 3 4 2 3 4 2" xfId="31613"/>
    <cellStyle name="Output 4 4 2 3 4 2" xfId="31614"/>
    <cellStyle name="Output 5 3 2 3 4 2" xfId="31615"/>
    <cellStyle name="Total 10 2 3 4 2" xfId="31616"/>
    <cellStyle name="Total 11 2 3 4 2" xfId="31617"/>
    <cellStyle name="Total 2 8 2 3 4 2" xfId="31618"/>
    <cellStyle name="Total 3 3 2 3 4 2" xfId="31619"/>
    <cellStyle name="Total 4 3 2 3 4 2" xfId="31620"/>
    <cellStyle name="Total 5 2 2 3 4 2" xfId="31621"/>
    <cellStyle name="Total 12 2 3 4 2" xfId="31622"/>
    <cellStyle name="Total 2 9 2 3 4 2" xfId="31623"/>
    <cellStyle name="Total 3 4 2 3 4 2" xfId="31624"/>
    <cellStyle name="Total 4 4 2 3 4 2" xfId="31625"/>
    <cellStyle name="Total 5 3 2 3 4 2" xfId="31626"/>
    <cellStyle name="Input 18 2 3 4 2" xfId="31627"/>
    <cellStyle name="Calculation 12 2 3 4 2" xfId="31628"/>
    <cellStyle name="Input 19 2 3 4 2" xfId="31629"/>
    <cellStyle name="Note 13 2 3 4 2" xfId="31630"/>
    <cellStyle name="Output 13 2 3 4 2" xfId="31631"/>
    <cellStyle name="Total 13 2 3 4 2" xfId="31632"/>
    <cellStyle name="Calculation 2 8 2 3 4 2" xfId="31633"/>
    <cellStyle name="Calculation 3 4 2 3 4 2" xfId="31634"/>
    <cellStyle name="Calculation 4 4 2 3 4 2" xfId="31635"/>
    <cellStyle name="Calculation 5 3 2 3 4 2" xfId="31636"/>
    <cellStyle name="Input 2 8 2 3 4 2" xfId="31637"/>
    <cellStyle name="Input 3 4 2 3 4 2" xfId="31638"/>
    <cellStyle name="Input 4 4 2 3 4 2" xfId="31639"/>
    <cellStyle name="Input 5 4 2 3 4 2" xfId="31640"/>
    <cellStyle name="Note 2 8 2 3 4 2" xfId="31641"/>
    <cellStyle name="Note 2 2 5 2 3 4 2" xfId="31642"/>
    <cellStyle name="Note 3 6 2 3 4 2" xfId="31643"/>
    <cellStyle name="Note 3 2 6 2 3 4 2" xfId="31644"/>
    <cellStyle name="Note 4 5 2 3 4 2" xfId="31645"/>
    <cellStyle name="Note 4 2 4 2 3 4 2" xfId="31646"/>
    <cellStyle name="Note 5 4 2 3 4 2" xfId="31647"/>
    <cellStyle name="Note 5 2 3 2 3 4 2" xfId="31648"/>
    <cellStyle name="Note 6 4 2 3 4 2" xfId="31649"/>
    <cellStyle name="Note 6 2 3 2 3 4 2" xfId="31650"/>
    <cellStyle name="Note 7 4 2 3 4 2" xfId="31651"/>
    <cellStyle name="Note 7 2 3 2 3 4 2" xfId="31652"/>
    <cellStyle name="Note 8 3 2 3 4 2" xfId="31653"/>
    <cellStyle name="Output 2 9 2 3 4 2" xfId="31654"/>
    <cellStyle name="Output 3 5 2 3 4 2" xfId="31655"/>
    <cellStyle name="Output 4 5 2 3 4 2" xfId="31656"/>
    <cellStyle name="Output 5 4 2 3 4 2" xfId="31657"/>
    <cellStyle name="Total 2 10 2 3 4 2" xfId="31658"/>
    <cellStyle name="Total 3 5 2 3 4 2" xfId="31659"/>
    <cellStyle name="Total 4 5 2 3 4 2" xfId="31660"/>
    <cellStyle name="Total 5 4 2 3 4 2" xfId="31661"/>
    <cellStyle name="Input 20 2 3 4 2" xfId="31662"/>
    <cellStyle name="Input 21 2 3 4 2" xfId="31663"/>
    <cellStyle name="Calculation 12 5 5 2" xfId="31664"/>
    <cellStyle name="Input 11 2 2 5 2" xfId="31665"/>
    <cellStyle name="styleSeriesData 3 5 2" xfId="31666"/>
    <cellStyle name="Total 2 6 2 2 5 2" xfId="31667"/>
    <cellStyle name="Calculation 2 3 2 2 5 2" xfId="31668"/>
    <cellStyle name="Total 2 8 4 5 2" xfId="31669"/>
    <cellStyle name="Total 7 4 5 2" xfId="31670"/>
    <cellStyle name="Input 2 8 2 8 2" xfId="31671"/>
    <cellStyle name="Note 5 2 2 2 8 2" xfId="31672"/>
    <cellStyle name="Output 5 5 8 2" xfId="31673"/>
    <cellStyle name="styleSeriesAttributes 2 2 8 2" xfId="31674"/>
    <cellStyle name="Calculation 5 5 5 2" xfId="31675"/>
    <cellStyle name="Output 2 5 4 6 2" xfId="31676"/>
    <cellStyle name="Note 2 2 4 2 2 5 2" xfId="31677"/>
    <cellStyle name="Input 2 6 2 2 5 2" xfId="31678"/>
    <cellStyle name="Input 2 2 3 3 2 5 2" xfId="31679"/>
    <cellStyle name="Note 3 2 7 2 5 2" xfId="31680"/>
    <cellStyle name="Note 3 2 6 4 5 2" xfId="31681"/>
    <cellStyle name="Input 17 4 5 2" xfId="31682"/>
    <cellStyle name="Input 20 2 8 2" xfId="31683"/>
    <cellStyle name="Calculation 5 4 8 2" xfId="31684"/>
    <cellStyle name="Style 26 9 2" xfId="31685"/>
    <cellStyle name="Calculation 7 6 4 2" xfId="31686"/>
    <cellStyle name="Calculation 2 6 6 4 2" xfId="31687"/>
    <cellStyle name="Calculation 3 2 6 4 2" xfId="31688"/>
    <cellStyle name="Calculation 4 2 6 4 2" xfId="31689"/>
    <cellStyle name="Calculation 5 7 4 2" xfId="31690"/>
    <cellStyle name="Output 9 5 4 2" xfId="31691"/>
    <cellStyle name="Input 10 6 4 2" xfId="31692"/>
    <cellStyle name="Input 2 6 6 4 2" xfId="31693"/>
    <cellStyle name="Input 3 2 6 4 2" xfId="31694"/>
    <cellStyle name="Input 4 2 6 4 2" xfId="31695"/>
    <cellStyle name="Input 5 2 6 4 2" xfId="31696"/>
    <cellStyle name="Note 11 5 4 2" xfId="31697"/>
    <cellStyle name="Note 2 6 5 4 2" xfId="31698"/>
    <cellStyle name="Note 2 2 3 5 4 2" xfId="31699"/>
    <cellStyle name="Note 3 4 5 4 2" xfId="31700"/>
    <cellStyle name="Note 3 2 4 5 4 2" xfId="31701"/>
    <cellStyle name="Note 4 3 5 4 2" xfId="31702"/>
    <cellStyle name="Note 4 2 2 5 4 2" xfId="31703"/>
    <cellStyle name="Note 5 8 4 2" xfId="31704"/>
    <cellStyle name="Note 5 2 7 4 2" xfId="31705"/>
    <cellStyle name="Note 6 8 4 2" xfId="31706"/>
    <cellStyle name="Note 6 2 7 4 2" xfId="31707"/>
    <cellStyle name="Note 7 8 4 2" xfId="31708"/>
    <cellStyle name="Note 7 2 7 4 2" xfId="31709"/>
    <cellStyle name="Note 8 7 4 2" xfId="31710"/>
    <cellStyle name="Note 9 6 4 2" xfId="31711"/>
    <cellStyle name="Output 7 5 4 2" xfId="31712"/>
    <cellStyle name="Output 2 6 5 4 2" xfId="31713"/>
    <cellStyle name="Output 3 2 5 4 2" xfId="31714"/>
    <cellStyle name="Output 4 2 5 4 2" xfId="31715"/>
    <cellStyle name="Output 5 8 4 2" xfId="31716"/>
    <cellStyle name="Total 7 5 4 2" xfId="31717"/>
    <cellStyle name="Total 2 7 5 4 2" xfId="31718"/>
    <cellStyle name="Total 3 2 5 4 2" xfId="31719"/>
    <cellStyle name="Total 4 2 5 4 2" xfId="31720"/>
    <cellStyle name="Total 5 8 4 2" xfId="31721"/>
    <cellStyle name="Calculation 8 6 4 2" xfId="31722"/>
    <cellStyle name="Input 12 6 4 2" xfId="31723"/>
    <cellStyle name="Input 11 6 4 2" xfId="31724"/>
    <cellStyle name="Calculation 9 6 4 2" xfId="31725"/>
    <cellStyle name="Output 8 5 4 2" xfId="31726"/>
    <cellStyle name="Total 8 5 4 2" xfId="31727"/>
    <cellStyle name="Total 9 5 4 2" xfId="31728"/>
    <cellStyle name="Total 11 2 2 5 2" xfId="31729"/>
    <cellStyle name="Output 7 2 2 5 2" xfId="31730"/>
    <cellStyle name="Style 24 3 5 2" xfId="31731"/>
    <cellStyle name="Calculation 2 2 4 3 2 5 2" xfId="31732"/>
    <cellStyle name="Input 21 4 5 2" xfId="31733"/>
    <cellStyle name="Note 6 2 2 4 5 2" xfId="31734"/>
    <cellStyle name="Calculation 12 2 8 2" xfId="31735"/>
    <cellStyle name="Note 5 5 8 2" xfId="31736"/>
    <cellStyle name="Output 5 2 5 4 2" xfId="31737"/>
    <cellStyle name="Output 4 3 5 4 2" xfId="31738"/>
    <cellStyle name="Output 3 3 5 4 2" xfId="31739"/>
    <cellStyle name="Output 2 7 5 4 2" xfId="31740"/>
    <cellStyle name="Output 11 5 4 2" xfId="31741"/>
    <cellStyle name="styleSeriesDataNA 2 9 2" xfId="31742"/>
    <cellStyle name="Input 2 2 6 8 2" xfId="31743"/>
    <cellStyle name="Input 5 3 6 4 2" xfId="31744"/>
    <cellStyle name="Input 4 3 6 4 2" xfId="31745"/>
    <cellStyle name="Input 3 3 6 4 2" xfId="31746"/>
    <cellStyle name="Input 2 7 6 4 2" xfId="31747"/>
    <cellStyle name="Calculation 10 6 4 2" xfId="31748"/>
    <cellStyle name="Input 14 6 4 2" xfId="31749"/>
    <cellStyle name="Input 16 6 4 2" xfId="31750"/>
    <cellStyle name="Input 17 6 4 2" xfId="31751"/>
    <cellStyle name="Input 15 6 4 2" xfId="31752"/>
    <cellStyle name="Input 13 6 4 2" xfId="31753"/>
    <cellStyle name="Calculation 5 2 6 4 2" xfId="31754"/>
    <cellStyle name="Calculation 4 3 6 4 2" xfId="31755"/>
    <cellStyle name="Calculation 3 3 6 4 2" xfId="31756"/>
    <cellStyle name="Calculation 2 7 6 4 2" xfId="31757"/>
    <cellStyle name="Calculation 11 6 4 2" xfId="31758"/>
    <cellStyle name="Output 10 5 4 2" xfId="31759"/>
    <cellStyle name="Note 12 5 4 2" xfId="31760"/>
    <cellStyle name="Note 2 7 5 4 2" xfId="31761"/>
    <cellStyle name="Note 2 2 4 5 4 2" xfId="31762"/>
    <cellStyle name="Note 3 5 5 4 2" xfId="31763"/>
    <cellStyle name="Note 3 2 5 5 4 2" xfId="31764"/>
    <cellStyle name="Note 4 4 5 4 2" xfId="31765"/>
    <cellStyle name="Note 4 2 3 5 4 2" xfId="31766"/>
    <cellStyle name="Note 5 3 5 4 2" xfId="31767"/>
    <cellStyle name="Note 5 2 2 5 4 2" xfId="31768"/>
    <cellStyle name="Note 6 3 5 4 2" xfId="31769"/>
    <cellStyle name="Note 6 2 2 5 4 2" xfId="31770"/>
    <cellStyle name="Note 7 3 5 4 2" xfId="31771"/>
    <cellStyle name="Note 7 2 2 5 4 2" xfId="31772"/>
    <cellStyle name="Note 8 2 5 4 2" xfId="31773"/>
    <cellStyle name="Note 9 2 5 4 2" xfId="31774"/>
    <cellStyle name="Output 12 5 4 2" xfId="31775"/>
    <cellStyle name="Output 2 8 5 4 2" xfId="31776"/>
    <cellStyle name="Output 3 4 5 4 2" xfId="31777"/>
    <cellStyle name="Output 4 4 5 4 2" xfId="31778"/>
    <cellStyle name="Output 5 3 5 4 2" xfId="31779"/>
    <cellStyle name="Total 10 5 4 2" xfId="31780"/>
    <cellStyle name="Total 11 5 4 2" xfId="31781"/>
    <cellStyle name="Total 2 8 5 4 2" xfId="31782"/>
    <cellStyle name="Total 3 3 5 4 2" xfId="31783"/>
    <cellStyle name="Total 4 3 5 4 2" xfId="31784"/>
    <cellStyle name="Total 5 2 5 4 2" xfId="31785"/>
    <cellStyle name="Total 12 5 4 2" xfId="31786"/>
    <cellStyle name="Total 2 9 5 4 2" xfId="31787"/>
    <cellStyle name="Total 3 4 5 4 2" xfId="31788"/>
    <cellStyle name="Total 4 4 5 4 2" xfId="31789"/>
    <cellStyle name="Total 5 3 5 4 2" xfId="31790"/>
    <cellStyle name="Note 7 3 2 2 5 2" xfId="31791"/>
    <cellStyle name="Note 4 3 2 2 5 2" xfId="31792"/>
    <cellStyle name="Note 3 2 8 2 5 2" xfId="31793"/>
    <cellStyle name="Output 3 6 2 5 2" xfId="31794"/>
    <cellStyle name="Note 8 3 4 5 2" xfId="31795"/>
    <cellStyle name="Note 12 4 5 2" xfId="31796"/>
    <cellStyle name="Input 17 2 8 2" xfId="31797"/>
    <cellStyle name="Note 2 5 2 8 2" xfId="31798"/>
    <cellStyle name="Input 18 6 4 2" xfId="31799"/>
    <cellStyle name="Output 9 9 2" xfId="31800"/>
    <cellStyle name="Calculation 12 6 4 2" xfId="31801"/>
    <cellStyle name="Input 19 6 4 2" xfId="31802"/>
    <cellStyle name="Note 13 6 4 2" xfId="31803"/>
    <cellStyle name="Output 13 6 4 2" xfId="31804"/>
    <cellStyle name="Total 13 6 4 2" xfId="31805"/>
    <cellStyle name="Total 3 2 3 5 2" xfId="31806"/>
    <cellStyle name="Note 12 9 2" xfId="31807"/>
    <cellStyle name="Calculation 2 8 6 4 2" xfId="31808"/>
    <cellStyle name="Calculation 3 4 6 4 2" xfId="31809"/>
    <cellStyle name="Calculation 4 4 6 4 2" xfId="31810"/>
    <cellStyle name="Calculation 5 3 6 4 2" xfId="31811"/>
    <cellStyle name="Input 2 8 6 4 2" xfId="31812"/>
    <cellStyle name="Input 3 4 6 4 2" xfId="31813"/>
    <cellStyle name="Input 4 4 6 4 2" xfId="31814"/>
    <cellStyle name="Input 5 4 6 4 2" xfId="31815"/>
    <cellStyle name="Note 2 8 6 4 2" xfId="31816"/>
    <cellStyle name="Note 2 2 5 6 4 2" xfId="31817"/>
    <cellStyle name="Note 3 6 6 4 2" xfId="31818"/>
    <cellStyle name="Note 3 2 6 6 4 2" xfId="31819"/>
    <cellStyle name="Note 4 5 6 4 2" xfId="31820"/>
    <cellStyle name="Note 4 2 4 6 4 2" xfId="31821"/>
    <cellStyle name="Note 5 4 6 4 2" xfId="31822"/>
    <cellStyle name="Note 5 2 3 6 4 2" xfId="31823"/>
    <cellStyle name="Note 6 4 6 4 2" xfId="31824"/>
    <cellStyle name="Note 6 2 3 6 4 2" xfId="31825"/>
    <cellStyle name="Note 7 4 6 4 2" xfId="31826"/>
    <cellStyle name="Note 7 2 3 6 4 2" xfId="31827"/>
    <cellStyle name="Note 8 3 6 4 2" xfId="31828"/>
    <cellStyle name="Output 2 9 6 4 2" xfId="31829"/>
    <cellStyle name="Output 3 5 6 4 2" xfId="31830"/>
    <cellStyle name="Output 4 5 6 4 2" xfId="31831"/>
    <cellStyle name="Output 5 4 6 4 2" xfId="31832"/>
    <cellStyle name="Total 2 10 6 4 2" xfId="31833"/>
    <cellStyle name="Total 3 5 6 4 2" xfId="31834"/>
    <cellStyle name="Total 4 5 6 4 2" xfId="31835"/>
    <cellStyle name="Total 5 4 6 4 2" xfId="31836"/>
    <cellStyle name="Input 20 6 4 2" xfId="31837"/>
    <cellStyle name="Calculation 2 8 5 5 2" xfId="31838"/>
    <cellStyle name="Calculation 4 3 10 2" xfId="31839"/>
    <cellStyle name="Input 21 6 4 2" xfId="31840"/>
    <cellStyle name="Output 7 3 5 2" xfId="31841"/>
    <cellStyle name="Input 14 10 2" xfId="31842"/>
    <cellStyle name="Input 11 10 2" xfId="31843"/>
    <cellStyle name="Input 10 3 2 4 2" xfId="31844"/>
    <cellStyle name="Input 2 4 4 2 4 2" xfId="31845"/>
    <cellStyle name="Input 7 4 2 4 2" xfId="31846"/>
    <cellStyle name="Note 4 2 6 4 4 2" xfId="31847"/>
    <cellStyle name="Note 3 3 3 4 4 2" xfId="31848"/>
    <cellStyle name="Note 2 5 3 4 4 2" xfId="31849"/>
    <cellStyle name="Note 2 4 2 3 4 4 2" xfId="31850"/>
    <cellStyle name="Note 2 3 2 3 4 4 2" xfId="31851"/>
    <cellStyle name="Note 2 2 2 3 4 4 2" xfId="31852"/>
    <cellStyle name="Input 6 6 4 2" xfId="31853"/>
    <cellStyle name="Input 4 7 4 2" xfId="31854"/>
    <cellStyle name="Input 2 4 5 4 2" xfId="31855"/>
    <cellStyle name="Input 2 2 4 5 4 2" xfId="31856"/>
    <cellStyle name="Input 2 2 2 5 4 2" xfId="31857"/>
    <cellStyle name="Input 2 12 4 2" xfId="31858"/>
    <cellStyle name="Input 24 4 2" xfId="31859"/>
    <cellStyle name="Note 14 4 2" xfId="31860"/>
    <cellStyle name="Note 2 11 4 2" xfId="31861"/>
    <cellStyle name="Note 2 2 8 4 2" xfId="31862"/>
    <cellStyle name="Calculation 2 9 4 4 2" xfId="31863"/>
    <cellStyle name="Calculation 2 2 5 4 4 2" xfId="31864"/>
    <cellStyle name="Calculation 2 2 2 2 4 4 2" xfId="31865"/>
    <cellStyle name="Calculation 2 2 3 2 4 4 2" xfId="31866"/>
    <cellStyle name="Calculation 2 2 4 2 4 4 2" xfId="31867"/>
    <cellStyle name="Calculation 2 3 2 4 4 2" xfId="31868"/>
    <cellStyle name="Calculation 2 4 2 4 4 2" xfId="31869"/>
    <cellStyle name="Calculation 2 5 2 4 4 2" xfId="31870"/>
    <cellStyle name="Calculation 3 5 4 4 2" xfId="31871"/>
    <cellStyle name="Note 3 2 10 4 2" xfId="31872"/>
    <cellStyle name="Note 3 2 2 5 4 2" xfId="31873"/>
    <cellStyle name="Note 4 8 4 2" xfId="31874"/>
    <cellStyle name="Output 3 8 2 4 2" xfId="31875"/>
    <cellStyle name="Calculation 2 3 5 4 2" xfId="31876"/>
    <cellStyle name="Calculation 2 2 4 5 4 2" xfId="31877"/>
    <cellStyle name="Calculation 2 2 3 5 4 2" xfId="31878"/>
    <cellStyle name="Calculation 2 2 2 5 4 2" xfId="31879"/>
    <cellStyle name="Calculation 2 2 8 4 2" xfId="31880"/>
    <cellStyle name="Calculation 13 4 2" xfId="31881"/>
    <cellStyle name="Output 4 4 3 5 2" xfId="31882"/>
    <cellStyle name="Output 2 3 4 6 2" xfId="31883"/>
    <cellStyle name="Input 2 10 8 2" xfId="31884"/>
    <cellStyle name="Input 2 2 7 6 2" xfId="31885"/>
    <cellStyle name="Style 22 9 2" xfId="31886"/>
    <cellStyle name="Style 24 2 9 2" xfId="31887"/>
    <cellStyle name="Calculation 10 4 5 2" xfId="31888"/>
    <cellStyle name="Input 21 10 2" xfId="31889"/>
    <cellStyle name="Note 2 8 4 5 2" xfId="31890"/>
    <cellStyle name="Note 2 2 2 2 2 5 2" xfId="31891"/>
    <cellStyle name="Input 4 3 5 5 2" xfId="31892"/>
    <cellStyle name="Total 4 4 2 8 2" xfId="31893"/>
    <cellStyle name="Input 3 3 4 5 2" xfId="31894"/>
    <cellStyle name="Calculation 4 4 10 2" xfId="31895"/>
    <cellStyle name="Total 2 2 2 4 2 4 2" xfId="31896"/>
    <cellStyle name="Total 2 2 4 4 2 4 2" xfId="31897"/>
    <cellStyle name="Input 5 4 4 5 2" xfId="31898"/>
    <cellStyle name="Total 14 4 2" xfId="31899"/>
    <cellStyle name="Header2 2 4 4 2" xfId="31900"/>
    <cellStyle name="Input 2 5 3 4 4 2" xfId="31901"/>
    <cellStyle name="Input 2 9 4 4 2" xfId="31902"/>
    <cellStyle name="Input 2 2 5 4 4 2" xfId="31903"/>
    <cellStyle name="Input 2 2 2 2 4 4 2" xfId="31904"/>
    <cellStyle name="Input 2 2 3 2 4 4 2" xfId="31905"/>
    <cellStyle name="Input 2 2 4 2 4 4 2" xfId="31906"/>
    <cellStyle name="Input 2 3 2 4 4 2" xfId="31907"/>
    <cellStyle name="Input 2 4 2 4 4 2" xfId="31908"/>
    <cellStyle name="Input 2 5 2 4 4 2" xfId="31909"/>
    <cellStyle name="Input 3 5 4 4 2" xfId="31910"/>
    <cellStyle name="Input 4 5 4 4 2" xfId="31911"/>
    <cellStyle name="Input 5 5 4 4 2" xfId="31912"/>
    <cellStyle name="Input 6 3 4 4 2" xfId="31913"/>
    <cellStyle name="Input 7 2 4 4 2" xfId="31914"/>
    <cellStyle name="Input 8 2 4 4 2" xfId="31915"/>
    <cellStyle name="Calculation 2 5 3 4 4 2" xfId="31916"/>
    <cellStyle name="Input 4 2 3 5 2" xfId="31917"/>
    <cellStyle name="Total 2 4 3 4 4 2" xfId="31918"/>
    <cellStyle name="Total 2 2 4 3 4 4 2" xfId="31919"/>
    <cellStyle name="Total 2 2 3 3 4 4 2" xfId="31920"/>
    <cellStyle name="Total 2 12 4 4 2" xfId="31921"/>
    <cellStyle name="Output 3 4 3 5 2" xfId="31922"/>
    <cellStyle name="Output 14 4 2" xfId="31923"/>
    <cellStyle name="Note 2 4 6 4 2" xfId="31924"/>
    <cellStyle name="Calculation 2 2 7 2 4 2" xfId="31925"/>
    <cellStyle name="Calculation 2 2 4 4 2 4 2" xfId="31926"/>
    <cellStyle name="Header2 3 2 4 2" xfId="31927"/>
    <cellStyle name="Input 2 2 7 2 4 2" xfId="31928"/>
    <cellStyle name="Input 2 3 4 2 4 2" xfId="31929"/>
    <cellStyle name="Input [yellow] 3 4 2" xfId="31930"/>
    <cellStyle name="Total 2 10 3 5 2" xfId="31931"/>
    <cellStyle name="Total 12 2 8 2" xfId="31932"/>
    <cellStyle name="Total 2 2 7 2 4 2" xfId="31933"/>
    <cellStyle name="Total 2 4 4 2 4 2" xfId="31934"/>
    <cellStyle name="Note 2 9 4 4 2" xfId="31935"/>
    <cellStyle name="Note 2 2 6 4 4 2" xfId="31936"/>
    <cellStyle name="Note 2 3 3 4 4 2" xfId="31937"/>
    <cellStyle name="Note 2 4 3 4 4 2" xfId="31938"/>
    <cellStyle name="Note 3 7 4 4 2" xfId="31939"/>
    <cellStyle name="Note 3 2 7 4 4 2" xfId="31940"/>
    <cellStyle name="Output 2 10 4 4 2" xfId="31941"/>
    <cellStyle name="Output 2 2 5 4 4 2" xfId="31942"/>
    <cellStyle name="Output 2 2 2 2 4 4 2" xfId="31943"/>
    <cellStyle name="Output 2 2 3 2 4 4 2" xfId="31944"/>
    <cellStyle name="Output 2 2 4 2 4 4 2" xfId="31945"/>
    <cellStyle name="Output 2 3 2 4 4 2" xfId="31946"/>
    <cellStyle name="Output 2 4 2 4 4 2" xfId="31947"/>
    <cellStyle name="Output 2 5 2 4 4 2" xfId="31948"/>
    <cellStyle name="Output 3 6 4 4 2" xfId="31949"/>
    <cellStyle name="Input 7 3 4 4 2" xfId="31950"/>
    <cellStyle name="Input 5 6 4 4 2" xfId="31951"/>
    <cellStyle name="Input 3 6 4 4 2" xfId="31952"/>
    <cellStyle name="Input 2 4 3 4 4 2" xfId="31953"/>
    <cellStyle name="Input 2 2 4 3 4 4 2" xfId="31954"/>
    <cellStyle name="Input 2 2 2 3 4 4 2" xfId="31955"/>
    <cellStyle name="Input 2 10 4 4 2" xfId="31956"/>
    <cellStyle name="Calculation 3 6 4 4 2" xfId="31957"/>
    <cellStyle name="Calculation 2 4 3 4 4 2" xfId="31958"/>
    <cellStyle name="Calculation 2 2 4 3 4 4 2" xfId="31959"/>
    <cellStyle name="Calculation 2 2 2 3 4 4 2" xfId="31960"/>
    <cellStyle name="Calculation 2 10 4 4 2" xfId="31961"/>
    <cellStyle name="StmtTtl2 2 4 4 2" xfId="31962"/>
    <cellStyle name="Total 2 11 4 4 2" xfId="31963"/>
    <cellStyle name="Total 2 2 5 4 4 2" xfId="31964"/>
    <cellStyle name="Total 2 2 2 2 4 4 2" xfId="31965"/>
    <cellStyle name="Total 2 2 3 2 4 4 2" xfId="31966"/>
    <cellStyle name="Total 2 2 4 2 4 4 2" xfId="31967"/>
    <cellStyle name="Total 2 3 2 4 4 2" xfId="31968"/>
    <cellStyle name="Total 2 4 2 4 4 2" xfId="31969"/>
    <cellStyle name="Total 2 5 2 4 4 2" xfId="31970"/>
    <cellStyle name="Total 2 6 2 4 4 2" xfId="31971"/>
    <cellStyle name="Total 3 6 4 4 2" xfId="31972"/>
    <cellStyle name="Note 13 2 2 5 2" xfId="31973"/>
    <cellStyle name="Note 2 3 2 3 3 5 2" xfId="31974"/>
    <cellStyle name="styleSeriesDataForecastNA 2 3 5 2" xfId="31975"/>
    <cellStyle name="Output 2 5 3 2 5 2" xfId="31976"/>
    <cellStyle name="Input 2 5 3 2 5 2" xfId="31977"/>
    <cellStyle name="Total 2 9 4 5 2" xfId="31978"/>
    <cellStyle name="Calculation 8 4 5 2" xfId="31979"/>
    <cellStyle name="Note 2 8 2 8 2" xfId="31980"/>
    <cellStyle name="Note 8 2 2 8 2" xfId="31981"/>
    <cellStyle name="Total 4 2 2 8 2" xfId="31982"/>
    <cellStyle name="Output 2 5 3 4 4 2" xfId="31983"/>
    <cellStyle name="Input 8 5 4 2" xfId="31984"/>
    <cellStyle name="Note 3 9 4 2" xfId="31985"/>
    <cellStyle name="Output 10 3 5 2" xfId="31986"/>
    <cellStyle name="Note 2 3 5 2 4 2" xfId="31987"/>
    <cellStyle name="Note 2 4 5 2 4 2" xfId="31988"/>
    <cellStyle name="Note 3 2 9 2 4 2" xfId="31989"/>
    <cellStyle name="Output 2 12 2 4 2" xfId="31990"/>
    <cellStyle name="Output 2 2 7 2 4 2" xfId="31991"/>
    <cellStyle name="Output 2 2 2 4 2 4 2" xfId="31992"/>
    <cellStyle name="Output 2 3 4 2 4 2" xfId="31993"/>
    <cellStyle name="Output 2 4 4 2 4 2" xfId="31994"/>
    <cellStyle name="Output 2 8 3 5 2" xfId="31995"/>
    <cellStyle name="Calculation 2 4 4 2 4 2" xfId="31996"/>
    <cellStyle name="Input 2 2 2 4 2 4 2" xfId="31997"/>
    <cellStyle name="Output 2 3 3 4 4 2" xfId="31998"/>
    <cellStyle name="Output 2 2 3 3 4 4 2" xfId="31999"/>
    <cellStyle name="Output 2 2 6 4 4 2" xfId="32000"/>
    <cellStyle name="Note 4 7 4 4 2" xfId="32001"/>
    <cellStyle name="Note 3 2 2 3 4 4 2" xfId="32002"/>
    <cellStyle name="Note 3 8 4 4 2" xfId="32003"/>
    <cellStyle name="Note 2 4 4 4 4 2" xfId="32004"/>
    <cellStyle name="Note 2 2 7 4 4 2" xfId="32005"/>
    <cellStyle name="Input 7 5 4 2" xfId="32006"/>
    <cellStyle name="Input 3 7 4 2" xfId="32007"/>
    <cellStyle name="Input 2 2 3 5 4 2" xfId="32008"/>
    <cellStyle name="Input 2 2 3 2 8 2" xfId="32009"/>
    <cellStyle name="Total 5 4 3 5 2" xfId="32010"/>
    <cellStyle name="Note 3 2 2 2 4 4 2" xfId="32011"/>
    <cellStyle name="Note 4 6 4 4 2" xfId="32012"/>
    <cellStyle name="Input 3 2 5 5 2" xfId="32013"/>
    <cellStyle name="Calculation 2 12 4 2" xfId="32014"/>
    <cellStyle name="Calculation 2 4 5 4 2" xfId="32015"/>
    <cellStyle name="Output 11 4 5 2" xfId="32016"/>
    <cellStyle name="Style 23 2 9 2" xfId="32017"/>
    <cellStyle name="Total 2 13 2 4 2" xfId="32018"/>
    <cellStyle name="Total 3 8 2 4 2" xfId="32019"/>
    <cellStyle name="Total 2 3 4 2 4 2" xfId="32020"/>
    <cellStyle name="Total 3 7 4 4 2" xfId="32021"/>
    <cellStyle name="Total 2 5 3 4 4 2" xfId="32022"/>
    <cellStyle name="Total 2 3 3 4 4 2" xfId="32023"/>
    <cellStyle name="Total 2 2 6 4 4 2" xfId="32024"/>
    <cellStyle name="Total 2 2 2 3 4 4 2" xfId="32025"/>
    <cellStyle name="StmtTtl2 3 4 4 2" xfId="32026"/>
    <cellStyle name="Calculation 2 11 2 4 2" xfId="32027"/>
    <cellStyle name="Input 23 4 2" xfId="32028"/>
    <cellStyle name="Input 2 11 2 4 2" xfId="32029"/>
    <cellStyle name="Input 2 2 4 4 2 4 2" xfId="32030"/>
    <cellStyle name="Input 8 4 2 4 2" xfId="32031"/>
    <cellStyle name="Output 3 7 4 4 2" xfId="32032"/>
    <cellStyle name="Input 22 4 2" xfId="32033"/>
    <cellStyle name="Header2 4 2 4 2" xfId="32034"/>
    <cellStyle name="Calculation 5 2 2 2 5 2" xfId="32035"/>
    <cellStyle name="Note 6 4 2 2 5 2" xfId="32036"/>
    <cellStyle name="Input 4 4 4 5 2" xfId="32037"/>
    <cellStyle name="StmtTtl2 4 2 4 2" xfId="32038"/>
    <cellStyle name="Total 2 2 3 4 2 4 2" xfId="32039"/>
    <cellStyle name="Total 2 5 4 2 4 2" xfId="32040"/>
    <cellStyle name="Note 2 5 2 4 4 2" xfId="32041"/>
    <cellStyle name="Note 2 2 2 2 4 4 2" xfId="32042"/>
    <cellStyle name="Note 2 3 2 2 4 4 2" xfId="32043"/>
    <cellStyle name="Note 2 4 2 2 4 4 2" xfId="32044"/>
    <cellStyle name="Note 3 3 2 4 4 2" xfId="32045"/>
    <cellStyle name="Input 8 3 4 4 2" xfId="32046"/>
    <cellStyle name="Input 6 4 4 4 2" xfId="32047"/>
    <cellStyle name="Input 4 6 4 4 2" xfId="32048"/>
    <cellStyle name="Input 2 3 3 4 4 2" xfId="32049"/>
    <cellStyle name="Input 2 2 3 3 4 4 2" xfId="32050"/>
    <cellStyle name="Input 2 2 6 4 4 2" xfId="32051"/>
    <cellStyle name="Calculation 2 3 3 4 4 2" xfId="32052"/>
    <cellStyle name="Calculation 2 2 3 3 4 4 2" xfId="32053"/>
    <cellStyle name="Calculation 2 2 6 4 4 2" xfId="32054"/>
    <cellStyle name="Calculation 3 8 4 2" xfId="32055"/>
    <cellStyle name="Note 3 2 2 4 2 4 2" xfId="32056"/>
    <cellStyle name="Output 2 2 4 4 2 4 2" xfId="32057"/>
    <cellStyle name="Output 2 2 3 4 2 4 2" xfId="32058"/>
    <cellStyle name="Input 2 2 3 4 2 4 2" xfId="32059"/>
    <cellStyle name="Output 2 4 3 4 4 2" xfId="32060"/>
    <cellStyle name="Output 2 2 4 3 4 4 2" xfId="32061"/>
    <cellStyle name="Output 2 2 2 3 4 4 2" xfId="32062"/>
    <cellStyle name="Output 2 11 4 4 2" xfId="32063"/>
    <cellStyle name="Note 3 2 8 4 4 2" xfId="32064"/>
    <cellStyle name="Note 2 3 4 4 4 2" xfId="32065"/>
    <cellStyle name="Note 2 10 4 4 2" xfId="32066"/>
    <cellStyle name="Input 5 8 4 2" xfId="32067"/>
    <cellStyle name="Input 2 3 5 4 2" xfId="32068"/>
    <cellStyle name="Input 2 2 8 4 2" xfId="32069"/>
    <cellStyle name="Note 4 2 5 4 4 2" xfId="32070"/>
    <cellStyle name="Style 21 5 4 2" xfId="32071"/>
    <cellStyle name="Style 21 2 5 4 2" xfId="32072"/>
    <cellStyle name="Style 22 5 4 2" xfId="32073"/>
    <cellStyle name="Style 22 2 5 4 2" xfId="32074"/>
    <cellStyle name="Style 23 5 4 2" xfId="32075"/>
    <cellStyle name="Style 23 2 5 4 2" xfId="32076"/>
    <cellStyle name="Style 24 5 4 2" xfId="32077"/>
    <cellStyle name="Style 24 2 5 4 2" xfId="32078"/>
    <cellStyle name="Style 25 5 4 2" xfId="32079"/>
    <cellStyle name="Style 25 2 5 4 2" xfId="32080"/>
    <cellStyle name="Style 26 5 4 2" xfId="32081"/>
    <cellStyle name="Style 26 2 5 4 2" xfId="32082"/>
    <cellStyle name="styleColumnTitles 5 4 2" xfId="32083"/>
    <cellStyle name="styleColumnTitles 2 5 4 2" xfId="32084"/>
    <cellStyle name="styleDateRange 5 4 2" xfId="32085"/>
    <cellStyle name="styleDateRange 2 5 4 2" xfId="32086"/>
    <cellStyle name="styleSeriesAttributes 5 4 2" xfId="32087"/>
    <cellStyle name="styleSeriesAttributes 2 5 4 2" xfId="32088"/>
    <cellStyle name="styleSeriesData 5 4 2" xfId="32089"/>
    <cellStyle name="styleSeriesData 2 5 4 2" xfId="32090"/>
    <cellStyle name="styleSeriesDataForecast 5 4 2" xfId="32091"/>
    <cellStyle name="styleSeriesDataForecast 2 5 4 2" xfId="32092"/>
    <cellStyle name="styleSeriesDataForecastNA 5 4 2" xfId="32093"/>
    <cellStyle name="styleSeriesDataForecastNA 2 5 4 2" xfId="32094"/>
    <cellStyle name="styleSeriesDataNA 5 4 2" xfId="32095"/>
    <cellStyle name="styleSeriesDataNA 2 5 4 2" xfId="32096"/>
    <cellStyle name="Style 21 2 2 4 4 2" xfId="32097"/>
    <cellStyle name="Style 22 2 2 4 4 2" xfId="32098"/>
    <cellStyle name="Style 23 2 2 4 4 2" xfId="32099"/>
    <cellStyle name="Style 24 2 2 4 4 2" xfId="32100"/>
    <cellStyle name="Style 25 2 2 4 4 2" xfId="32101"/>
    <cellStyle name="Style 26 2 2 4 4 2" xfId="32102"/>
    <cellStyle name="styleColumnTitles 2 2 4 4 2" xfId="32103"/>
    <cellStyle name="styleDateRange 2 2 4 4 2" xfId="32104"/>
    <cellStyle name="styleSeriesAttributes 2 2 4 4 2" xfId="32105"/>
    <cellStyle name="styleSeriesData 2 2 4 4 2" xfId="32106"/>
    <cellStyle name="styleSeriesDataForecast 2 2 4 4 2" xfId="32107"/>
    <cellStyle name="styleSeriesDataForecastNA 2 2 4 4 2" xfId="32108"/>
    <cellStyle name="styleSeriesDataNA 2 2 4 4 2" xfId="32109"/>
    <cellStyle name="Note 5 4 5 5 2" xfId="32110"/>
    <cellStyle name="Calculation 3 7 2 4 2" xfId="32111"/>
    <cellStyle name="Calculation 2 3 4 2 4 2" xfId="32112"/>
    <cellStyle name="Calculation 2 2 3 4 2 4 2" xfId="32113"/>
    <cellStyle name="Calculation 2 2 2 4 2 4 2" xfId="32114"/>
    <cellStyle name="Note 2 3 6 4 2" xfId="32115"/>
    <cellStyle name="Input 21 3 5 2" xfId="32116"/>
    <cellStyle name="Total 2 6 3 4 4 2" xfId="32117"/>
    <cellStyle name="Note 2 2 5 5 5 2" xfId="32118"/>
    <cellStyle name="Note 5 3 2 2 5 2" xfId="32119"/>
    <cellStyle name="Note 2 6 2 2 5 2" xfId="32120"/>
    <cellStyle name="Output 2 4 3 2 5 2" xfId="32121"/>
    <cellStyle name="Output 2 2 4 2 2 5 2" xfId="32122"/>
    <cellStyle name="Note 6 4 4 5 2" xfId="32123"/>
    <cellStyle name="Calculation 3 3 4 5 2" xfId="32124"/>
    <cellStyle name="Input 2 7 2 8 2" xfId="32125"/>
    <cellStyle name="Input 4 2 2 8 2" xfId="32126"/>
    <cellStyle name="styleDateRange 2 9 2" xfId="32127"/>
    <cellStyle name="Total 2 2 6 8 2" xfId="32128"/>
    <cellStyle name="Calculation 7 2 4 4 2" xfId="32129"/>
    <cellStyle name="Calculation 2 6 2 4 4 2" xfId="32130"/>
    <cellStyle name="Calculation 3 2 2 4 4 2" xfId="32131"/>
    <cellStyle name="Calculation 4 2 2 4 4 2" xfId="32132"/>
    <cellStyle name="Calculation 5 4 4 4 2" xfId="32133"/>
    <cellStyle name="Output 9 2 4 4 2" xfId="32134"/>
    <cellStyle name="Input 10 2 4 4 2" xfId="32135"/>
    <cellStyle name="Input 2 6 2 4 4 2" xfId="32136"/>
    <cellStyle name="Input 3 2 2 4 4 2" xfId="32137"/>
    <cellStyle name="Input 4 2 2 4 4 2" xfId="32138"/>
    <cellStyle name="Input 5 2 2 4 4 2" xfId="32139"/>
    <cellStyle name="Note 11 2 4 4 2" xfId="32140"/>
    <cellStyle name="Note 2 6 2 4 4 2" xfId="32141"/>
    <cellStyle name="Note 2 2 3 2 4 4 2" xfId="32142"/>
    <cellStyle name="Note 3 4 2 4 4 2" xfId="32143"/>
    <cellStyle name="Note 3 2 4 2 4 4 2" xfId="32144"/>
    <cellStyle name="Note 4 3 2 4 4 2" xfId="32145"/>
    <cellStyle name="Note 4 2 2 2 4 4 2" xfId="32146"/>
    <cellStyle name="Note 5 5 4 4 2" xfId="32147"/>
    <cellStyle name="Note 5 2 4 4 4 2" xfId="32148"/>
    <cellStyle name="Note 6 5 4 4 2" xfId="32149"/>
    <cellStyle name="Note 6 2 4 4 4 2" xfId="32150"/>
    <cellStyle name="Note 7 5 4 4 2" xfId="32151"/>
    <cellStyle name="Note 7 2 4 4 4 2" xfId="32152"/>
    <cellStyle name="Note 8 4 4 4 2" xfId="32153"/>
    <cellStyle name="Note 9 3 4 4 2" xfId="32154"/>
    <cellStyle name="Output 7 2 4 4 2" xfId="32155"/>
    <cellStyle name="Output 2 6 2 4 4 2" xfId="32156"/>
    <cellStyle name="Output 3 2 2 4 4 2" xfId="32157"/>
    <cellStyle name="Output 4 2 2 4 4 2" xfId="32158"/>
    <cellStyle name="Output 5 5 4 4 2" xfId="32159"/>
    <cellStyle name="Input 5 7 2 4 2" xfId="32160"/>
    <cellStyle name="Input 6 5 2 4 2" xfId="32161"/>
    <cellStyle name="Style 24 9 2" xfId="32162"/>
    <cellStyle name="Total 7 2 4 4 2" xfId="32163"/>
    <cellStyle name="Total 2 7 2 4 4 2" xfId="32164"/>
    <cellStyle name="Total 3 2 2 4 4 2" xfId="32165"/>
    <cellStyle name="Total 4 2 2 4 4 2" xfId="32166"/>
    <cellStyle name="Total 5 5 4 4 2" xfId="32167"/>
    <cellStyle name="Input 2 7 4 5 2" xfId="32168"/>
    <cellStyle name="Calculation 8 2 4 4 2" xfId="32169"/>
    <cellStyle name="Input 12 2 4 4 2" xfId="32170"/>
    <cellStyle name="Input 11 2 4 4 2" xfId="32171"/>
    <cellStyle name="Calculation 9 2 4 4 2" xfId="32172"/>
    <cellStyle name="Output 8 2 4 4 2" xfId="32173"/>
    <cellStyle name="Total 8 2 4 4 2" xfId="32174"/>
    <cellStyle name="Total 9 2 4 4 2" xfId="32175"/>
    <cellStyle name="Total 12 2 2 5 2" xfId="32176"/>
    <cellStyle name="Total 7 2 2 5 2" xfId="32177"/>
    <cellStyle name="Style 26 2 3 5 2" xfId="32178"/>
    <cellStyle name="Total 2 2 5 2 5 2" xfId="32179"/>
    <cellStyle name="Note 2 3 2 3 2 5 2" xfId="32180"/>
    <cellStyle name="Output 12 4 5 2" xfId="32181"/>
    <cellStyle name="Note 9 5 5 2" xfId="32182"/>
    <cellStyle name="Note 2 7 2 8 2" xfId="32183"/>
    <cellStyle name="Note 7 2 4 8 2" xfId="32184"/>
    <cellStyle name="Output 5 2 2 4 4 2" xfId="32185"/>
    <cellStyle name="Output 4 3 2 4 4 2" xfId="32186"/>
    <cellStyle name="Output 3 3 2 4 4 2" xfId="32187"/>
    <cellStyle name="Output 2 7 2 4 4 2" xfId="32188"/>
    <cellStyle name="Output 11 2 4 4 2" xfId="32189"/>
    <cellStyle name="Style 24 2 2 8 2" xfId="32190"/>
    <cellStyle name="Output 2 2 4 3 8 2" xfId="32191"/>
    <cellStyle name="Input 5 3 2 4 4 2" xfId="32192"/>
    <cellStyle name="Input 4 3 2 4 4 2" xfId="32193"/>
    <cellStyle name="Input 3 3 2 4 4 2" xfId="32194"/>
    <cellStyle name="Input 2 7 2 4 4 2" xfId="32195"/>
    <cellStyle name="Calculation 10 2 4 4 2" xfId="32196"/>
    <cellStyle name="Input 14 2 4 4 2" xfId="32197"/>
    <cellStyle name="Input 16 2 4 4 2" xfId="32198"/>
    <cellStyle name="Input 17 2 4 4 2" xfId="32199"/>
    <cellStyle name="Input 15 2 4 4 2" xfId="32200"/>
    <cellStyle name="Input 13 2 4 4 2" xfId="32201"/>
    <cellStyle name="Calculation 5 2 2 4 4 2" xfId="32202"/>
    <cellStyle name="Calculation 4 3 2 4 4 2" xfId="32203"/>
    <cellStyle name="Calculation 3 3 2 4 4 2" xfId="32204"/>
    <cellStyle name="Calculation 2 7 2 4 4 2" xfId="32205"/>
    <cellStyle name="Calculation 11 2 4 4 2" xfId="32206"/>
    <cellStyle name="Output 10 2 4 4 2" xfId="32207"/>
    <cellStyle name="Note 12 2 4 4 2" xfId="32208"/>
    <cellStyle name="Note 2 7 2 4 4 2" xfId="32209"/>
    <cellStyle name="Note 2 2 4 2 4 4 2" xfId="32210"/>
    <cellStyle name="Note 3 5 2 4 4 2" xfId="32211"/>
    <cellStyle name="Note 3 2 5 2 4 4 2" xfId="32212"/>
    <cellStyle name="Note 4 4 2 4 4 2" xfId="32213"/>
    <cellStyle name="Note 4 2 3 2 4 4 2" xfId="32214"/>
    <cellStyle name="Note 5 3 2 4 4 2" xfId="32215"/>
    <cellStyle name="Note 5 2 2 2 4 4 2" xfId="32216"/>
    <cellStyle name="Note 6 3 2 4 4 2" xfId="32217"/>
    <cellStyle name="Note 6 2 2 2 4 4 2" xfId="32218"/>
    <cellStyle name="Note 7 3 2 4 4 2" xfId="32219"/>
    <cellStyle name="Note 7 2 2 2 4 4 2" xfId="32220"/>
    <cellStyle name="Note 8 2 2 4 4 2" xfId="32221"/>
    <cellStyle name="Note 9 2 2 4 4 2" xfId="32222"/>
    <cellStyle name="Output 12 2 4 4 2" xfId="32223"/>
    <cellStyle name="Output 2 8 2 4 4 2" xfId="32224"/>
    <cellStyle name="Output 3 4 2 4 4 2" xfId="32225"/>
    <cellStyle name="Output 4 4 2 4 4 2" xfId="32226"/>
    <cellStyle name="Output 5 3 2 4 4 2" xfId="32227"/>
    <cellStyle name="Total 10 2 4 4 2" xfId="32228"/>
    <cellStyle name="Total 11 2 4 4 2" xfId="32229"/>
    <cellStyle name="Total 2 8 2 4 4 2" xfId="32230"/>
    <cellStyle name="Total 3 3 2 4 4 2" xfId="32231"/>
    <cellStyle name="Total 4 3 2 4 4 2" xfId="32232"/>
    <cellStyle name="Total 5 2 2 4 4 2" xfId="32233"/>
    <cellStyle name="Total 12 2 4 4 2" xfId="32234"/>
    <cellStyle name="Total 2 9 2 4 4 2" xfId="32235"/>
    <cellStyle name="Total 3 4 2 4 4 2" xfId="32236"/>
    <cellStyle name="Total 4 4 2 4 4 2" xfId="32237"/>
    <cellStyle name="Total 5 3 2 4 4 2" xfId="32238"/>
    <cellStyle name="Output 2 8 2 2 5 2" xfId="32239"/>
    <cellStyle name="Note 6 2 4 2 5 2" xfId="32240"/>
    <cellStyle name="Style 21 2 3 5 2" xfId="32241"/>
    <cellStyle name="Input 2 2 4 3 2 5 2" xfId="32242"/>
    <cellStyle name="Total 2 10 4 5 2" xfId="32243"/>
    <cellStyle name="Note 4 4 4 5 2" xfId="32244"/>
    <cellStyle name="Calculation 3 3 2 8 2" xfId="32245"/>
    <cellStyle name="Note 2 2 3 2 8 2" xfId="32246"/>
    <cellStyle name="styleSeriesDataForecast 9 2" xfId="32247"/>
    <cellStyle name="Input 8 3 8 2" xfId="32248"/>
    <cellStyle name="Input 18 2 4 4 2" xfId="32249"/>
    <cellStyle name="Calculation 12 2 4 4 2" xfId="32250"/>
    <cellStyle name="Input 19 2 4 4 2" xfId="32251"/>
    <cellStyle name="Note 13 2 4 4 2" xfId="32252"/>
    <cellStyle name="Output 13 2 4 4 2" xfId="32253"/>
    <cellStyle name="Total 13 2 4 4 2" xfId="32254"/>
    <cellStyle name="Input 12 3 5 2" xfId="32255"/>
    <cellStyle name="Note 3 2 5 9 2" xfId="32256"/>
    <cellStyle name="Calculation 2 8 2 4 4 2" xfId="32257"/>
    <cellStyle name="Calculation 3 4 2 4 4 2" xfId="32258"/>
    <cellStyle name="Calculation 4 4 2 4 4 2" xfId="32259"/>
    <cellStyle name="Calculation 5 3 2 4 4 2" xfId="32260"/>
    <cellStyle name="Input 2 8 2 4 4 2" xfId="32261"/>
    <cellStyle name="Input 3 4 2 4 4 2" xfId="32262"/>
    <cellStyle name="Input 4 4 2 4 4 2" xfId="32263"/>
    <cellStyle name="Input 5 4 2 4 4 2" xfId="32264"/>
    <cellStyle name="Calculation 3 2 10 2" xfId="32265"/>
    <cellStyle name="Note 2 8 2 4 4 2" xfId="32266"/>
    <cellStyle name="Note 2 2 5 2 4 4 2" xfId="32267"/>
    <cellStyle name="Note 3 6 2 4 4 2" xfId="32268"/>
    <cellStyle name="Note 3 2 6 2 4 4 2" xfId="32269"/>
    <cellStyle name="Note 4 5 2 4 4 2" xfId="32270"/>
    <cellStyle name="Note 4 2 4 2 4 4 2" xfId="32271"/>
    <cellStyle name="Note 5 4 2 4 4 2" xfId="32272"/>
    <cellStyle name="Note 5 2 3 2 4 4 2" xfId="32273"/>
    <cellStyle name="Note 6 4 2 4 4 2" xfId="32274"/>
    <cellStyle name="Note 6 2 3 2 4 4 2" xfId="32275"/>
    <cellStyle name="Note 7 4 2 4 4 2" xfId="32276"/>
    <cellStyle name="Note 7 2 3 2 4 4 2" xfId="32277"/>
    <cellStyle name="Note 8 3 2 4 4 2" xfId="32278"/>
    <cellStyle name="Output 2 9 2 4 4 2" xfId="32279"/>
    <cellStyle name="Output 3 5 2 4 4 2" xfId="32280"/>
    <cellStyle name="Output 4 5 2 4 4 2" xfId="32281"/>
    <cellStyle name="Output 5 4 2 4 4 2" xfId="32282"/>
    <cellStyle name="Total 5 3 2 8 2" xfId="32283"/>
    <cellStyle name="Total 2 10 2 4 4 2" xfId="32284"/>
    <cellStyle name="Total 3 5 2 4 4 2" xfId="32285"/>
    <cellStyle name="Total 4 5 2 4 4 2" xfId="32286"/>
    <cellStyle name="Total 5 4 2 4 4 2" xfId="32287"/>
    <cellStyle name="Input 20 2 4 4 2" xfId="32288"/>
    <cellStyle name="Total 5 4 5 5 2" xfId="32289"/>
    <cellStyle name="Total 2 12 3 5 2" xfId="32290"/>
    <cellStyle name="Input 21 2 4 4 2" xfId="32291"/>
    <cellStyle name="Input 15 5 5 2" xfId="32292"/>
    <cellStyle name="Input 17 10 2" xfId="32293"/>
    <cellStyle name="Note 2 5 3 3 5 2" xfId="32294"/>
    <cellStyle name="Calculation 8 2 2 5 2" xfId="32295"/>
    <cellStyle name="styleSeriesAttributes 3 5 2" xfId="32296"/>
    <cellStyle name="Total 2 4 2 2 5 2" xfId="32297"/>
    <cellStyle name="Calculation 2 2 3 2 2 5 2" xfId="32298"/>
    <cellStyle name="Total 10 4 5 2" xfId="32299"/>
    <cellStyle name="Output 5 7 5 2" xfId="32300"/>
    <cellStyle name="Calculation 4 4 2 8 2" xfId="32301"/>
    <cellStyle name="Note 4 2 3 2 8 2" xfId="32302"/>
    <cellStyle name="Output 3 2 2 8 2" xfId="32303"/>
    <cellStyle name="Note 2 10 8 2" xfId="32304"/>
    <cellStyle name="Calculation 2 13 3 2" xfId="32305"/>
    <cellStyle name="Calculation 2 2 9 3 2" xfId="32306"/>
    <cellStyle name="Calculation 2 2 2 6 3 2" xfId="32307"/>
    <cellStyle name="Calculation 2 2 3 6 3 2" xfId="32308"/>
    <cellStyle name="Calculation 2 2 4 6 3 2" xfId="32309"/>
    <cellStyle name="Calculation 2 3 6 3 2" xfId="32310"/>
    <cellStyle name="Calculation 2 4 6 3 2" xfId="32311"/>
    <cellStyle name="Calculation 3 9 3 2" xfId="32312"/>
    <cellStyle name="Input 2 13 3 2" xfId="32313"/>
    <cellStyle name="Input 2 2 9 3 2" xfId="32314"/>
    <cellStyle name="Input 2 2 2 6 3 2" xfId="32315"/>
    <cellStyle name="Input 2 2 3 6 3 2" xfId="32316"/>
    <cellStyle name="Input 2 2 4 6 3 2" xfId="32317"/>
    <cellStyle name="Input 2 3 6 3 2" xfId="32318"/>
    <cellStyle name="Input 2 4 6 3 2" xfId="32319"/>
    <cellStyle name="Input 3 8 3 2" xfId="32320"/>
    <cellStyle name="Input 4 8 3 2" xfId="32321"/>
    <cellStyle name="Input 5 9 3 2" xfId="32322"/>
    <cellStyle name="Input 6 7 3 2" xfId="32323"/>
    <cellStyle name="Input 7 6 3 2" xfId="32324"/>
    <cellStyle name="Input 8 6 3 2" xfId="32325"/>
    <cellStyle name="Note 2 12 3 2" xfId="32326"/>
    <cellStyle name="Note 2 2 9 3 2" xfId="32327"/>
    <cellStyle name="Note 2 3 7 3 2" xfId="32328"/>
    <cellStyle name="Note 2 4 7 3 2" xfId="32329"/>
    <cellStyle name="Note 3 10 3 2" xfId="32330"/>
    <cellStyle name="Note 3 2 11 3 2" xfId="32331"/>
    <cellStyle name="Note 3 2 2 6 3 2" xfId="32332"/>
    <cellStyle name="Note 4 9 3 2" xfId="32333"/>
    <cellStyle name="Output 2 13 3 2" xfId="32334"/>
    <cellStyle name="Output 2 2 8 3 2" xfId="32335"/>
    <cellStyle name="Output 2 2 2 5 3 2" xfId="32336"/>
    <cellStyle name="Output 2 2 3 5 3 2" xfId="32337"/>
    <cellStyle name="Output 2 2 4 5 3 2" xfId="32338"/>
    <cellStyle name="Output 2 3 5 3 2" xfId="32339"/>
    <cellStyle name="Output 2 4 5 3 2" xfId="32340"/>
    <cellStyle name="Output 3 9 3 2" xfId="32341"/>
    <cellStyle name="StmtTtl2 5 3 2" xfId="32342"/>
    <cellStyle name="Total 2 14 3 2" xfId="32343"/>
    <cellStyle name="Total 2 2 8 3 2" xfId="32344"/>
    <cellStyle name="Total 2 2 2 5 3 2" xfId="32345"/>
    <cellStyle name="Total 2 2 3 5 3 2" xfId="32346"/>
    <cellStyle name="Total 2 2 4 5 3 2" xfId="32347"/>
    <cellStyle name="Total 2 3 5 3 2" xfId="32348"/>
    <cellStyle name="Total 2 4 5 3 2" xfId="32349"/>
    <cellStyle name="Total 2 5 5 3 2" xfId="32350"/>
    <cellStyle name="Total 3 9 3 2" xfId="32351"/>
    <cellStyle name="Calculation 3 2 3 5 2" xfId="32352"/>
    <cellStyle name="Calculation 2 5 5 3 2" xfId="32353"/>
    <cellStyle name="Output 13 10 2" xfId="32354"/>
    <cellStyle name="Input 2 5 5 3 2" xfId="32355"/>
    <cellStyle name="Input [yellow] 2 2 3 2" xfId="32356"/>
    <cellStyle name="Note 2 2 2 5 3 2" xfId="32357"/>
    <cellStyle name="Note 2 3 2 5 3 2" xfId="32358"/>
    <cellStyle name="Note 2 4 2 5 3 2" xfId="32359"/>
    <cellStyle name="Note 2 5 5 3 2" xfId="32360"/>
    <cellStyle name="Note 3 3 5 3 2" xfId="32361"/>
    <cellStyle name="Note 4 2 7 3 2" xfId="32362"/>
    <cellStyle name="Output 2 5 5 3 2" xfId="32363"/>
    <cellStyle name="Total 2 6 5 3 2" xfId="32364"/>
    <cellStyle name="Note 2 5 4 6 2" xfId="32365"/>
    <cellStyle name="Note 12 2 2 5 2" xfId="32366"/>
    <cellStyle name="Output 9 2 2 5 2" xfId="32367"/>
    <cellStyle name="Input 4 6 2 5 2" xfId="32368"/>
    <cellStyle name="Note 2 4 3 2 5 2" xfId="32369"/>
    <cellStyle name="Note 2 2 5 4 5 2" xfId="32370"/>
    <cellStyle name="Input 14 4 5 2" xfId="32371"/>
    <cellStyle name="Output 2 7 2 8 2" xfId="32372"/>
    <cellStyle name="Calculation 3 2 2 8 2" xfId="32373"/>
    <cellStyle name="Style 25 9 2" xfId="32374"/>
    <cellStyle name="Note 3 2 2 2 8 2" xfId="32375"/>
    <cellStyle name="Calculation 7 7 3 2" xfId="32376"/>
    <cellStyle name="Calculation 2 6 7 3 2" xfId="32377"/>
    <cellStyle name="Calculation 3 2 7 3 2" xfId="32378"/>
    <cellStyle name="Calculation 4 2 7 3 2" xfId="32379"/>
    <cellStyle name="Calculation 5 8 3 2" xfId="32380"/>
    <cellStyle name="Output 9 6 3 2" xfId="32381"/>
    <cellStyle name="Input 10 7 3 2" xfId="32382"/>
    <cellStyle name="Input 2 6 7 3 2" xfId="32383"/>
    <cellStyle name="Input 3 2 7 3 2" xfId="32384"/>
    <cellStyle name="Input 4 2 7 3 2" xfId="32385"/>
    <cellStyle name="Input 5 2 7 3 2" xfId="32386"/>
    <cellStyle name="Note 11 6 3 2" xfId="32387"/>
    <cellStyle name="Note 2 6 6 3 2" xfId="32388"/>
    <cellStyle name="Note 2 2 3 6 3 2" xfId="32389"/>
    <cellStyle name="Note 3 4 6 3 2" xfId="32390"/>
    <cellStyle name="Note 3 2 4 6 3 2" xfId="32391"/>
    <cellStyle name="Note 4 3 6 3 2" xfId="32392"/>
    <cellStyle name="Note 4 2 2 6 3 2" xfId="32393"/>
    <cellStyle name="Note 5 9 3 2" xfId="32394"/>
    <cellStyle name="Note 5 2 8 3 2" xfId="32395"/>
    <cellStyle name="Note 6 9 3 2" xfId="32396"/>
    <cellStyle name="Note 6 2 8 3 2" xfId="32397"/>
    <cellStyle name="Note 7 9 3 2" xfId="32398"/>
    <cellStyle name="Note 7 2 8 3 2" xfId="32399"/>
    <cellStyle name="Note 8 8 3 2" xfId="32400"/>
    <cellStyle name="Note 9 7 3 2" xfId="32401"/>
    <cellStyle name="Output 7 6 3 2" xfId="32402"/>
    <cellStyle name="Output 2 6 6 3 2" xfId="32403"/>
    <cellStyle name="Output 3 2 6 3 2" xfId="32404"/>
    <cellStyle name="Output 4 2 6 3 2" xfId="32405"/>
    <cellStyle name="Output 5 9 3 2" xfId="32406"/>
    <cellStyle name="Total 7 6 3 2" xfId="32407"/>
    <cellStyle name="Total 2 7 6 3 2" xfId="32408"/>
    <cellStyle name="Total 3 2 6 3 2" xfId="32409"/>
    <cellStyle name="Total 4 2 6 3 2" xfId="32410"/>
    <cellStyle name="Total 5 9 3 2" xfId="32411"/>
    <cellStyle name="Calculation 8 7 3 2" xfId="32412"/>
    <cellStyle name="Input 12 7 3 2" xfId="32413"/>
    <cellStyle name="Input 11 7 3 2" xfId="32414"/>
    <cellStyle name="Calculation 9 7 3 2" xfId="32415"/>
    <cellStyle name="Output 8 6 3 2" xfId="32416"/>
    <cellStyle name="Total 8 6 3 2" xfId="32417"/>
    <cellStyle name="Total 9 6 3 2" xfId="32418"/>
    <cellStyle name="Output 5 3 2 2 5 2" xfId="32419"/>
    <cellStyle name="Note 8 4 2 5 2" xfId="32420"/>
    <cellStyle name="Style 23 3 5 2" xfId="32421"/>
    <cellStyle name="Calculation 3 6 2 5 2" xfId="32422"/>
    <cellStyle name="Total 5 4 4 5 2" xfId="32423"/>
    <cellStyle name="Note 5 2 2 4 5 2" xfId="32424"/>
    <cellStyle name="Note 4 3 2 8 2" xfId="32425"/>
    <cellStyle name="Output 5 2 6 3 2" xfId="32426"/>
    <cellStyle name="Output 4 3 6 3 2" xfId="32427"/>
    <cellStyle name="Output 3 3 6 3 2" xfId="32428"/>
    <cellStyle name="Output 2 7 6 3 2" xfId="32429"/>
    <cellStyle name="Output 11 6 3 2" xfId="32430"/>
    <cellStyle name="styleSeriesDataForecastNA 2 9 2" xfId="32431"/>
    <cellStyle name="Input 2 3 3 8 2" xfId="32432"/>
    <cellStyle name="Input 5 3 7 3 2" xfId="32433"/>
    <cellStyle name="Input 4 3 7 3 2" xfId="32434"/>
    <cellStyle name="Input 3 3 7 3 2" xfId="32435"/>
    <cellStyle name="Input 2 7 7 3 2" xfId="32436"/>
    <cellStyle name="Calculation 10 7 3 2" xfId="32437"/>
    <cellStyle name="Input 14 7 3 2" xfId="32438"/>
    <cellStyle name="Input 16 7 3 2" xfId="32439"/>
    <cellStyle name="Input 17 7 3 2" xfId="32440"/>
    <cellStyle name="Input 15 7 3 2" xfId="32441"/>
    <cellStyle name="Input 13 7 3 2" xfId="32442"/>
    <cellStyle name="Calculation 5 2 7 3 2" xfId="32443"/>
    <cellStyle name="Calculation 4 3 7 3 2" xfId="32444"/>
    <cellStyle name="Calculation 3 3 7 3 2" xfId="32445"/>
    <cellStyle name="Calculation 2 7 7 3 2" xfId="32446"/>
    <cellStyle name="Calculation 11 7 3 2" xfId="32447"/>
    <cellStyle name="Output 10 6 3 2" xfId="32448"/>
    <cellStyle name="Note 12 6 3 2" xfId="32449"/>
    <cellStyle name="Note 2 7 6 3 2" xfId="32450"/>
    <cellStyle name="Note 2 2 4 6 3 2" xfId="32451"/>
    <cellStyle name="Note 3 5 6 3 2" xfId="32452"/>
    <cellStyle name="Note 3 2 5 6 3 2" xfId="32453"/>
    <cellStyle name="Note 4 4 6 3 2" xfId="32454"/>
    <cellStyle name="Note 4 2 3 6 3 2" xfId="32455"/>
    <cellStyle name="Note 5 3 6 3 2" xfId="32456"/>
    <cellStyle name="Note 5 2 2 6 3 2" xfId="32457"/>
    <cellStyle name="Note 6 3 6 3 2" xfId="32458"/>
    <cellStyle name="Note 6 2 2 6 3 2" xfId="32459"/>
    <cellStyle name="Note 7 3 6 3 2" xfId="32460"/>
    <cellStyle name="Note 7 2 2 6 3 2" xfId="32461"/>
    <cellStyle name="Note 8 2 6 3 2" xfId="32462"/>
    <cellStyle name="Note 9 2 6 3 2" xfId="32463"/>
    <cellStyle name="Output 12 6 3 2" xfId="32464"/>
    <cellStyle name="Output 2 8 6 3 2" xfId="32465"/>
    <cellStyle name="Output 3 4 6 3 2" xfId="32466"/>
    <cellStyle name="Output 4 4 6 3 2" xfId="32467"/>
    <cellStyle name="Output 5 3 6 3 2" xfId="32468"/>
    <cellStyle name="Total 10 6 3 2" xfId="32469"/>
    <cellStyle name="Total 11 6 3 2" xfId="32470"/>
    <cellStyle name="Total 2 8 6 3 2" xfId="32471"/>
    <cellStyle name="Total 3 3 6 3 2" xfId="32472"/>
    <cellStyle name="Total 4 3 6 3 2" xfId="32473"/>
    <cellStyle name="Total 5 2 6 3 2" xfId="32474"/>
    <cellStyle name="Total 12 6 3 2" xfId="32475"/>
    <cellStyle name="Total 2 9 6 3 2" xfId="32476"/>
    <cellStyle name="Total 3 4 6 3 2" xfId="32477"/>
    <cellStyle name="Total 4 4 6 3 2" xfId="32478"/>
    <cellStyle name="Total 5 3 6 3 2" xfId="32479"/>
    <cellStyle name="Note 6 3 2 2 5 2" xfId="32480"/>
    <cellStyle name="Note 3 4 2 2 5 2" xfId="32481"/>
    <cellStyle name="Output 2 2 2 3 2 5 2" xfId="32482"/>
    <cellStyle name="Output 2 4 2 2 5 2" xfId="32483"/>
    <cellStyle name="Note 7 4 4 5 2" xfId="32484"/>
    <cellStyle name="Calculation 11 4 5 2" xfId="32485"/>
    <cellStyle name="Input 14 2 8 2" xfId="32486"/>
    <cellStyle name="StmtTtl2 3 8 2" xfId="32487"/>
    <cellStyle name="Input 18 7 3 2" xfId="32488"/>
    <cellStyle name="Calculation 12 7 3 2" xfId="32489"/>
    <cellStyle name="Input 19 7 3 2" xfId="32490"/>
    <cellStyle name="Note 13 7 3 2" xfId="32491"/>
    <cellStyle name="Output 13 7 3 2" xfId="32492"/>
    <cellStyle name="Total 13 7 3 2" xfId="32493"/>
    <cellStyle name="Total 7 3 5 2" xfId="32494"/>
    <cellStyle name="Calculation 2 8 7 3 2" xfId="32495"/>
    <cellStyle name="Calculation 3 4 7 3 2" xfId="32496"/>
    <cellStyle name="Calculation 4 4 7 3 2" xfId="32497"/>
    <cellStyle name="Calculation 5 3 7 3 2" xfId="32498"/>
    <cellStyle name="Input 2 8 7 3 2" xfId="32499"/>
    <cellStyle name="Input 3 4 7 3 2" xfId="32500"/>
    <cellStyle name="Input 4 4 7 3 2" xfId="32501"/>
    <cellStyle name="Input 5 4 7 3 2" xfId="32502"/>
    <cellStyle name="Note 2 8 7 3 2" xfId="32503"/>
    <cellStyle name="Note 2 2 5 7 3 2" xfId="32504"/>
    <cellStyle name="Note 3 6 7 3 2" xfId="32505"/>
    <cellStyle name="Note 3 2 6 7 3 2" xfId="32506"/>
    <cellStyle name="Note 4 5 7 3 2" xfId="32507"/>
    <cellStyle name="Note 4 2 4 7 3 2" xfId="32508"/>
    <cellStyle name="Note 5 4 7 3 2" xfId="32509"/>
    <cellStyle name="Note 5 2 3 7 3 2" xfId="32510"/>
    <cellStyle name="Note 6 4 7 3 2" xfId="32511"/>
    <cellStyle name="Note 6 2 3 7 3 2" xfId="32512"/>
    <cellStyle name="Note 7 4 7 3 2" xfId="32513"/>
    <cellStyle name="Note 7 2 3 7 3 2" xfId="32514"/>
    <cellStyle name="Note 8 3 7 3 2" xfId="32515"/>
    <cellStyle name="Output 2 9 7 3 2" xfId="32516"/>
    <cellStyle name="Output 3 5 7 3 2" xfId="32517"/>
    <cellStyle name="Output 4 5 7 3 2" xfId="32518"/>
    <cellStyle name="Output 5 4 7 3 2" xfId="32519"/>
    <cellStyle name="Total 2 10 7 3 2" xfId="32520"/>
    <cellStyle name="Total 3 5 7 3 2" xfId="32521"/>
    <cellStyle name="Total 4 5 7 3 2" xfId="32522"/>
    <cellStyle name="Total 5 4 7 3 2" xfId="32523"/>
    <cellStyle name="Input 20 7 3 2" xfId="32524"/>
    <cellStyle name="Calculation 3 3 5 5 2" xfId="32525"/>
    <cellStyle name="Input 13 10 2" xfId="32526"/>
    <cellStyle name="Calculation 2 5 4 6 2" xfId="32527"/>
    <cellStyle name="Input 21 7 3 2" xfId="32528"/>
    <cellStyle name="Note 8 5 5 2" xfId="32529"/>
    <cellStyle name="Input 2 7 10 2" xfId="32530"/>
    <cellStyle name="Note 6 7 2 3 2" xfId="32531"/>
    <cellStyle name="Note 5 7 2 3 2" xfId="32532"/>
    <cellStyle name="Note 4 3 4 2 3 2" xfId="32533"/>
    <cellStyle name="Note 3 4 4 2 3 2" xfId="32534"/>
    <cellStyle name="Note 2 6 4 2 3 2" xfId="32535"/>
    <cellStyle name="Input 5 2 4 2 3 2" xfId="32536"/>
    <cellStyle name="Input 4 2 4 2 3 2" xfId="32537"/>
    <cellStyle name="Input 3 2 4 2 3 2" xfId="32538"/>
    <cellStyle name="Input 3 3 5 5 2" xfId="32539"/>
    <cellStyle name="Calculation 9 2 2 5 2" xfId="32540"/>
    <cellStyle name="styleSeriesData 2 3 5 2" xfId="32541"/>
    <cellStyle name="Total 3 6 2 5 2" xfId="32542"/>
    <cellStyle name="Calculation 2 4 2 2 5 2" xfId="32543"/>
    <cellStyle name="Calculation 5 6 2 3 2" xfId="32544"/>
    <cellStyle name="Calculation 4 2 4 2 3 2" xfId="32545"/>
    <cellStyle name="Calculation 3 2 4 2 3 2" xfId="32546"/>
    <cellStyle name="Calculation 2 6 4 2 3 2" xfId="32547"/>
    <cellStyle name="Calculation 7 4 2 3 2" xfId="32548"/>
    <cellStyle name="Total 3 3 4 5 2" xfId="32549"/>
    <cellStyle name="Calculation 3 2 5 2 3 2" xfId="32550"/>
    <cellStyle name="Calculation 4 2 5 2 3 2" xfId="32551"/>
    <cellStyle name="Total 2 7 4 5 2" xfId="32552"/>
    <cellStyle name="Input 10 5 2 3 2" xfId="32553"/>
    <cellStyle name="Input 3 4 2 8 2" xfId="32554"/>
    <cellStyle name="Note 6 3 2 8 2" xfId="32555"/>
    <cellStyle name="Calculation 8 5 2 3 2" xfId="32556"/>
    <cellStyle name="Input 16 5 2 3 2" xfId="32557"/>
    <cellStyle name="styleSeriesData 2 2 8 2" xfId="32558"/>
    <cellStyle name="Total 13 5 2 3 2" xfId="32559"/>
    <cellStyle name="Calculation 3 4 5 2 3 2" xfId="32560"/>
    <cellStyle name="Calculation 2 9 3 2 3 2" xfId="32561"/>
    <cellStyle name="Calculation 2 2 5 3 2 3 2" xfId="32562"/>
    <cellStyle name="Calculation 2 2 3 2 3 2 3 2" xfId="32563"/>
    <cellStyle name="Calculation 2 3 2 3 2 3 2" xfId="32564"/>
    <cellStyle name="Total 2 4 3 3 2 3 2" xfId="32565"/>
    <cellStyle name="Calculation 2 11 3 3 2" xfId="32566"/>
    <cellStyle name="Calculation 2 2 7 3 3 2" xfId="32567"/>
    <cellStyle name="Calculation 2 2 2 4 3 3 2" xfId="32568"/>
    <cellStyle name="Calculation 2 2 3 4 3 3 2" xfId="32569"/>
    <cellStyle name="Calculation 2 2 4 4 3 3 2" xfId="32570"/>
    <cellStyle name="Calculation 2 3 4 3 3 2" xfId="32571"/>
    <cellStyle name="Calculation 2 4 4 3 3 2" xfId="32572"/>
    <cellStyle name="Calculation 3 7 3 3 2" xfId="32573"/>
    <cellStyle name="Header2 3 3 3 2" xfId="32574"/>
    <cellStyle name="Input 2 11 3 3 2" xfId="32575"/>
    <cellStyle name="Input 2 2 7 3 3 2" xfId="32576"/>
    <cellStyle name="Input 2 2 2 4 3 3 2" xfId="32577"/>
    <cellStyle name="Input 2 2 3 4 3 3 2" xfId="32578"/>
    <cellStyle name="Input 2 2 4 4 3 3 2" xfId="32579"/>
    <cellStyle name="Input 2 3 4 3 3 2" xfId="32580"/>
    <cellStyle name="Input 2 4 4 3 3 2" xfId="32581"/>
    <cellStyle name="Input 5 7 3 3 2" xfId="32582"/>
    <cellStyle name="Input 6 5 3 3 2" xfId="32583"/>
    <cellStyle name="Input 7 4 3 3 2" xfId="32584"/>
    <cellStyle name="Input 8 4 3 3 2" xfId="32585"/>
    <cellStyle name="Calculation 5 2 5 2 3 2" xfId="32586"/>
    <cellStyle name="Input 18 5 2 3 2" xfId="32587"/>
    <cellStyle name="Calculation 3 5 3 2 3 2" xfId="32588"/>
    <cellStyle name="Input 7 2 3 2 3 2" xfId="32589"/>
    <cellStyle name="Note 2 3 5 3 3 2" xfId="32590"/>
    <cellStyle name="Note 2 4 5 3 3 2" xfId="32591"/>
    <cellStyle name="Note 3 2 9 3 3 2" xfId="32592"/>
    <cellStyle name="Note 3 2 2 4 3 3 2" xfId="32593"/>
    <cellStyle name="Output 2 12 3 3 2" xfId="32594"/>
    <cellStyle name="Output 2 2 7 3 3 2" xfId="32595"/>
    <cellStyle name="Output 2 2 2 4 3 3 2" xfId="32596"/>
    <cellStyle name="Output 2 2 3 4 3 3 2" xfId="32597"/>
    <cellStyle name="Output 2 2 4 4 3 3 2" xfId="32598"/>
    <cellStyle name="Output 2 3 4 3 3 2" xfId="32599"/>
    <cellStyle name="Output 2 4 4 3 3 2" xfId="32600"/>
    <cellStyle name="Output 3 8 3 3 2" xfId="32601"/>
    <cellStyle name="Header2 4 3 3 2" xfId="32602"/>
    <cellStyle name="Calculation 7 5 2 3 2" xfId="32603"/>
    <cellStyle name="Input 2 6 5 2 3 2" xfId="32604"/>
    <cellStyle name="Input 11 5 2 3 2" xfId="32605"/>
    <cellStyle name="Input 17 5 2 3 2" xfId="32606"/>
    <cellStyle name="Calculation 11 5 2 3 2" xfId="32607"/>
    <cellStyle name="Input 5 4 5 2 3 2" xfId="32608"/>
    <cellStyle name="Note 2 8 5 2 3 2" xfId="32609"/>
    <cellStyle name="Note 3 6 5 2 3 2" xfId="32610"/>
    <cellStyle name="StmtTtl2 4 3 3 2" xfId="32611"/>
    <cellStyle name="Input 21 5 2 3 2" xfId="32612"/>
    <cellStyle name="Calculation 2 2 4 2 3 2 3 2" xfId="32613"/>
    <cellStyle name="Calculation 2 4 2 3 2 3 2" xfId="32614"/>
    <cellStyle name="Header2 2 3 2 3 2" xfId="32615"/>
    <cellStyle name="Input 2 5 3 3 2 3 2" xfId="32616"/>
    <cellStyle name="Input 2 2 2 2 3 2 3 2" xfId="32617"/>
    <cellStyle name="Input 2 2 3 2 3 2 3 2" xfId="32618"/>
    <cellStyle name="Input 2 3 2 3 2 3 2" xfId="32619"/>
    <cellStyle name="Input 2 4 2 3 2 3 2" xfId="32620"/>
    <cellStyle name="Input 2 5 2 3 2 3 2" xfId="32621"/>
    <cellStyle name="Input 3 5 3 2 3 2" xfId="32622"/>
    <cellStyle name="Total 2 13 3 3 2" xfId="32623"/>
    <cellStyle name="Total 2 2 7 3 3 2" xfId="32624"/>
    <cellStyle name="Total 2 2 2 4 3 3 2" xfId="32625"/>
    <cellStyle name="Total 2 2 3 4 3 3 2" xfId="32626"/>
    <cellStyle name="Total 2 2 4 4 3 3 2" xfId="32627"/>
    <cellStyle name="Total 2 3 4 3 3 2" xfId="32628"/>
    <cellStyle name="Total 2 4 4 3 3 2" xfId="32629"/>
    <cellStyle name="Total 2 5 4 3 3 2" xfId="32630"/>
    <cellStyle name="Total 3 8 3 3 2" xfId="32631"/>
    <cellStyle name="Input 4 5 3 2 3 2" xfId="32632"/>
    <cellStyle name="Input 8 2 3 2 3 2" xfId="32633"/>
    <cellStyle name="Total 2 2 4 3 3 2 3 2" xfId="32634"/>
    <cellStyle name="Total 2 2 3 3 3 2 3 2" xfId="32635"/>
    <cellStyle name="Output 9 3 5 2" xfId="32636"/>
    <cellStyle name="Note 3 2 4 4 2 3 2" xfId="32637"/>
    <cellStyle name="Note 11 4 2 3 2" xfId="32638"/>
    <cellStyle name="Input 2 6 4 2 3 2" xfId="32639"/>
    <cellStyle name="Input 3 2 5 2 3 2" xfId="32640"/>
    <cellStyle name="Note 4 2 6 3 2 3 2" xfId="32641"/>
    <cellStyle name="Calculation 2 5 4 2 3 2" xfId="32642"/>
    <cellStyle name="Input 2 5 4 2 3 2" xfId="32643"/>
    <cellStyle name="Total 3 5 5 2 3 2" xfId="32644"/>
    <cellStyle name="Input 2 2 5 3 2 3 2" xfId="32645"/>
    <cellStyle name="Input 5 5 3 2 3 2" xfId="32646"/>
    <cellStyle name="Total 2 12 3 2 3 2" xfId="32647"/>
    <cellStyle name="Note 2 2 2 4 2 3 2" xfId="32648"/>
    <cellStyle name="Note 2 3 2 4 2 3 2" xfId="32649"/>
    <cellStyle name="Note 2 4 2 4 2 3 2" xfId="32650"/>
    <cellStyle name="Note 2 5 4 2 3 2" xfId="32651"/>
    <cellStyle name="Note 3 3 4 2 3 2" xfId="32652"/>
    <cellStyle name="Output 2 5 4 2 3 2" xfId="32653"/>
    <cellStyle name="Calculation 2 6 5 2 3 2" xfId="32654"/>
    <cellStyle name="Input 4 2 5 2 3 2" xfId="32655"/>
    <cellStyle name="Input 5 2 5 2 3 2" xfId="32656"/>
    <cellStyle name="Calculation 9 5 2 3 2" xfId="32657"/>
    <cellStyle name="Note 2 2 5 5 2 3 2" xfId="32658"/>
    <cellStyle name="Input 20 5 2 3 2" xfId="32659"/>
    <cellStyle name="Input 2 2 4 2 3 2 3 2" xfId="32660"/>
    <cellStyle name="Total 2 6 4 2 3 2" xfId="32661"/>
    <cellStyle name="Calculation 2 6 5 5 2" xfId="32662"/>
    <cellStyle name="Note 5 2 6 2 3 2" xfId="32663"/>
    <cellStyle name="Note 4 2 2 4 2 3 2" xfId="32664"/>
    <cellStyle name="Note 2 2 3 4 2 3 2" xfId="32665"/>
    <cellStyle name="Note 3 5 2 2 5 2" xfId="32666"/>
    <cellStyle name="Input 3 2 2 2 5 2" xfId="32667"/>
    <cellStyle name="Input 2 2 6 2 5 2" xfId="32668"/>
    <cellStyle name="Output 2 10 2 5 2" xfId="32669"/>
    <cellStyle name="Output 9 4 2 3 2" xfId="32670"/>
    <cellStyle name="Note 4 5 4 5 2" xfId="32671"/>
    <cellStyle name="Input 15 4 5 2" xfId="32672"/>
    <cellStyle name="Output 9 2 8 2" xfId="32673"/>
    <cellStyle name="Style 26 2 9 2" xfId="32674"/>
    <cellStyle name="Note 8 3 5 2 3 2" xfId="32675"/>
    <cellStyle name="Output 2 9 5 2 3 2" xfId="32676"/>
    <cellStyle name="Output 4 5 5 2 3 2" xfId="32677"/>
    <cellStyle name="Calculation 2 5 3 3 2 3 2" xfId="32678"/>
    <cellStyle name="Calculation 7 3 2 3 2" xfId="32679"/>
    <cellStyle name="Calculation 2 6 3 2 3 2" xfId="32680"/>
    <cellStyle name="Calculation 3 2 3 2 3 2" xfId="32681"/>
    <cellStyle name="Calculation 4 2 3 2 3 2" xfId="32682"/>
    <cellStyle name="Calculation 5 5 2 3 2" xfId="32683"/>
    <cellStyle name="Output 9 3 2 3 2" xfId="32684"/>
    <cellStyle name="Note 5 4 5 2 3 2" xfId="32685"/>
    <cellStyle name="Input 10 3 3 3 2" xfId="32686"/>
    <cellStyle name="Input 2 6 3 2 3 2" xfId="32687"/>
    <cellStyle name="Input 3 2 3 2 3 2" xfId="32688"/>
    <cellStyle name="Input 4 2 3 2 3 2" xfId="32689"/>
    <cellStyle name="Input 5 2 3 2 3 2" xfId="32690"/>
    <cellStyle name="Note 11 3 2 3 2" xfId="32691"/>
    <cellStyle name="Note 2 6 3 2 3 2" xfId="32692"/>
    <cellStyle name="Note 2 2 3 3 2 3 2" xfId="32693"/>
    <cellStyle name="Note 3 4 3 2 3 2" xfId="32694"/>
    <cellStyle name="Note 3 2 4 3 2 3 2" xfId="32695"/>
    <cellStyle name="Note 4 3 3 2 3 2" xfId="32696"/>
    <cellStyle name="Note 4 2 2 3 2 3 2" xfId="32697"/>
    <cellStyle name="Note 5 6 2 3 2" xfId="32698"/>
    <cellStyle name="Note 5 2 5 2 3 2" xfId="32699"/>
    <cellStyle name="Note 6 6 2 3 2" xfId="32700"/>
    <cellStyle name="Note 6 2 5 2 3 2" xfId="32701"/>
    <cellStyle name="Note 7 6 2 3 2" xfId="32702"/>
    <cellStyle name="Note 7 2 5 2 3 2" xfId="32703"/>
    <cellStyle name="Note 8 5 2 3 2" xfId="32704"/>
    <cellStyle name="Note 9 4 2 3 2" xfId="32705"/>
    <cellStyle name="Output 7 3 2 3 2" xfId="32706"/>
    <cellStyle name="Output 2 6 3 2 3 2" xfId="32707"/>
    <cellStyle name="Output 3 2 3 2 3 2" xfId="32708"/>
    <cellStyle name="Output 4 2 3 2 3 2" xfId="32709"/>
    <cellStyle name="Output 5 6 2 3 2" xfId="32710"/>
    <cellStyle name="Input 15 5 2 3 2" xfId="32711"/>
    <cellStyle name="Input 13 5 2 3 2" xfId="32712"/>
    <cellStyle name="Calculation 4 3 5 2 3 2" xfId="32713"/>
    <cellStyle name="Calculation 3 3 5 2 3 2" xfId="32714"/>
    <cellStyle name="Calculation 2 7 5 2 3 2" xfId="32715"/>
    <cellStyle name="Calculation 2 8 5 2 3 2" xfId="32716"/>
    <cellStyle name="Input 2 8 5 2 3 2" xfId="32717"/>
    <cellStyle name="Output 5 4 5 2 3 2" xfId="32718"/>
    <cellStyle name="Total 2 10 5 2 3 2" xfId="32719"/>
    <cellStyle name="Total 4 5 5 2 3 2" xfId="32720"/>
    <cellStyle name="Total 5 4 5 2 3 2" xfId="32721"/>
    <cellStyle name="Calculation 2 5 2 3 2 3 2" xfId="32722"/>
    <cellStyle name="Total 7 3 2 3 2" xfId="32723"/>
    <cellStyle name="Total 2 7 3 2 3 2" xfId="32724"/>
    <cellStyle name="Total 3 2 3 2 3 2" xfId="32725"/>
    <cellStyle name="Total 4 2 3 2 3 2" xfId="32726"/>
    <cellStyle name="Total 5 6 2 3 2" xfId="32727"/>
    <cellStyle name="Input 6 3 3 2 3 2" xfId="32728"/>
    <cellStyle name="Calculation 8 3 2 3 2" xfId="32729"/>
    <cellStyle name="Input 12 3 2 3 2" xfId="32730"/>
    <cellStyle name="Input 11 3 2 3 2" xfId="32731"/>
    <cellStyle name="Calculation 9 3 2 3 2" xfId="32732"/>
    <cellStyle name="Output 8 3 2 3 2" xfId="32733"/>
    <cellStyle name="Total 8 3 2 3 2" xfId="32734"/>
    <cellStyle name="Total 9 3 2 3 2" xfId="32735"/>
    <cellStyle name="Input 10 4 2 3 2" xfId="32736"/>
    <cellStyle name="Total 2 8 2 2 5 2" xfId="32737"/>
    <cellStyle name="Output 2 6 2 2 5 2" xfId="32738"/>
    <cellStyle name="Style 24 2 3 5 2" xfId="32739"/>
    <cellStyle name="Calculation 2 2 2 3 2 5 2" xfId="32740"/>
    <cellStyle name="Note 4 2 6 2 5 2" xfId="32741"/>
    <cellStyle name="Note 7 3 4 5 2" xfId="32742"/>
    <cellStyle name="Note 6 2 6 5 2" xfId="32743"/>
    <cellStyle name="Input 19 2 8 2" xfId="32744"/>
    <cellStyle name="Note 5 2 4 8 2" xfId="32745"/>
    <cellStyle name="Output 5 2 3 2 3 2" xfId="32746"/>
    <cellStyle name="Output 4 3 3 2 3 2" xfId="32747"/>
    <cellStyle name="Output 3 3 3 2 3 2" xfId="32748"/>
    <cellStyle name="Output 2 7 3 2 3 2" xfId="32749"/>
    <cellStyle name="Output 11 3 2 3 2" xfId="32750"/>
    <cellStyle name="Calculation 2 3 3 8 2" xfId="32751"/>
    <cellStyle name="Input 5 3 3 2 3 2" xfId="32752"/>
    <cellStyle name="Input 4 3 3 2 3 2" xfId="32753"/>
    <cellStyle name="Input 3 3 3 2 3 2" xfId="32754"/>
    <cellStyle name="Input 2 7 3 2 3 2" xfId="32755"/>
    <cellStyle name="Calculation 10 3 2 3 2" xfId="32756"/>
    <cellStyle name="Input 14 3 2 3 2" xfId="32757"/>
    <cellStyle name="Input 16 3 2 3 2" xfId="32758"/>
    <cellStyle name="Input 17 3 2 3 2" xfId="32759"/>
    <cellStyle name="Input 15 3 2 3 2" xfId="32760"/>
    <cellStyle name="Input 13 3 2 3 2" xfId="32761"/>
    <cellStyle name="Calculation 5 2 3 2 3 2" xfId="32762"/>
    <cellStyle name="Calculation 4 3 3 2 3 2" xfId="32763"/>
    <cellStyle name="Calculation 3 3 3 2 3 2" xfId="32764"/>
    <cellStyle name="Calculation 2 7 3 2 3 2" xfId="32765"/>
    <cellStyle name="Calculation 11 3 2 3 2" xfId="32766"/>
    <cellStyle name="Output 10 3 2 3 2" xfId="32767"/>
    <cellStyle name="Note 12 3 2 3 2" xfId="32768"/>
    <cellStyle name="Note 2 7 3 2 3 2" xfId="32769"/>
    <cellStyle name="Note 2 2 4 3 2 3 2" xfId="32770"/>
    <cellStyle name="Note 3 5 3 2 3 2" xfId="32771"/>
    <cellStyle name="Note 3 2 5 3 2 3 2" xfId="32772"/>
    <cellStyle name="Note 4 4 3 2 3 2" xfId="32773"/>
    <cellStyle name="Note 4 2 3 3 2 3 2" xfId="32774"/>
    <cellStyle name="Note 5 3 3 2 3 2" xfId="32775"/>
    <cellStyle name="Note 5 2 2 3 2 3 2" xfId="32776"/>
    <cellStyle name="Note 6 3 3 2 3 2" xfId="32777"/>
    <cellStyle name="Note 6 2 2 3 2 3 2" xfId="32778"/>
    <cellStyle name="Note 7 3 3 2 3 2" xfId="32779"/>
    <cellStyle name="Note 7 2 2 3 2 3 2" xfId="32780"/>
    <cellStyle name="Note 8 2 3 2 3 2" xfId="32781"/>
    <cellStyle name="Note 9 2 3 2 3 2" xfId="32782"/>
    <cellStyle name="Output 12 3 2 3 2" xfId="32783"/>
    <cellStyle name="Output 2 8 3 2 3 2" xfId="32784"/>
    <cellStyle name="Output 3 4 3 2 3 2" xfId="32785"/>
    <cellStyle name="Output 4 4 3 2 3 2" xfId="32786"/>
    <cellStyle name="Output 5 3 3 2 3 2" xfId="32787"/>
    <cellStyle name="Total 10 3 2 3 2" xfId="32788"/>
    <cellStyle name="Total 11 3 2 3 2" xfId="32789"/>
    <cellStyle name="Total 2 8 3 2 3 2" xfId="32790"/>
    <cellStyle name="Total 3 3 3 2 3 2" xfId="32791"/>
    <cellStyle name="Total 4 3 3 2 3 2" xfId="32792"/>
    <cellStyle name="Total 5 2 3 2 3 2" xfId="32793"/>
    <cellStyle name="Total 12 3 2 3 2" xfId="32794"/>
    <cellStyle name="Total 2 9 3 2 3 2" xfId="32795"/>
    <cellStyle name="Total 3 4 3 2 3 2" xfId="32796"/>
    <cellStyle name="Total 4 4 3 2 3 2" xfId="32797"/>
    <cellStyle name="Total 5 3 3 2 3 2" xfId="32798"/>
    <cellStyle name="Note 7 2 2 2 2 5 2" xfId="32799"/>
    <cellStyle name="Note 4 2 2 2 2 5 2" xfId="32800"/>
    <cellStyle name="Note 2 3 4 2 5 2" xfId="32801"/>
    <cellStyle name="Input 7 3 2 5 2" xfId="32802"/>
    <cellStyle name="Output 2 9 4 5 2" xfId="32803"/>
    <cellStyle name="Note 2 7 4 5 2" xfId="32804"/>
    <cellStyle name="Input 15 2 8 2" xfId="32805"/>
    <cellStyle name="styleSeriesAttributes 9 2" xfId="32806"/>
    <cellStyle name="Note 2 2 2 2 8 2" xfId="32807"/>
    <cellStyle name="Input 18 3 2 3 2" xfId="32808"/>
    <cellStyle name="Calculation 12 3 2 3 2" xfId="32809"/>
    <cellStyle name="Input 19 3 2 3 2" xfId="32810"/>
    <cellStyle name="Note 13 3 2 3 2" xfId="32811"/>
    <cellStyle name="Output 13 3 2 3 2" xfId="32812"/>
    <cellStyle name="Total 13 3 2 3 2" xfId="32813"/>
    <cellStyle name="Total 4 2 3 5 2" xfId="32814"/>
    <cellStyle name="Calculation 2 8 3 2 3 2" xfId="32815"/>
    <cellStyle name="Calculation 3 4 3 2 3 2" xfId="32816"/>
    <cellStyle name="Calculation 4 4 3 2 3 2" xfId="32817"/>
    <cellStyle name="Calculation 5 3 3 2 3 2" xfId="32818"/>
    <cellStyle name="Input 2 8 3 2 3 2" xfId="32819"/>
    <cellStyle name="Input 3 4 3 2 3 2" xfId="32820"/>
    <cellStyle name="Input 4 4 3 2 3 2" xfId="32821"/>
    <cellStyle name="Input 5 4 3 2 3 2" xfId="32822"/>
    <cellStyle name="Note 2 8 3 2 3 2" xfId="32823"/>
    <cellStyle name="Note 2 2 5 3 2 3 2" xfId="32824"/>
    <cellStyle name="Note 3 6 3 2 3 2" xfId="32825"/>
    <cellStyle name="Note 3 2 6 3 2 3 2" xfId="32826"/>
    <cellStyle name="Note 4 5 3 2 3 2" xfId="32827"/>
    <cellStyle name="Note 4 2 4 3 2 3 2" xfId="32828"/>
    <cellStyle name="Note 5 4 3 2 3 2" xfId="32829"/>
    <cellStyle name="Note 5 2 3 3 2 3 2" xfId="32830"/>
    <cellStyle name="Note 6 4 3 2 3 2" xfId="32831"/>
    <cellStyle name="Note 6 2 3 3 2 3 2" xfId="32832"/>
    <cellStyle name="Note 7 4 3 2 3 2" xfId="32833"/>
    <cellStyle name="Note 7 2 3 3 2 3 2" xfId="32834"/>
    <cellStyle name="Note 8 3 3 2 3 2" xfId="32835"/>
    <cellStyle name="Output 2 9 3 2 3 2" xfId="32836"/>
    <cellStyle name="Output 3 5 3 2 3 2" xfId="32837"/>
    <cellStyle name="Output 4 5 3 2 3 2" xfId="32838"/>
    <cellStyle name="Output 5 4 3 2 3 2" xfId="32839"/>
    <cellStyle name="Total 2 10 3 2 3 2" xfId="32840"/>
    <cellStyle name="Total 3 5 3 2 3 2" xfId="32841"/>
    <cellStyle name="Total 4 5 3 2 3 2" xfId="32842"/>
    <cellStyle name="Total 5 4 3 2 3 2" xfId="32843"/>
    <cellStyle name="Input 20 3 2 3 2" xfId="32844"/>
    <cellStyle name="Input 2 8 5 5 2" xfId="32845"/>
    <cellStyle name="Calculation 3 3 10 2" xfId="32846"/>
    <cellStyle name="Input 4 4 5 2 3 2" xfId="32847"/>
    <cellStyle name="Calculation 5 3 5 2 3 2" xfId="32848"/>
    <cellStyle name="Calculation 4 4 5 2 3 2" xfId="32849"/>
    <cellStyle name="Input 3 4 5 2 3 2" xfId="32850"/>
    <cellStyle name="Input 2 5 4 6 2" xfId="32851"/>
    <cellStyle name="Input 21 3 2 3 2" xfId="32852"/>
    <cellStyle name="Output 2 6 3 5 2" xfId="32853"/>
    <cellStyle name="Input 16 10 2" xfId="32854"/>
    <cellStyle name="Note 4 2 6 5 3 2" xfId="32855"/>
    <cellStyle name="Note 3 3 3 5 3 2" xfId="32856"/>
    <cellStyle name="Note 2 5 3 5 3 2" xfId="32857"/>
    <cellStyle name="Note 2 4 2 3 5 3 2" xfId="32858"/>
    <cellStyle name="Note 2 3 2 3 5 3 2" xfId="32859"/>
    <cellStyle name="Note 2 2 2 3 5 3 2" xfId="32860"/>
    <cellStyle name="Calculation 2 9 5 3 2" xfId="32861"/>
    <cellStyle name="Calculation 2 2 5 5 3 2" xfId="32862"/>
    <cellStyle name="Calculation 2 2 2 2 5 3 2" xfId="32863"/>
    <cellStyle name="Calculation 2 2 3 2 5 3 2" xfId="32864"/>
    <cellStyle name="Calculation 2 2 4 2 5 3 2" xfId="32865"/>
    <cellStyle name="Calculation 2 3 2 5 3 2" xfId="32866"/>
    <cellStyle name="Calculation 2 4 2 5 3 2" xfId="32867"/>
    <cellStyle name="Calculation 2 5 2 5 3 2" xfId="32868"/>
    <cellStyle name="Calculation 3 5 5 3 2" xfId="32869"/>
    <cellStyle name="Output 2 2 3 4 6 2" xfId="32870"/>
    <cellStyle name="Input 7 2 3 5 2" xfId="32871"/>
    <cellStyle name="Header2 3 6 2" xfId="32872"/>
    <cellStyle name="Input 3 2 4 5 2" xfId="32873"/>
    <cellStyle name="Calculation 2 8 10 2" xfId="32874"/>
    <cellStyle name="Header2 2 5 3 2" xfId="32875"/>
    <cellStyle name="Input 2 5 3 5 3 2" xfId="32876"/>
    <cellStyle name="Input 2 9 5 3 2" xfId="32877"/>
    <cellStyle name="Input 2 2 5 5 3 2" xfId="32878"/>
    <cellStyle name="Input 2 2 2 2 5 3 2" xfId="32879"/>
    <cellStyle name="Input 2 2 3 2 5 3 2" xfId="32880"/>
    <cellStyle name="Input 2 2 4 2 5 3 2" xfId="32881"/>
    <cellStyle name="Input 2 3 2 5 3 2" xfId="32882"/>
    <cellStyle name="Input 2 4 2 5 3 2" xfId="32883"/>
    <cellStyle name="Input 2 5 2 5 3 2" xfId="32884"/>
    <cellStyle name="Input 3 5 5 3 2" xfId="32885"/>
    <cellStyle name="Input 4 5 5 3 2" xfId="32886"/>
    <cellStyle name="Input 5 5 5 3 2" xfId="32887"/>
    <cellStyle name="Input 6 3 5 3 2" xfId="32888"/>
    <cellStyle name="Input 7 2 5 3 2" xfId="32889"/>
    <cellStyle name="Input 8 2 5 3 2" xfId="32890"/>
    <cellStyle name="Calculation 2 5 3 5 3 2" xfId="32891"/>
    <cellStyle name="Input 2 6 3 5 2" xfId="32892"/>
    <cellStyle name="Total 2 4 3 5 3 2" xfId="32893"/>
    <cellStyle name="Total 2 2 4 3 5 3 2" xfId="32894"/>
    <cellStyle name="Total 2 2 3 3 5 3 2" xfId="32895"/>
    <cellStyle name="Total 2 12 5 3 2" xfId="32896"/>
    <cellStyle name="Note 2 9 5 3 2" xfId="32897"/>
    <cellStyle name="Note 2 2 6 5 3 2" xfId="32898"/>
    <cellStyle name="Note 2 3 3 5 3 2" xfId="32899"/>
    <cellStyle name="Note 2 4 3 5 3 2" xfId="32900"/>
    <cellStyle name="Note 3 7 5 3 2" xfId="32901"/>
    <cellStyle name="Note 3 2 7 5 3 2" xfId="32902"/>
    <cellStyle name="Output 2 10 5 3 2" xfId="32903"/>
    <cellStyle name="Output 2 2 5 5 3 2" xfId="32904"/>
    <cellStyle name="Output 2 2 2 2 5 3 2" xfId="32905"/>
    <cellStyle name="Output 2 2 3 2 5 3 2" xfId="32906"/>
    <cellStyle name="Output 2 2 4 2 5 3 2" xfId="32907"/>
    <cellStyle name="Output 2 3 2 5 3 2" xfId="32908"/>
    <cellStyle name="Output 2 4 2 5 3 2" xfId="32909"/>
    <cellStyle name="Output 2 5 2 5 3 2" xfId="32910"/>
    <cellStyle name="Output 3 6 5 3 2" xfId="32911"/>
    <cellStyle name="Input 7 3 5 3 2" xfId="32912"/>
    <cellStyle name="Input 5 6 5 3 2" xfId="32913"/>
    <cellStyle name="Input 3 6 5 3 2" xfId="32914"/>
    <cellStyle name="Input 2 4 3 5 3 2" xfId="32915"/>
    <cellStyle name="Input 2 2 4 3 5 3 2" xfId="32916"/>
    <cellStyle name="Input 2 2 2 3 5 3 2" xfId="32917"/>
    <cellStyle name="Input 2 10 5 3 2" xfId="32918"/>
    <cellStyle name="Calculation 3 6 5 3 2" xfId="32919"/>
    <cellStyle name="Calculation 2 4 3 5 3 2" xfId="32920"/>
    <cellStyle name="Calculation 2 2 4 3 5 3 2" xfId="32921"/>
    <cellStyle name="Calculation 2 2 2 3 5 3 2" xfId="32922"/>
    <cellStyle name="Calculation 2 10 5 3 2" xfId="32923"/>
    <cellStyle name="StmtTtl2 2 5 3 2" xfId="32924"/>
    <cellStyle name="Total 2 11 5 3 2" xfId="32925"/>
    <cellStyle name="Total 2 2 5 5 3 2" xfId="32926"/>
    <cellStyle name="Total 2 2 2 2 5 3 2" xfId="32927"/>
    <cellStyle name="Total 2 2 3 2 5 3 2" xfId="32928"/>
    <cellStyle name="Total 2 2 4 2 5 3 2" xfId="32929"/>
    <cellStyle name="Total 2 3 2 5 3 2" xfId="32930"/>
    <cellStyle name="Total 2 4 2 5 3 2" xfId="32931"/>
    <cellStyle name="Total 2 5 2 5 3 2" xfId="32932"/>
    <cellStyle name="Total 2 6 2 5 3 2" xfId="32933"/>
    <cellStyle name="Total 3 6 5 3 2" xfId="32934"/>
    <cellStyle name="Calculation 12 2 2 5 2" xfId="32935"/>
    <cellStyle name="Total 8 2 2 5 2" xfId="32936"/>
    <cellStyle name="styleSeriesDataForecast 2 3 5 2" xfId="32937"/>
    <cellStyle name="Output 3 5 5 5 2" xfId="32938"/>
    <cellStyle name="Calculation 3 5 2 5 2" xfId="32939"/>
    <cellStyle name="Total 5 2 4 5 2" xfId="32940"/>
    <cellStyle name="Total 4 2 4 5 2" xfId="32941"/>
    <cellStyle name="Input 5 4 2 8 2" xfId="32942"/>
    <cellStyle name="Note 7 3 2 8 2" xfId="32943"/>
    <cellStyle name="Total 2 7 2 8 2" xfId="32944"/>
    <cellStyle name="styleSeriesDataForecastNA 2 2 8 2" xfId="32945"/>
    <cellStyle name="Output 2 5 3 5 3 2" xfId="32946"/>
    <cellStyle name="Output 2 3 3 5 3 2" xfId="32947"/>
    <cellStyle name="Output 2 2 3 3 5 3 2" xfId="32948"/>
    <cellStyle name="Output 2 2 6 5 3 2" xfId="32949"/>
    <cellStyle name="Note 4 7 5 3 2" xfId="32950"/>
    <cellStyle name="Note 3 2 2 3 5 3 2" xfId="32951"/>
    <cellStyle name="Note 3 8 5 3 2" xfId="32952"/>
    <cellStyle name="Note 2 4 4 5 3 2" xfId="32953"/>
    <cellStyle name="Note 2 2 7 5 3 2" xfId="32954"/>
    <cellStyle name="Note 3 2 2 2 5 3 2" xfId="32955"/>
    <cellStyle name="Note 4 6 5 3 2" xfId="32956"/>
    <cellStyle name="Note 11 4 5 2" xfId="32957"/>
    <cellStyle name="Total 3 7 5 3 2" xfId="32958"/>
    <cellStyle name="Total 2 5 3 5 3 2" xfId="32959"/>
    <cellStyle name="Total 2 3 3 5 3 2" xfId="32960"/>
    <cellStyle name="Total 2 2 6 5 3 2" xfId="32961"/>
    <cellStyle name="Total 2 2 2 3 5 3 2" xfId="32962"/>
    <cellStyle name="StmtTtl2 3 5 3 2" xfId="32963"/>
    <cellStyle name="Output 3 7 5 3 2" xfId="32964"/>
    <cellStyle name="Note 2 5 2 5 3 2" xfId="32965"/>
    <cellStyle name="Note 2 2 2 2 5 3 2" xfId="32966"/>
    <cellStyle name="Note 2 3 2 2 5 3 2" xfId="32967"/>
    <cellStyle name="Note 2 4 2 2 5 3 2" xfId="32968"/>
    <cellStyle name="Note 3 3 2 5 3 2" xfId="32969"/>
    <cellStyle name="Input 8 3 5 3 2" xfId="32970"/>
    <cellStyle name="Input 6 4 5 3 2" xfId="32971"/>
    <cellStyle name="Input 4 6 5 3 2" xfId="32972"/>
    <cellStyle name="Input 2 3 3 5 3 2" xfId="32973"/>
    <cellStyle name="Input 2 2 3 3 5 3 2" xfId="32974"/>
    <cellStyle name="Input 2 2 6 5 3 2" xfId="32975"/>
    <cellStyle name="Calculation 2 3 3 5 3 2" xfId="32976"/>
    <cellStyle name="Calculation 2 2 3 3 5 3 2" xfId="32977"/>
    <cellStyle name="Calculation 2 2 6 5 3 2" xfId="32978"/>
    <cellStyle name="Output 2 4 3 5 3 2" xfId="32979"/>
    <cellStyle name="Output 2 2 4 3 5 3 2" xfId="32980"/>
    <cellStyle name="Output 2 2 2 3 5 3 2" xfId="32981"/>
    <cellStyle name="Output 2 11 5 3 2" xfId="32982"/>
    <cellStyle name="Note 3 2 8 5 3 2" xfId="32983"/>
    <cellStyle name="Note 2 3 4 5 3 2" xfId="32984"/>
    <cellStyle name="Note 2 10 5 3 2" xfId="32985"/>
    <cellStyle name="Note 4 2 5 5 3 2" xfId="32986"/>
    <cellStyle name="Style 21 6 3 2" xfId="32987"/>
    <cellStyle name="Style 21 2 6 3 2" xfId="32988"/>
    <cellStyle name="Style 22 6 3 2" xfId="32989"/>
    <cellStyle name="Style 22 2 6 3 2" xfId="32990"/>
    <cellStyle name="Style 23 6 3 2" xfId="32991"/>
    <cellStyle name="Style 23 2 6 3 2" xfId="32992"/>
    <cellStyle name="Style 24 6 3 2" xfId="32993"/>
    <cellStyle name="Style 24 2 6 3 2" xfId="32994"/>
    <cellStyle name="Style 25 6 3 2" xfId="32995"/>
    <cellStyle name="Style 25 2 6 3 2" xfId="32996"/>
    <cellStyle name="Style 26 6 3 2" xfId="32997"/>
    <cellStyle name="Style 26 2 6 3 2" xfId="32998"/>
    <cellStyle name="styleColumnTitles 6 3 2" xfId="32999"/>
    <cellStyle name="styleColumnTitles 2 6 3 2" xfId="33000"/>
    <cellStyle name="styleDateRange 6 3 2" xfId="33001"/>
    <cellStyle name="styleDateRange 2 6 3 2" xfId="33002"/>
    <cellStyle name="styleSeriesAttributes 6 3 2" xfId="33003"/>
    <cellStyle name="styleSeriesAttributes 2 6 3 2" xfId="33004"/>
    <cellStyle name="styleSeriesData 6 3 2" xfId="33005"/>
    <cellStyle name="styleSeriesData 2 6 3 2" xfId="33006"/>
    <cellStyle name="styleSeriesDataForecast 6 3 2" xfId="33007"/>
    <cellStyle name="styleSeriesDataForecast 2 6 3 2" xfId="33008"/>
    <cellStyle name="styleSeriesDataForecastNA 6 3 2" xfId="33009"/>
    <cellStyle name="styleSeriesDataForecastNA 2 6 3 2" xfId="33010"/>
    <cellStyle name="styleSeriesDataNA 6 3 2" xfId="33011"/>
    <cellStyle name="styleSeriesDataNA 2 6 3 2" xfId="33012"/>
    <cellStyle name="Style 21 2 2 5 3 2" xfId="33013"/>
    <cellStyle name="Style 22 2 2 5 3 2" xfId="33014"/>
    <cellStyle name="Style 23 2 2 5 3 2" xfId="33015"/>
    <cellStyle name="Style 24 2 2 5 3 2" xfId="33016"/>
    <cellStyle name="Style 25 2 2 5 3 2" xfId="33017"/>
    <cellStyle name="Style 26 2 2 5 3 2" xfId="33018"/>
    <cellStyle name="styleColumnTitles 2 2 5 3 2" xfId="33019"/>
    <cellStyle name="styleDateRange 2 2 5 3 2" xfId="33020"/>
    <cellStyle name="styleSeriesAttributes 2 2 5 3 2" xfId="33021"/>
    <cellStyle name="styleSeriesData 2 2 5 3 2" xfId="33022"/>
    <cellStyle name="styleSeriesDataForecast 2 2 5 3 2" xfId="33023"/>
    <cellStyle name="styleSeriesDataForecastNA 2 2 5 3 2" xfId="33024"/>
    <cellStyle name="styleSeriesDataNA 2 2 5 3 2" xfId="33025"/>
    <cellStyle name="Total 2 6 3 5 3 2" xfId="33026"/>
    <cellStyle name="Input 5 2 5 5 2" xfId="33027"/>
    <cellStyle name="Note 4 4 2 2 5 2" xfId="33028"/>
    <cellStyle name="Input 5 2 2 2 5 2" xfId="33029"/>
    <cellStyle name="Calculation 2 2 3 3 2 5 2" xfId="33030"/>
    <cellStyle name="Output 2 2 2 2 2 5 2" xfId="33031"/>
    <cellStyle name="Note 5 4 4 5 2" xfId="33032"/>
    <cellStyle name="Calculation 5 2 4 5 2" xfId="33033"/>
    <cellStyle name="Input 4 3 2 8 2" xfId="33034"/>
    <cellStyle name="Input 2 6 2 8 2" xfId="33035"/>
    <cellStyle name="styleColumnTitles 2 9 2" xfId="33036"/>
    <cellStyle name="Total 2 5 3 8 2" xfId="33037"/>
    <cellStyle name="Calculation 7 2 5 3 2" xfId="33038"/>
    <cellStyle name="Calculation 2 6 2 5 3 2" xfId="33039"/>
    <cellStyle name="Calculation 3 2 2 5 3 2" xfId="33040"/>
    <cellStyle name="Calculation 4 2 2 5 3 2" xfId="33041"/>
    <cellStyle name="Calculation 5 4 5 3 2" xfId="33042"/>
    <cellStyle name="Output 9 2 5 3 2" xfId="33043"/>
    <cellStyle name="Input 10 2 5 3 2" xfId="33044"/>
    <cellStyle name="Input 2 6 2 5 3 2" xfId="33045"/>
    <cellStyle name="Input 3 2 2 5 3 2" xfId="33046"/>
    <cellStyle name="Input 4 2 2 5 3 2" xfId="33047"/>
    <cellStyle name="Input 5 2 2 5 3 2" xfId="33048"/>
    <cellStyle name="Note 11 2 5 3 2" xfId="33049"/>
    <cellStyle name="Note 2 6 2 5 3 2" xfId="33050"/>
    <cellStyle name="Note 2 2 3 2 5 3 2" xfId="33051"/>
    <cellStyle name="Note 3 4 2 5 3 2" xfId="33052"/>
    <cellStyle name="Note 3 2 4 2 5 3 2" xfId="33053"/>
    <cellStyle name="Note 4 3 2 5 3 2" xfId="33054"/>
    <cellStyle name="Note 4 2 2 2 5 3 2" xfId="33055"/>
    <cellStyle name="Note 5 5 5 3 2" xfId="33056"/>
    <cellStyle name="Note 5 2 4 5 3 2" xfId="33057"/>
    <cellStyle name="Note 6 5 5 3 2" xfId="33058"/>
    <cellStyle name="Note 6 2 4 5 3 2" xfId="33059"/>
    <cellStyle name="Note 7 5 5 3 2" xfId="33060"/>
    <cellStyle name="Note 7 2 4 5 3 2" xfId="33061"/>
    <cellStyle name="Note 8 4 5 3 2" xfId="33062"/>
    <cellStyle name="Note 9 3 5 3 2" xfId="33063"/>
    <cellStyle name="Output 7 2 5 3 2" xfId="33064"/>
    <cellStyle name="Output 2 6 2 5 3 2" xfId="33065"/>
    <cellStyle name="Output 3 2 2 5 3 2" xfId="33066"/>
    <cellStyle name="Output 4 2 2 5 3 2" xfId="33067"/>
    <cellStyle name="Output 5 5 5 3 2" xfId="33068"/>
    <cellStyle name="Total 7 2 5 3 2" xfId="33069"/>
    <cellStyle name="Total 2 7 2 5 3 2" xfId="33070"/>
    <cellStyle name="Total 3 2 2 5 3 2" xfId="33071"/>
    <cellStyle name="Total 4 2 2 5 3 2" xfId="33072"/>
    <cellStyle name="Total 5 5 5 3 2" xfId="33073"/>
    <cellStyle name="Calculation 8 2 5 3 2" xfId="33074"/>
    <cellStyle name="Input 12 2 5 3 2" xfId="33075"/>
    <cellStyle name="Input 11 2 5 3 2" xfId="33076"/>
    <cellStyle name="Calculation 9 2 5 3 2" xfId="33077"/>
    <cellStyle name="Output 8 2 5 3 2" xfId="33078"/>
    <cellStyle name="Total 8 2 5 3 2" xfId="33079"/>
    <cellStyle name="Total 9 2 5 3 2" xfId="33080"/>
    <cellStyle name="Total 4 3 2 2 5 2" xfId="33081"/>
    <cellStyle name="Output 4 2 2 2 5 2" xfId="33082"/>
    <cellStyle name="Style 25 2 3 5 2" xfId="33083"/>
    <cellStyle name="StmtTtl2 2 2 5 2" xfId="33084"/>
    <cellStyle name="Note 2 5 3 2 5 2" xfId="33085"/>
    <cellStyle name="Note 8 2 4 5 2" xfId="33086"/>
    <cellStyle name="Note 7 2 6 5 2" xfId="33087"/>
    <cellStyle name="Output 13 2 8 2" xfId="33088"/>
    <cellStyle name="Output 10 2 8 2" xfId="33089"/>
    <cellStyle name="Note 6 2 4 8 2" xfId="33090"/>
    <cellStyle name="Output 5 2 2 5 3 2" xfId="33091"/>
    <cellStyle name="Output 4 3 2 5 3 2" xfId="33092"/>
    <cellStyle name="Output 3 3 2 5 3 2" xfId="33093"/>
    <cellStyle name="Output 2 7 2 5 3 2" xfId="33094"/>
    <cellStyle name="Output 11 2 5 3 2" xfId="33095"/>
    <cellStyle name="Style 22 2 2 8 2" xfId="33096"/>
    <cellStyle name="Calculation 2 2 6 8 2" xfId="33097"/>
    <cellStyle name="Input 5 3 2 5 3 2" xfId="33098"/>
    <cellStyle name="Input 4 3 2 5 3 2" xfId="33099"/>
    <cellStyle name="Input 3 3 2 5 3 2" xfId="33100"/>
    <cellStyle name="Input 2 7 2 5 3 2" xfId="33101"/>
    <cellStyle name="Calculation 10 2 5 3 2" xfId="33102"/>
    <cellStyle name="Input 14 2 5 3 2" xfId="33103"/>
    <cellStyle name="Input 16 2 5 3 2" xfId="33104"/>
    <cellStyle name="Input 17 2 5 3 2" xfId="33105"/>
    <cellStyle name="Input 15 2 5 3 2" xfId="33106"/>
    <cellStyle name="Input 13 2 5 3 2" xfId="33107"/>
    <cellStyle name="Calculation 5 2 2 5 3 2" xfId="33108"/>
    <cellStyle name="Calculation 4 3 2 5 3 2" xfId="33109"/>
    <cellStyle name="Calculation 3 3 2 5 3 2" xfId="33110"/>
    <cellStyle name="Calculation 2 7 2 5 3 2" xfId="33111"/>
    <cellStyle name="Calculation 11 2 5 3 2" xfId="33112"/>
    <cellStyle name="Output 10 2 5 3 2" xfId="33113"/>
    <cellStyle name="Note 12 2 5 3 2" xfId="33114"/>
    <cellStyle name="Note 2 7 2 5 3 2" xfId="33115"/>
    <cellStyle name="Note 2 2 4 2 5 3 2" xfId="33116"/>
    <cellStyle name="Note 3 5 2 5 3 2" xfId="33117"/>
    <cellStyle name="Note 3 2 5 2 5 3 2" xfId="33118"/>
    <cellStyle name="Note 4 4 2 5 3 2" xfId="33119"/>
    <cellStyle name="Note 4 2 3 2 5 3 2" xfId="33120"/>
    <cellStyle name="Note 5 3 2 5 3 2" xfId="33121"/>
    <cellStyle name="Note 5 2 2 2 5 3 2" xfId="33122"/>
    <cellStyle name="Note 6 3 2 5 3 2" xfId="33123"/>
    <cellStyle name="Note 6 2 2 2 5 3 2" xfId="33124"/>
    <cellStyle name="Note 7 3 2 5 3 2" xfId="33125"/>
    <cellStyle name="Note 7 2 2 2 5 3 2" xfId="33126"/>
    <cellStyle name="Note 8 2 2 5 3 2" xfId="33127"/>
    <cellStyle name="Note 9 2 2 5 3 2" xfId="33128"/>
    <cellStyle name="Output 12 2 5 3 2" xfId="33129"/>
    <cellStyle name="Output 2 8 2 5 3 2" xfId="33130"/>
    <cellStyle name="Output 3 4 2 5 3 2" xfId="33131"/>
    <cellStyle name="Output 4 4 2 5 3 2" xfId="33132"/>
    <cellStyle name="Output 5 3 2 5 3 2" xfId="33133"/>
    <cellStyle name="Total 10 2 5 3 2" xfId="33134"/>
    <cellStyle name="Total 11 2 5 3 2" xfId="33135"/>
    <cellStyle name="Total 2 8 2 5 3 2" xfId="33136"/>
    <cellStyle name="Total 3 3 2 5 3 2" xfId="33137"/>
    <cellStyle name="Total 4 3 2 5 3 2" xfId="33138"/>
    <cellStyle name="Total 5 2 2 5 3 2" xfId="33139"/>
    <cellStyle name="Total 12 2 5 3 2" xfId="33140"/>
    <cellStyle name="Total 2 9 2 5 3 2" xfId="33141"/>
    <cellStyle name="Total 3 4 2 5 3 2" xfId="33142"/>
    <cellStyle name="Total 4 4 2 5 3 2" xfId="33143"/>
    <cellStyle name="Total 5 3 2 5 3 2" xfId="33144"/>
    <cellStyle name="Note 9 2 2 2 5 2" xfId="33145"/>
    <cellStyle name="Note 5 2 4 2 5 2" xfId="33146"/>
    <cellStyle name="Note 4 2 5 2 5 2" xfId="33147"/>
    <cellStyle name="Input 3 6 2 5 2" xfId="33148"/>
    <cellStyle name="Output 4 5 4 5 2" xfId="33149"/>
    <cellStyle name="Note 3 5 4 5 2" xfId="33150"/>
    <cellStyle name="Input 18 2 8 2" xfId="33151"/>
    <cellStyle name="Calculation 5 2 2 8 2" xfId="33152"/>
    <cellStyle name="Note 11 2 8 2" xfId="33153"/>
    <cellStyle name="styleSeriesData 9 2" xfId="33154"/>
    <cellStyle name="Note 2 4 2 2 8 2" xfId="33155"/>
    <cellStyle name="Input 18 2 5 3 2" xfId="33156"/>
    <cellStyle name="Calculation 12 2 5 3 2" xfId="33157"/>
    <cellStyle name="Input 19 2 5 3 2" xfId="33158"/>
    <cellStyle name="Note 13 2 5 3 2" xfId="33159"/>
    <cellStyle name="Output 13 2 5 3 2" xfId="33160"/>
    <cellStyle name="Total 13 2 5 3 2" xfId="33161"/>
    <cellStyle name="Input 6 3 3 5 2" xfId="33162"/>
    <cellStyle name="Note 2 2 4 9 2" xfId="33163"/>
    <cellStyle name="Calculation 2 8 2 5 3 2" xfId="33164"/>
    <cellStyle name="Calculation 3 4 2 5 3 2" xfId="33165"/>
    <cellStyle name="Calculation 4 4 2 5 3 2" xfId="33166"/>
    <cellStyle name="Calculation 5 3 2 5 3 2" xfId="33167"/>
    <cellStyle name="Input 2 8 2 5 3 2" xfId="33168"/>
    <cellStyle name="Input 3 4 2 5 3 2" xfId="33169"/>
    <cellStyle name="Input 4 4 2 5 3 2" xfId="33170"/>
    <cellStyle name="Input 5 4 2 5 3 2" xfId="33171"/>
    <cellStyle name="Calculation 7 10 2" xfId="33172"/>
    <cellStyle name="Note 2 8 2 5 3 2" xfId="33173"/>
    <cellStyle name="Note 2 2 5 2 5 3 2" xfId="33174"/>
    <cellStyle name="Note 3 6 2 5 3 2" xfId="33175"/>
    <cellStyle name="Note 3 2 6 2 5 3 2" xfId="33176"/>
    <cellStyle name="Note 4 5 2 5 3 2" xfId="33177"/>
    <cellStyle name="Note 4 2 4 2 5 3 2" xfId="33178"/>
    <cellStyle name="Note 5 4 2 5 3 2" xfId="33179"/>
    <cellStyle name="Note 5 2 3 2 5 3 2" xfId="33180"/>
    <cellStyle name="Note 6 4 2 5 3 2" xfId="33181"/>
    <cellStyle name="Note 6 2 3 2 5 3 2" xfId="33182"/>
    <cellStyle name="Note 7 4 2 5 3 2" xfId="33183"/>
    <cellStyle name="Note 7 2 3 2 5 3 2" xfId="33184"/>
    <cellStyle name="Note 8 3 2 5 3 2" xfId="33185"/>
    <cellStyle name="Output 2 9 2 5 3 2" xfId="33186"/>
    <cellStyle name="Output 3 5 2 5 3 2" xfId="33187"/>
    <cellStyle name="Output 4 5 2 5 3 2" xfId="33188"/>
    <cellStyle name="Output 5 4 2 5 3 2" xfId="33189"/>
    <cellStyle name="Total 2 10 2 5 3 2" xfId="33190"/>
    <cellStyle name="Total 3 5 2 5 3 2" xfId="33191"/>
    <cellStyle name="Total 4 5 2 5 3 2" xfId="33192"/>
    <cellStyle name="Total 5 4 2 5 3 2" xfId="33193"/>
    <cellStyle name="Input 20 2 5 3 2" xfId="33194"/>
    <cellStyle name="Total 2 10 5 5 2" xfId="33195"/>
    <cellStyle name="Calculation 11 10 2" xfId="33196"/>
    <cellStyle name="Input 2 2 5 3 5 2" xfId="33197"/>
    <cellStyle name="Input 21 2 5 3 2" xfId="33198"/>
    <cellStyle name="Output 4 2 3 5 2" xfId="33199"/>
    <cellStyle name="Note 6 2 6 2 3 2" xfId="33200"/>
    <cellStyle name="Note 7 7 2 3 2" xfId="33201"/>
    <cellStyle name="Note 7 2 6 2 3 2" xfId="33202"/>
    <cellStyle name="Note 8 6 2 3 2" xfId="33203"/>
    <cellStyle name="Note 9 5 2 3 2" xfId="33204"/>
    <cellStyle name="Output 7 4 2 3 2" xfId="33205"/>
    <cellStyle name="Output 2 6 4 2 3 2" xfId="33206"/>
    <cellStyle name="Output 3 2 4 2 3 2" xfId="33207"/>
    <cellStyle name="Output 4 2 4 2 3 2" xfId="33208"/>
    <cellStyle name="Output 5 7 2 3 2" xfId="33209"/>
    <cellStyle name="Note 4 2 4 5 2 3 2" xfId="33210"/>
    <cellStyle name="Total 7 4 2 3 2" xfId="33211"/>
    <cellStyle name="Total 2 7 4 2 3 2" xfId="33212"/>
    <cellStyle name="Total 3 2 4 2 3 2" xfId="33213"/>
    <cellStyle name="Total 4 2 4 2 3 2" xfId="33214"/>
    <cellStyle name="Total 5 7 2 3 2" xfId="33215"/>
    <cellStyle name="Calculation 8 4 2 3 2" xfId="33216"/>
    <cellStyle name="Input 12 4 2 3 2" xfId="33217"/>
    <cellStyle name="Input 11 4 2 3 2" xfId="33218"/>
    <cellStyle name="Calculation 9 4 2 3 2" xfId="33219"/>
    <cellStyle name="Output 8 4 2 3 2" xfId="33220"/>
    <cellStyle name="Note 4 5 5 2 3 2" xfId="33221"/>
    <cellStyle name="Total 8 4 2 3 2" xfId="33222"/>
    <cellStyle name="Total 9 4 2 3 2" xfId="33223"/>
    <cellStyle name="Input 2 9 3 2 3 2" xfId="33224"/>
    <cellStyle name="Note 2 2 2 3 3 2 3 2" xfId="33225"/>
    <cellStyle name="Note 7 2 3 5 2 3 2" xfId="33226"/>
    <cellStyle name="Note 3 2 6 5 2 3 2" xfId="33227"/>
    <cellStyle name="Output 13 5 2 3 2" xfId="33228"/>
    <cellStyle name="Input 14 5 2 3 2" xfId="33229"/>
    <cellStyle name="Input 5 3 5 2 3 2" xfId="33230"/>
    <cellStyle name="Output 5 2 4 2 3 2" xfId="33231"/>
    <cellStyle name="Output 4 3 4 2 3 2" xfId="33232"/>
    <cellStyle name="Output 3 3 4 2 3 2" xfId="33233"/>
    <cellStyle name="Output 2 7 4 2 3 2" xfId="33234"/>
    <cellStyle name="Output 11 4 2 3 2" xfId="33235"/>
    <cellStyle name="Input 5 3 4 2 3 2" xfId="33236"/>
    <cellStyle name="Input 4 3 4 2 3 2" xfId="33237"/>
    <cellStyle name="Input 3 3 4 2 3 2" xfId="33238"/>
    <cellStyle name="Input 2 7 4 2 3 2" xfId="33239"/>
    <cellStyle name="Calculation 10 4 2 3 2" xfId="33240"/>
    <cellStyle name="Input 14 4 2 3 2" xfId="33241"/>
    <cellStyle name="Input 16 4 2 3 2" xfId="33242"/>
    <cellStyle name="Input 17 4 2 3 2" xfId="33243"/>
    <cellStyle name="Input 15 4 2 3 2" xfId="33244"/>
    <cellStyle name="Input 13 4 2 3 2" xfId="33245"/>
    <cellStyle name="Calculation 5 2 4 2 3 2" xfId="33246"/>
    <cellStyle name="Calculation 4 3 4 2 3 2" xfId="33247"/>
    <cellStyle name="Calculation 3 3 4 2 3 2" xfId="33248"/>
    <cellStyle name="Calculation 2 7 4 2 3 2" xfId="33249"/>
    <cellStyle name="Calculation 11 4 2 3 2" xfId="33250"/>
    <cellStyle name="Output 10 4 2 3 2" xfId="33251"/>
    <cellStyle name="Note 12 4 2 3 2" xfId="33252"/>
    <cellStyle name="Note 2 7 4 2 3 2" xfId="33253"/>
    <cellStyle name="Note 2 2 4 4 2 3 2" xfId="33254"/>
    <cellStyle name="Note 3 5 4 2 3 2" xfId="33255"/>
    <cellStyle name="Note 3 2 5 4 2 3 2" xfId="33256"/>
    <cellStyle name="Note 4 4 4 2 3 2" xfId="33257"/>
    <cellStyle name="Note 4 2 3 4 2 3 2" xfId="33258"/>
    <cellStyle name="Note 5 3 4 2 3 2" xfId="33259"/>
    <cellStyle name="Note 5 2 2 4 2 3 2" xfId="33260"/>
    <cellStyle name="Note 6 3 4 2 3 2" xfId="33261"/>
    <cellStyle name="Note 6 2 2 4 2 3 2" xfId="33262"/>
    <cellStyle name="Note 7 3 4 2 3 2" xfId="33263"/>
    <cellStyle name="Note 7 2 2 4 2 3 2" xfId="33264"/>
    <cellStyle name="Note 8 2 4 2 3 2" xfId="33265"/>
    <cellStyle name="Note 9 2 4 2 3 2" xfId="33266"/>
    <cellStyle name="Output 12 4 2 3 2" xfId="33267"/>
    <cellStyle name="Output 2 8 4 2 3 2" xfId="33268"/>
    <cellStyle name="Output 3 4 4 2 3 2" xfId="33269"/>
    <cellStyle name="Output 4 4 4 2 3 2" xfId="33270"/>
    <cellStyle name="Output 5 3 4 2 3 2" xfId="33271"/>
    <cellStyle name="Total 10 4 2 3 2" xfId="33272"/>
    <cellStyle name="Total 11 4 2 3 2" xfId="33273"/>
    <cellStyle name="Total 2 8 4 2 3 2" xfId="33274"/>
    <cellStyle name="Total 3 3 4 2 3 2" xfId="33275"/>
    <cellStyle name="Total 4 3 4 2 3 2" xfId="33276"/>
    <cellStyle name="Total 5 2 4 2 3 2" xfId="33277"/>
    <cellStyle name="Total 12 4 2 3 2" xfId="33278"/>
    <cellStyle name="Total 2 9 4 2 3 2" xfId="33279"/>
    <cellStyle name="Total 3 4 4 2 3 2" xfId="33280"/>
    <cellStyle name="Total 4 4 4 2 3 2" xfId="33281"/>
    <cellStyle name="Total 5 3 4 2 3 2" xfId="33282"/>
    <cellStyle name="Note 2 4 2 3 3 2 3 2" xfId="33283"/>
    <cellStyle name="Note 6 2 3 5 2 3 2" xfId="33284"/>
    <cellStyle name="Input 19 5 2 3 2" xfId="33285"/>
    <cellStyle name="Input 2 7 5 2 3 2" xfId="33286"/>
    <cellStyle name="Input 18 4 2 3 2" xfId="33287"/>
    <cellStyle name="Calculation 12 4 2 3 2" xfId="33288"/>
    <cellStyle name="Input 19 4 2 3 2" xfId="33289"/>
    <cellStyle name="Note 13 4 2 3 2" xfId="33290"/>
    <cellStyle name="Output 13 4 2 3 2" xfId="33291"/>
    <cellStyle name="Total 13 4 2 3 2" xfId="33292"/>
    <cellStyle name="Calculation 2 8 4 2 3 2" xfId="33293"/>
    <cellStyle name="Calculation 3 4 4 2 3 2" xfId="33294"/>
    <cellStyle name="Calculation 4 4 4 2 3 2" xfId="33295"/>
    <cellStyle name="Calculation 5 3 4 2 3 2" xfId="33296"/>
    <cellStyle name="Input 2 8 4 2 3 2" xfId="33297"/>
    <cellStyle name="Input 3 4 4 2 3 2" xfId="33298"/>
    <cellStyle name="Input 4 4 4 2 3 2" xfId="33299"/>
    <cellStyle name="Input 5 4 4 2 3 2" xfId="33300"/>
    <cellStyle name="Note 2 8 4 2 3 2" xfId="33301"/>
    <cellStyle name="Note 2 2 5 4 2 3 2" xfId="33302"/>
    <cellStyle name="Note 3 6 4 2 3 2" xfId="33303"/>
    <cellStyle name="Note 3 2 6 4 2 3 2" xfId="33304"/>
    <cellStyle name="Note 4 5 4 2 3 2" xfId="33305"/>
    <cellStyle name="Note 4 2 4 4 2 3 2" xfId="33306"/>
    <cellStyle name="Note 5 4 4 2 3 2" xfId="33307"/>
    <cellStyle name="Note 5 2 3 4 2 3 2" xfId="33308"/>
    <cellStyle name="Note 6 4 4 2 3 2" xfId="33309"/>
    <cellStyle name="Note 6 2 3 4 2 3 2" xfId="33310"/>
    <cellStyle name="Note 7 4 4 2 3 2" xfId="33311"/>
    <cellStyle name="Note 7 2 3 4 2 3 2" xfId="33312"/>
    <cellStyle name="Note 8 3 4 2 3 2" xfId="33313"/>
    <cellStyle name="Output 2 9 4 2 3 2" xfId="33314"/>
    <cellStyle name="Output 3 5 4 2 3 2" xfId="33315"/>
    <cellStyle name="Output 4 5 4 2 3 2" xfId="33316"/>
    <cellStyle name="Output 5 4 4 2 3 2" xfId="33317"/>
    <cellStyle name="Total 2 10 4 2 3 2" xfId="33318"/>
    <cellStyle name="Total 3 5 4 2 3 2" xfId="33319"/>
    <cellStyle name="Total 4 5 4 2 3 2" xfId="33320"/>
    <cellStyle name="Total 5 4 4 2 3 2" xfId="33321"/>
    <cellStyle name="Input 20 4 2 3 2" xfId="33322"/>
    <cellStyle name="Input 21 4 2 3 2" xfId="33323"/>
    <cellStyle name="Note 4 2 6 2 2 3 2" xfId="33324"/>
    <cellStyle name="Note 3 3 3 2 2 3 2" xfId="33325"/>
    <cellStyle name="Note 2 5 3 2 2 3 2" xfId="33326"/>
    <cellStyle name="Note 2 4 2 3 2 2 3 2" xfId="33327"/>
    <cellStyle name="Note 2 3 2 3 2 2 3 2" xfId="33328"/>
    <cellStyle name="Note 2 2 2 3 2 2 3 2" xfId="33329"/>
    <cellStyle name="Calculation 2 9 2 2 3 2" xfId="33330"/>
    <cellStyle name="Calculation 2 2 5 2 2 3 2" xfId="33331"/>
    <cellStyle name="Calculation 2 2 2 2 2 2 3 2" xfId="33332"/>
    <cellStyle name="Calculation 2 2 3 2 2 2 3 2" xfId="33333"/>
    <cellStyle name="Calculation 2 2 4 2 2 2 3 2" xfId="33334"/>
    <cellStyle name="Calculation 2 3 2 2 2 3 2" xfId="33335"/>
    <cellStyle name="Calculation 2 4 2 2 2 3 2" xfId="33336"/>
    <cellStyle name="Calculation 2 5 2 2 2 3 2" xfId="33337"/>
    <cellStyle name="Calculation 3 5 2 2 3 2" xfId="33338"/>
    <cellStyle name="Header2 2 2 2 3 2" xfId="33339"/>
    <cellStyle name="Input 2 5 3 2 2 3 2" xfId="33340"/>
    <cellStyle name="Input 2 9 2 2 3 2" xfId="33341"/>
    <cellStyle name="Input 2 2 5 2 2 3 2" xfId="33342"/>
    <cellStyle name="Input 2 2 2 2 2 2 3 2" xfId="33343"/>
    <cellStyle name="Input 2 2 3 2 2 2 3 2" xfId="33344"/>
    <cellStyle name="Input 2 2 4 2 2 2 3 2" xfId="33345"/>
    <cellStyle name="Input 2 3 2 2 2 3 2" xfId="33346"/>
    <cellStyle name="Input 2 4 2 2 2 3 2" xfId="33347"/>
    <cellStyle name="Input 2 5 2 2 2 3 2" xfId="33348"/>
    <cellStyle name="Input 3 5 2 2 3 2" xfId="33349"/>
    <cellStyle name="Input 4 5 2 2 3 2" xfId="33350"/>
    <cellStyle name="Input 5 5 2 2 3 2" xfId="33351"/>
    <cellStyle name="Input 6 3 2 2 3 2" xfId="33352"/>
    <cellStyle name="Input 7 2 2 2 3 2" xfId="33353"/>
    <cellStyle name="Input 8 2 2 2 3 2" xfId="33354"/>
    <cellStyle name="Calculation 2 5 3 2 2 3 2" xfId="33355"/>
    <cellStyle name="Total 2 4 3 2 2 3 2" xfId="33356"/>
    <cellStyle name="Total 2 2 4 3 2 2 3 2" xfId="33357"/>
    <cellStyle name="Total 2 2 3 3 2 2 3 2" xfId="33358"/>
    <cellStyle name="Total 2 12 2 2 3 2" xfId="33359"/>
    <cellStyle name="Note 2 9 2 2 3 2" xfId="33360"/>
    <cellStyle name="Note 2 2 6 2 2 3 2" xfId="33361"/>
    <cellStyle name="Note 2 3 3 2 2 3 2" xfId="33362"/>
    <cellStyle name="Note 2 4 3 2 2 3 2" xfId="33363"/>
    <cellStyle name="Note 3 7 2 2 3 2" xfId="33364"/>
    <cellStyle name="Note 3 2 7 2 2 3 2" xfId="33365"/>
    <cellStyle name="Output 2 10 2 2 3 2" xfId="33366"/>
    <cellStyle name="Output 2 2 5 2 2 3 2" xfId="33367"/>
    <cellStyle name="Output 2 2 2 2 2 2 3 2" xfId="33368"/>
    <cellStyle name="Output 2 2 3 2 2 2 3 2" xfId="33369"/>
    <cellStyle name="Output 2 2 4 2 2 2 3 2" xfId="33370"/>
    <cellStyle name="Output 2 3 2 2 2 3 2" xfId="33371"/>
    <cellStyle name="Output 2 4 2 2 2 3 2" xfId="33372"/>
    <cellStyle name="Output 2 5 2 2 2 3 2" xfId="33373"/>
    <cellStyle name="Output 3 6 2 2 3 2" xfId="33374"/>
    <cellStyle name="Input 7 3 2 2 3 2" xfId="33375"/>
    <cellStyle name="Input 5 6 2 2 3 2" xfId="33376"/>
    <cellStyle name="Input 3 6 2 2 3 2" xfId="33377"/>
    <cellStyle name="Input 2 4 3 2 2 3 2" xfId="33378"/>
    <cellStyle name="Input 2 2 4 3 2 2 3 2" xfId="33379"/>
    <cellStyle name="Input 2 2 2 3 2 2 3 2" xfId="33380"/>
    <cellStyle name="Input 2 10 2 2 3 2" xfId="33381"/>
    <cellStyle name="Calculation 3 6 2 2 3 2" xfId="33382"/>
    <cellStyle name="Calculation 2 4 3 2 2 3 2" xfId="33383"/>
    <cellStyle name="Calculation 2 2 4 3 2 2 3 2" xfId="33384"/>
    <cellStyle name="Calculation 2 2 2 3 2 2 3 2" xfId="33385"/>
    <cellStyle name="Calculation 2 10 2 2 3 2" xfId="33386"/>
    <cellStyle name="StmtTtl2 2 2 2 3 2" xfId="33387"/>
    <cellStyle name="Total 2 11 2 2 3 2" xfId="33388"/>
    <cellStyle name="Total 2 2 5 2 2 3 2" xfId="33389"/>
    <cellStyle name="Total 2 2 2 2 2 2 3 2" xfId="33390"/>
    <cellStyle name="Total 2 2 3 2 2 2 3 2" xfId="33391"/>
    <cellStyle name="Total 2 2 4 2 2 2 3 2" xfId="33392"/>
    <cellStyle name="Total 2 3 2 2 2 3 2" xfId="33393"/>
    <cellStyle name="Total 2 4 2 2 2 3 2" xfId="33394"/>
    <cellStyle name="Total 2 5 2 2 2 3 2" xfId="33395"/>
    <cellStyle name="Total 2 6 2 2 2 3 2" xfId="33396"/>
    <cellStyle name="Total 3 6 2 2 3 2" xfId="33397"/>
    <cellStyle name="Calculation 2 2 2 2 3 2 3 2" xfId="33398"/>
    <cellStyle name="Output 3 5 5 2 3 2" xfId="33399"/>
    <cellStyle name="Input 12 5 2 3 2" xfId="33400"/>
    <cellStyle name="Output 2 5 3 2 2 3 2" xfId="33401"/>
    <cellStyle name="Output 2 3 3 2 2 3 2" xfId="33402"/>
    <cellStyle name="Output 2 2 3 3 2 2 3 2" xfId="33403"/>
    <cellStyle name="Output 2 2 6 2 2 3 2" xfId="33404"/>
    <cellStyle name="Note 4 7 2 2 3 2" xfId="33405"/>
    <cellStyle name="Note 3 2 2 3 2 2 3 2" xfId="33406"/>
    <cellStyle name="Note 3 8 2 2 3 2" xfId="33407"/>
    <cellStyle name="Note 2 4 4 2 2 3 2" xfId="33408"/>
    <cellStyle name="Note 2 2 7 2 2 3 2" xfId="33409"/>
    <cellStyle name="Note 3 2 2 2 2 2 3 2" xfId="33410"/>
    <cellStyle name="Note 4 6 2 2 3 2" xfId="33411"/>
    <cellStyle name="Total 3 7 2 2 3 2" xfId="33412"/>
    <cellStyle name="Total 2 5 3 2 2 3 2" xfId="33413"/>
    <cellStyle name="Total 2 3 3 2 2 3 2" xfId="33414"/>
    <cellStyle name="Total 2 2 6 2 2 3 2" xfId="33415"/>
    <cellStyle name="Total 2 2 2 3 2 2 3 2" xfId="33416"/>
    <cellStyle name="StmtTtl2 3 2 2 3 2" xfId="33417"/>
    <cellStyle name="Output 3 7 2 2 3 2" xfId="33418"/>
    <cellStyle name="Note 2 5 2 2 2 3 2" xfId="33419"/>
    <cellStyle name="Note 2 2 2 2 2 2 3 2" xfId="33420"/>
    <cellStyle name="Note 2 3 2 2 2 2 3 2" xfId="33421"/>
    <cellStyle name="Note 2 4 2 2 2 2 3 2" xfId="33422"/>
    <cellStyle name="Note 3 3 2 2 2 3 2" xfId="33423"/>
    <cellStyle name="Input 8 3 2 2 3 2" xfId="33424"/>
    <cellStyle name="Input 6 4 2 2 3 2" xfId="33425"/>
    <cellStyle name="Input 4 6 2 2 3 2" xfId="33426"/>
    <cellStyle name="Input 2 3 3 2 2 3 2" xfId="33427"/>
    <cellStyle name="Input 2 2 3 3 2 2 3 2" xfId="33428"/>
    <cellStyle name="Input 2 2 6 2 2 3 2" xfId="33429"/>
    <cellStyle name="Calculation 2 3 3 2 2 3 2" xfId="33430"/>
    <cellStyle name="Calculation 2 2 3 3 2 2 3 2" xfId="33431"/>
    <cellStyle name="Calculation 2 2 6 2 2 3 2" xfId="33432"/>
    <cellStyle name="Output 2 4 3 2 2 3 2" xfId="33433"/>
    <cellStyle name="Output 2 2 4 3 2 2 3 2" xfId="33434"/>
    <cellStyle name="Output 2 2 2 3 2 2 3 2" xfId="33435"/>
    <cellStyle name="Output 2 11 2 2 3 2" xfId="33436"/>
    <cellStyle name="Note 3 2 8 2 2 3 2" xfId="33437"/>
    <cellStyle name="Note 2 3 4 2 2 3 2" xfId="33438"/>
    <cellStyle name="Note 2 10 2 2 3 2" xfId="33439"/>
    <cellStyle name="Note 4 2 5 2 2 3 2" xfId="33440"/>
    <cellStyle name="Style 21 3 2 3 2" xfId="33441"/>
    <cellStyle name="Style 21 2 3 2 3 2" xfId="33442"/>
    <cellStyle name="Style 22 3 2 3 2" xfId="33443"/>
    <cellStyle name="Style 22 2 3 2 3 2" xfId="33444"/>
    <cellStyle name="Style 23 3 2 3 2" xfId="33445"/>
    <cellStyle name="Style 23 2 3 2 3 2" xfId="33446"/>
    <cellStyle name="Style 24 3 2 3 2" xfId="33447"/>
    <cellStyle name="Style 24 2 3 2 3 2" xfId="33448"/>
    <cellStyle name="Style 25 3 2 3 2" xfId="33449"/>
    <cellStyle name="Style 25 2 3 2 3 2" xfId="33450"/>
    <cellStyle name="Style 26 3 2 3 2" xfId="33451"/>
    <cellStyle name="Style 26 2 3 2 3 2" xfId="33452"/>
    <cellStyle name="styleColumnTitles 3 2 3 2" xfId="33453"/>
    <cellStyle name="styleColumnTitles 2 3 2 3 2" xfId="33454"/>
    <cellStyle name="styleDateRange 3 2 3 2" xfId="33455"/>
    <cellStyle name="styleDateRange 2 3 2 3 2" xfId="33456"/>
    <cellStyle name="styleSeriesAttributes 3 2 3 2" xfId="33457"/>
    <cellStyle name="styleSeriesAttributes 2 3 2 3 2" xfId="33458"/>
    <cellStyle name="styleSeriesData 3 2 3 2" xfId="33459"/>
    <cellStyle name="styleSeriesData 2 3 2 3 2" xfId="33460"/>
    <cellStyle name="styleSeriesDataForecast 3 2 3 2" xfId="33461"/>
    <cellStyle name="styleSeriesDataForecast 2 3 2 3 2" xfId="33462"/>
    <cellStyle name="styleSeriesDataForecastNA 3 2 3 2" xfId="33463"/>
    <cellStyle name="styleSeriesDataForecastNA 2 3 2 3 2" xfId="33464"/>
    <cellStyle name="styleSeriesDataNA 3 2 3 2" xfId="33465"/>
    <cellStyle name="styleSeriesDataNA 2 3 2 3 2" xfId="33466"/>
    <cellStyle name="Style 21 2 2 2 2 3 2" xfId="33467"/>
    <cellStyle name="Style 22 2 2 2 2 3 2" xfId="33468"/>
    <cellStyle name="Style 23 2 2 2 2 3 2" xfId="33469"/>
    <cellStyle name="Style 24 2 2 2 2 3 2" xfId="33470"/>
    <cellStyle name="Style 25 2 2 2 2 3 2" xfId="33471"/>
    <cellStyle name="Style 26 2 2 2 2 3 2" xfId="33472"/>
    <cellStyle name="styleColumnTitles 2 2 2 2 3 2" xfId="33473"/>
    <cellStyle name="styleDateRange 2 2 2 2 3 2" xfId="33474"/>
    <cellStyle name="styleSeriesAttributes 2 2 2 2 3 2" xfId="33475"/>
    <cellStyle name="styleSeriesData 2 2 2 2 3 2" xfId="33476"/>
    <cellStyle name="styleSeriesDataForecast 2 2 2 2 3 2" xfId="33477"/>
    <cellStyle name="styleSeriesDataForecastNA 2 2 2 2 3 2" xfId="33478"/>
    <cellStyle name="styleSeriesDataNA 2 2 2 2 3 2" xfId="33479"/>
    <cellStyle name="Total 2 6 3 2 2 3 2" xfId="33480"/>
    <cellStyle name="Note 3 3 3 3 2 3 2" xfId="33481"/>
    <cellStyle name="Note 5 2 3 5 2 3 2" xfId="33482"/>
    <cellStyle name="Input 4 3 5 2 3 2" xfId="33483"/>
    <cellStyle name="Calculation 7 2 2 2 3 2" xfId="33484"/>
    <cellStyle name="Calculation 2 6 2 2 2 3 2" xfId="33485"/>
    <cellStyle name="Calculation 3 2 2 2 2 3 2" xfId="33486"/>
    <cellStyle name="Calculation 4 2 2 2 2 3 2" xfId="33487"/>
    <cellStyle name="Calculation 5 4 2 2 3 2" xfId="33488"/>
    <cellStyle name="Output 9 2 2 2 3 2" xfId="33489"/>
    <cellStyle name="Input 10 2 2 2 3 2" xfId="33490"/>
    <cellStyle name="Input 2 6 2 2 2 3 2" xfId="33491"/>
    <cellStyle name="Input 3 2 2 2 2 3 2" xfId="33492"/>
    <cellStyle name="Input 4 2 2 2 2 3 2" xfId="33493"/>
    <cellStyle name="Input 5 2 2 2 2 3 2" xfId="33494"/>
    <cellStyle name="Note 11 2 2 2 3 2" xfId="33495"/>
    <cellStyle name="Note 2 6 2 2 2 3 2" xfId="33496"/>
    <cellStyle name="Note 2 2 3 2 2 2 3 2" xfId="33497"/>
    <cellStyle name="Note 3 4 2 2 2 3 2" xfId="33498"/>
    <cellStyle name="Note 3 2 4 2 2 2 3 2" xfId="33499"/>
    <cellStyle name="Note 4 3 2 2 2 3 2" xfId="33500"/>
    <cellStyle name="Note 4 2 2 2 2 2 3 2" xfId="33501"/>
    <cellStyle name="Note 5 5 2 2 3 2" xfId="33502"/>
    <cellStyle name="Note 5 2 4 2 2 3 2" xfId="33503"/>
    <cellStyle name="Note 6 5 2 2 3 2" xfId="33504"/>
    <cellStyle name="Note 6 2 4 2 2 3 2" xfId="33505"/>
    <cellStyle name="Note 7 5 2 2 3 2" xfId="33506"/>
    <cellStyle name="Note 7 2 4 2 2 3 2" xfId="33507"/>
    <cellStyle name="Note 8 4 2 2 3 2" xfId="33508"/>
    <cellStyle name="Note 9 3 2 2 3 2" xfId="33509"/>
    <cellStyle name="Output 7 2 2 2 3 2" xfId="33510"/>
    <cellStyle name="Output 2 6 2 2 2 3 2" xfId="33511"/>
    <cellStyle name="Output 3 2 2 2 2 3 2" xfId="33512"/>
    <cellStyle name="Output 4 2 2 2 2 3 2" xfId="33513"/>
    <cellStyle name="Output 5 5 2 2 3 2" xfId="33514"/>
    <cellStyle name="Total 7 2 2 2 3 2" xfId="33515"/>
    <cellStyle name="Total 2 7 2 2 2 3 2" xfId="33516"/>
    <cellStyle name="Total 3 2 2 2 2 3 2" xfId="33517"/>
    <cellStyle name="Total 4 2 2 2 2 3 2" xfId="33518"/>
    <cellStyle name="Total 5 5 2 2 3 2" xfId="33519"/>
    <cellStyle name="Calculation 8 2 2 2 3 2" xfId="33520"/>
    <cellStyle name="Input 12 2 2 2 3 2" xfId="33521"/>
    <cellStyle name="Input 11 2 2 2 3 2" xfId="33522"/>
    <cellStyle name="Calculation 9 2 2 2 3 2" xfId="33523"/>
    <cellStyle name="Output 8 2 2 2 3 2" xfId="33524"/>
    <cellStyle name="Total 8 2 2 2 3 2" xfId="33525"/>
    <cellStyle name="Total 9 2 2 2 3 2" xfId="33526"/>
    <cellStyle name="Note 2 3 2 3 3 2 3 2" xfId="33527"/>
    <cellStyle name="Note 7 4 5 2 3 2" xfId="33528"/>
    <cellStyle name="Note 13 5 2 3 2" xfId="33529"/>
    <cellStyle name="Calculation 10 5 2 3 2" xfId="33530"/>
    <cellStyle name="Output 5 2 2 2 2 3 2" xfId="33531"/>
    <cellStyle name="Output 4 3 2 2 2 3 2" xfId="33532"/>
    <cellStyle name="Output 3 3 2 2 2 3 2" xfId="33533"/>
    <cellStyle name="Output 2 7 2 2 2 3 2" xfId="33534"/>
    <cellStyle name="Output 11 2 2 2 3 2" xfId="33535"/>
    <cellStyle name="Input 5 3 2 2 2 3 2" xfId="33536"/>
    <cellStyle name="Input 4 3 2 2 2 3 2" xfId="33537"/>
    <cellStyle name="Input 3 3 2 2 2 3 2" xfId="33538"/>
    <cellStyle name="Input 2 7 2 2 2 3 2" xfId="33539"/>
    <cellStyle name="Calculation 10 2 2 2 3 2" xfId="33540"/>
    <cellStyle name="Input 14 2 2 2 3 2" xfId="33541"/>
    <cellStyle name="Input 16 2 2 2 3 2" xfId="33542"/>
    <cellStyle name="Input 17 2 2 2 3 2" xfId="33543"/>
    <cellStyle name="Input 15 2 2 2 3 2" xfId="33544"/>
    <cellStyle name="Input 13 2 2 2 3 2" xfId="33545"/>
    <cellStyle name="Calculation 5 2 2 2 2 3 2" xfId="33546"/>
    <cellStyle name="Calculation 4 3 2 2 2 3 2" xfId="33547"/>
    <cellStyle name="Calculation 3 3 2 2 2 3 2" xfId="33548"/>
    <cellStyle name="Calculation 2 7 2 2 2 3 2" xfId="33549"/>
    <cellStyle name="Calculation 11 2 2 2 3 2" xfId="33550"/>
    <cellStyle name="Output 10 2 2 2 3 2" xfId="33551"/>
    <cellStyle name="Note 12 2 2 2 3 2" xfId="33552"/>
    <cellStyle name="Note 2 7 2 2 2 3 2" xfId="33553"/>
    <cellStyle name="Note 2 2 4 2 2 2 3 2" xfId="33554"/>
    <cellStyle name="Note 3 5 2 2 2 3 2" xfId="33555"/>
    <cellStyle name="Note 3 2 5 2 2 2 3 2" xfId="33556"/>
    <cellStyle name="Note 4 4 2 2 2 3 2" xfId="33557"/>
    <cellStyle name="Note 4 2 3 2 2 2 3 2" xfId="33558"/>
    <cellStyle name="Note 5 3 2 2 2 3 2" xfId="33559"/>
    <cellStyle name="Note 5 2 2 2 2 2 3 2" xfId="33560"/>
    <cellStyle name="Note 6 3 2 2 2 3 2" xfId="33561"/>
    <cellStyle name="Note 6 2 2 2 2 2 3 2" xfId="33562"/>
    <cellStyle name="Note 7 3 2 2 2 3 2" xfId="33563"/>
    <cellStyle name="Note 7 2 2 2 2 2 3 2" xfId="33564"/>
    <cellStyle name="Note 8 2 2 2 2 3 2" xfId="33565"/>
    <cellStyle name="Note 9 2 2 2 2 3 2" xfId="33566"/>
    <cellStyle name="Output 12 2 2 2 3 2" xfId="33567"/>
    <cellStyle name="Output 2 8 2 2 2 3 2" xfId="33568"/>
    <cellStyle name="Output 3 4 2 2 2 3 2" xfId="33569"/>
    <cellStyle name="Output 4 4 2 2 2 3 2" xfId="33570"/>
    <cellStyle name="Output 5 3 2 2 2 3 2" xfId="33571"/>
    <cellStyle name="Total 10 2 2 2 3 2" xfId="33572"/>
    <cellStyle name="Total 11 2 2 2 3 2" xfId="33573"/>
    <cellStyle name="Total 2 8 2 2 2 3 2" xfId="33574"/>
    <cellStyle name="Total 3 3 2 2 2 3 2" xfId="33575"/>
    <cellStyle name="Total 4 3 2 2 2 3 2" xfId="33576"/>
    <cellStyle name="Total 5 2 2 2 2 3 2" xfId="33577"/>
    <cellStyle name="Total 12 2 2 2 3 2" xfId="33578"/>
    <cellStyle name="Total 2 9 2 2 2 3 2" xfId="33579"/>
    <cellStyle name="Total 3 4 2 2 2 3 2" xfId="33580"/>
    <cellStyle name="Total 4 4 2 2 2 3 2" xfId="33581"/>
    <cellStyle name="Total 5 3 2 2 2 3 2" xfId="33582"/>
    <cellStyle name="Note 2 5 3 3 2 3 2" xfId="33583"/>
    <cellStyle name="Note 6 4 5 2 3 2" xfId="33584"/>
    <cellStyle name="Calculation 12 5 2 3 2" xfId="33585"/>
    <cellStyle name="Input 3 3 5 2 3 2" xfId="33586"/>
    <cellStyle name="Input 18 2 2 2 3 2" xfId="33587"/>
    <cellStyle name="Calculation 12 2 2 2 3 2" xfId="33588"/>
    <cellStyle name="Input 19 2 2 2 3 2" xfId="33589"/>
    <cellStyle name="Note 13 2 2 2 3 2" xfId="33590"/>
    <cellStyle name="Output 13 2 2 2 3 2" xfId="33591"/>
    <cellStyle name="Total 13 2 2 2 3 2" xfId="33592"/>
    <cellStyle name="Calculation 2 8 2 2 2 3 2" xfId="33593"/>
    <cellStyle name="Calculation 3 4 2 2 2 3 2" xfId="33594"/>
    <cellStyle name="Calculation 4 4 2 2 2 3 2" xfId="33595"/>
    <cellStyle name="Calculation 5 3 2 2 2 3 2" xfId="33596"/>
    <cellStyle name="Input 2 8 2 2 2 3 2" xfId="33597"/>
    <cellStyle name="Input 3 4 2 2 2 3 2" xfId="33598"/>
    <cellStyle name="Input 4 4 2 2 2 3 2" xfId="33599"/>
    <cellStyle name="Input 5 4 2 2 2 3 2" xfId="33600"/>
    <cellStyle name="Note 2 8 2 2 2 3 2" xfId="33601"/>
    <cellStyle name="Note 2 2 5 2 2 2 3 2" xfId="33602"/>
    <cellStyle name="Note 3 6 2 2 2 3 2" xfId="33603"/>
    <cellStyle name="Note 3 2 6 2 2 2 3 2" xfId="33604"/>
    <cellStyle name="Note 4 5 2 2 2 3 2" xfId="33605"/>
    <cellStyle name="Note 4 2 4 2 2 2 3 2" xfId="33606"/>
    <cellStyle name="Note 5 4 2 2 2 3 2" xfId="33607"/>
    <cellStyle name="Note 5 2 3 2 2 2 3 2" xfId="33608"/>
    <cellStyle name="Note 6 4 2 2 2 3 2" xfId="33609"/>
    <cellStyle name="Note 6 2 3 2 2 2 3 2" xfId="33610"/>
    <cellStyle name="Note 7 4 2 2 2 3 2" xfId="33611"/>
    <cellStyle name="Note 7 2 3 2 2 2 3 2" xfId="33612"/>
    <cellStyle name="Note 8 3 2 2 2 3 2" xfId="33613"/>
    <cellStyle name="Output 2 9 2 2 2 3 2" xfId="33614"/>
    <cellStyle name="Output 3 5 2 2 2 3 2" xfId="33615"/>
    <cellStyle name="Output 4 5 2 2 2 3 2" xfId="33616"/>
    <cellStyle name="Output 5 4 2 2 2 3 2" xfId="33617"/>
    <cellStyle name="Total 2 10 2 2 2 3 2" xfId="33618"/>
    <cellStyle name="Total 3 5 2 2 2 3 2" xfId="33619"/>
    <cellStyle name="Total 4 5 2 2 2 3 2" xfId="33620"/>
    <cellStyle name="Total 5 4 2 2 2 3 2" xfId="33621"/>
    <cellStyle name="Input 20 2 2 2 3 2" xfId="33622"/>
    <cellStyle name="Input 21 2 2 2 3 2" xfId="33623"/>
    <cellStyle name="Note 2 9 3 2 3 2" xfId="33624"/>
    <cellStyle name="Note 2 2 6 3 2 3 2" xfId="33625"/>
    <cellStyle name="Note 2 3 3 3 2 3 2" xfId="33626"/>
    <cellStyle name="Note 2 4 3 3 2 3 2" xfId="33627"/>
    <cellStyle name="Note 3 7 3 2 3 2" xfId="33628"/>
    <cellStyle name="Note 3 2 7 3 2 3 2" xfId="33629"/>
    <cellStyle name="Output 2 10 3 2 3 2" xfId="33630"/>
    <cellStyle name="Output 2 2 5 3 2 3 2" xfId="33631"/>
    <cellStyle name="Output 2 2 2 2 3 2 3 2" xfId="33632"/>
    <cellStyle name="Output 2 2 3 2 3 2 3 2" xfId="33633"/>
    <cellStyle name="Output 2 2 4 2 3 2 3 2" xfId="33634"/>
    <cellStyle name="Output 2 3 2 3 2 3 2" xfId="33635"/>
    <cellStyle name="Output 2 4 2 3 2 3 2" xfId="33636"/>
    <cellStyle name="Output 2 5 2 3 2 3 2" xfId="33637"/>
    <cellStyle name="Output 3 6 3 2 3 2" xfId="33638"/>
    <cellStyle name="Input 7 3 3 2 3 2" xfId="33639"/>
    <cellStyle name="Input 5 6 3 2 3 2" xfId="33640"/>
    <cellStyle name="Input 3 6 3 2 3 2" xfId="33641"/>
    <cellStyle name="Input 2 4 3 3 2 3 2" xfId="33642"/>
    <cellStyle name="Input 2 2 4 3 3 2 3 2" xfId="33643"/>
    <cellStyle name="Input 2 2 2 3 3 2 3 2" xfId="33644"/>
    <cellStyle name="Input 2 10 3 2 3 2" xfId="33645"/>
    <cellStyle name="Calculation 3 6 3 2 3 2" xfId="33646"/>
    <cellStyle name="Calculation 2 4 3 3 2 3 2" xfId="33647"/>
    <cellStyle name="Calculation 2 2 4 3 3 2 3 2" xfId="33648"/>
    <cellStyle name="Calculation 2 2 2 3 3 2 3 2" xfId="33649"/>
    <cellStyle name="Calculation 2 10 3 2 3 2" xfId="33650"/>
    <cellStyle name="StmtTtl2 2 3 2 3 2" xfId="33651"/>
    <cellStyle name="Total 2 11 3 2 3 2" xfId="33652"/>
    <cellStyle name="Total 2 2 5 3 2 3 2" xfId="33653"/>
    <cellStyle name="Total 2 2 2 2 3 2 3 2" xfId="33654"/>
    <cellStyle name="Total 2 2 3 2 3 2 3 2" xfId="33655"/>
    <cellStyle name="Total 2 2 4 2 3 2 3 2" xfId="33656"/>
    <cellStyle name="Total 2 3 2 3 2 3 2" xfId="33657"/>
    <cellStyle name="Total 2 4 2 3 2 3 2" xfId="33658"/>
    <cellStyle name="Total 2 5 2 3 2 3 2" xfId="33659"/>
    <cellStyle name="Total 2 6 2 3 2 3 2" xfId="33660"/>
    <cellStyle name="Total 3 6 3 2 3 2" xfId="33661"/>
    <cellStyle name="Output 2 5 3 3 2 3 2" xfId="33662"/>
    <cellStyle name="Output 2 3 3 3 2 3 2" xfId="33663"/>
    <cellStyle name="Output 2 2 3 3 3 2 3 2" xfId="33664"/>
    <cellStyle name="Output 2 2 6 3 2 3 2" xfId="33665"/>
    <cellStyle name="Note 4 7 3 2 3 2" xfId="33666"/>
    <cellStyle name="Note 3 2 2 3 3 2 3 2" xfId="33667"/>
    <cellStyle name="Note 3 8 3 2 3 2" xfId="33668"/>
    <cellStyle name="Note 2 4 4 3 2 3 2" xfId="33669"/>
    <cellStyle name="Note 2 2 7 3 2 3 2" xfId="33670"/>
    <cellStyle name="Note 3 2 2 2 3 2 3 2" xfId="33671"/>
    <cellStyle name="Note 4 6 3 2 3 2" xfId="33672"/>
    <cellStyle name="Total 3 7 3 2 3 2" xfId="33673"/>
    <cellStyle name="Total 2 5 3 3 2 3 2" xfId="33674"/>
    <cellStyle name="Total 2 3 3 3 2 3 2" xfId="33675"/>
    <cellStyle name="Total 2 2 6 3 2 3 2" xfId="33676"/>
    <cellStyle name="Total 2 2 2 3 3 2 3 2" xfId="33677"/>
    <cellStyle name="StmtTtl2 3 3 2 3 2" xfId="33678"/>
    <cellStyle name="Output 3 7 3 2 3 2" xfId="33679"/>
    <cellStyle name="Note 2 5 2 3 2 3 2" xfId="33680"/>
    <cellStyle name="Note 2 2 2 2 3 2 3 2" xfId="33681"/>
    <cellStyle name="Note 2 3 2 2 3 2 3 2" xfId="33682"/>
    <cellStyle name="Note 2 4 2 2 3 2 3 2" xfId="33683"/>
    <cellStyle name="Note 3 3 2 3 2 3 2" xfId="33684"/>
    <cellStyle name="Input 8 3 3 2 3 2" xfId="33685"/>
    <cellStyle name="Input 6 4 3 2 3 2" xfId="33686"/>
    <cellStyle name="Input 4 6 3 2 3 2" xfId="33687"/>
    <cellStyle name="Input 2 3 3 3 2 3 2" xfId="33688"/>
    <cellStyle name="Input 2 2 3 3 3 2 3 2" xfId="33689"/>
    <cellStyle name="Input 2 2 6 3 2 3 2" xfId="33690"/>
    <cellStyle name="Calculation 2 3 3 3 2 3 2" xfId="33691"/>
    <cellStyle name="Calculation 2 2 3 3 3 2 3 2" xfId="33692"/>
    <cellStyle name="Calculation 2 2 6 3 2 3 2" xfId="33693"/>
    <cellStyle name="Output 2 4 3 3 2 3 2" xfId="33694"/>
    <cellStyle name="Output 2 2 4 3 3 2 3 2" xfId="33695"/>
    <cellStyle name="Output 2 2 2 3 3 2 3 2" xfId="33696"/>
    <cellStyle name="Output 2 11 3 2 3 2" xfId="33697"/>
    <cellStyle name="Note 3 2 8 3 2 3 2" xfId="33698"/>
    <cellStyle name="Note 2 3 4 3 2 3 2" xfId="33699"/>
    <cellStyle name="Note 2 10 3 2 3 2" xfId="33700"/>
    <cellStyle name="Note 4 2 5 3 2 3 2" xfId="33701"/>
    <cellStyle name="Style 21 4 2 3 2" xfId="33702"/>
    <cellStyle name="Style 21 2 4 2 3 2" xfId="33703"/>
    <cellStyle name="Style 22 4 2 3 2" xfId="33704"/>
    <cellStyle name="Style 22 2 4 2 3 2" xfId="33705"/>
    <cellStyle name="Style 23 4 2 3 2" xfId="33706"/>
    <cellStyle name="Style 23 2 4 2 3 2" xfId="33707"/>
    <cellStyle name="Style 24 4 2 3 2" xfId="33708"/>
    <cellStyle name="Style 24 2 4 2 3 2" xfId="33709"/>
    <cellStyle name="Style 25 4 2 3 2" xfId="33710"/>
    <cellStyle name="Style 25 2 4 2 3 2" xfId="33711"/>
    <cellStyle name="Style 26 4 2 3 2" xfId="33712"/>
    <cellStyle name="Style 26 2 4 2 3 2" xfId="33713"/>
    <cellStyle name="styleColumnTitles 4 2 3 2" xfId="33714"/>
    <cellStyle name="styleColumnTitles 2 4 2 3 2" xfId="33715"/>
    <cellStyle name="styleDateRange 4 2 3 2" xfId="33716"/>
    <cellStyle name="styleDateRange 2 4 2 3 2" xfId="33717"/>
    <cellStyle name="styleSeriesAttributes 4 2 3 2" xfId="33718"/>
    <cellStyle name="styleSeriesAttributes 2 4 2 3 2" xfId="33719"/>
    <cellStyle name="styleSeriesData 4 2 3 2" xfId="33720"/>
    <cellStyle name="styleSeriesData 2 4 2 3 2" xfId="33721"/>
    <cellStyle name="styleSeriesDataForecast 4 2 3 2" xfId="33722"/>
    <cellStyle name="styleSeriesDataForecast 2 4 2 3 2" xfId="33723"/>
    <cellStyle name="styleSeriesDataForecastNA 4 2 3 2" xfId="33724"/>
    <cellStyle name="styleSeriesDataForecastNA 2 4 2 3 2" xfId="33725"/>
    <cellStyle name="styleSeriesDataNA 4 2 3 2" xfId="33726"/>
    <cellStyle name="styleSeriesDataNA 2 4 2 3 2" xfId="33727"/>
    <cellStyle name="Style 21 2 2 3 2 3 2" xfId="33728"/>
    <cellStyle name="Style 22 2 2 3 2 3 2" xfId="33729"/>
    <cellStyle name="Style 23 2 2 3 2 3 2" xfId="33730"/>
    <cellStyle name="Style 24 2 2 3 2 3 2" xfId="33731"/>
    <cellStyle name="Style 25 2 2 3 2 3 2" xfId="33732"/>
    <cellStyle name="Style 26 2 2 3 2 3 2" xfId="33733"/>
    <cellStyle name="styleColumnTitles 2 2 3 2 3 2" xfId="33734"/>
    <cellStyle name="styleDateRange 2 2 3 2 3 2" xfId="33735"/>
    <cellStyle name="styleSeriesAttributes 2 2 3 2 3 2" xfId="33736"/>
    <cellStyle name="styleSeriesData 2 2 3 2 3 2" xfId="33737"/>
    <cellStyle name="styleSeriesDataForecast 2 2 3 2 3 2" xfId="33738"/>
    <cellStyle name="styleSeriesDataForecastNA 2 2 3 2 3 2" xfId="33739"/>
    <cellStyle name="styleSeriesDataNA 2 2 3 2 3 2" xfId="33740"/>
    <cellStyle name="Total 2 6 3 3 2 3 2" xfId="33741"/>
    <cellStyle name="Calculation 7 2 3 2 3 2" xfId="33742"/>
    <cellStyle name="Calculation 2 6 2 3 2 3 2" xfId="33743"/>
    <cellStyle name="Calculation 3 2 2 3 2 3 2" xfId="33744"/>
    <cellStyle name="Calculation 4 2 2 3 2 3 2" xfId="33745"/>
    <cellStyle name="Calculation 5 4 3 2 3 2" xfId="33746"/>
    <cellStyle name="Output 9 2 3 2 3 2" xfId="33747"/>
    <cellStyle name="Input 10 2 3 2 3 2" xfId="33748"/>
    <cellStyle name="Input 2 6 2 3 2 3 2" xfId="33749"/>
    <cellStyle name="Input 3 2 2 3 2 3 2" xfId="33750"/>
    <cellStyle name="Input 4 2 2 3 2 3 2" xfId="33751"/>
    <cellStyle name="Input 5 2 2 3 2 3 2" xfId="33752"/>
    <cellStyle name="Note 11 2 3 2 3 2" xfId="33753"/>
    <cellStyle name="Note 2 6 2 3 2 3 2" xfId="33754"/>
    <cellStyle name="Note 2 2 3 2 3 2 3 2" xfId="33755"/>
    <cellStyle name="Note 3 4 2 3 2 3 2" xfId="33756"/>
    <cellStyle name="Note 3 2 4 2 3 2 3 2" xfId="33757"/>
    <cellStyle name="Note 4 3 2 3 2 3 2" xfId="33758"/>
    <cellStyle name="Note 4 2 2 2 3 2 3 2" xfId="33759"/>
    <cellStyle name="Note 5 5 3 2 3 2" xfId="33760"/>
    <cellStyle name="Note 5 2 4 3 2 3 2" xfId="33761"/>
    <cellStyle name="Note 6 5 3 2 3 2" xfId="33762"/>
    <cellStyle name="Note 6 2 4 3 2 3 2" xfId="33763"/>
    <cellStyle name="Note 7 5 3 2 3 2" xfId="33764"/>
    <cellStyle name="Note 7 2 4 3 2 3 2" xfId="33765"/>
    <cellStyle name="Note 8 4 3 2 3 2" xfId="33766"/>
    <cellStyle name="Note 9 3 3 2 3 2" xfId="33767"/>
    <cellStyle name="Output 7 2 3 2 3 2" xfId="33768"/>
    <cellStyle name="Output 2 6 2 3 2 3 2" xfId="33769"/>
    <cellStyle name="Output 3 2 2 3 2 3 2" xfId="33770"/>
    <cellStyle name="Output 4 2 2 3 2 3 2" xfId="33771"/>
    <cellStyle name="Output 5 5 3 2 3 2" xfId="33772"/>
    <cellStyle name="Total 7 2 3 2 3 2" xfId="33773"/>
    <cellStyle name="Total 2 7 2 3 2 3 2" xfId="33774"/>
    <cellStyle name="Total 3 2 2 3 2 3 2" xfId="33775"/>
    <cellStyle name="Total 4 2 2 3 2 3 2" xfId="33776"/>
    <cellStyle name="Total 5 5 3 2 3 2" xfId="33777"/>
    <cellStyle name="Calculation 8 2 3 2 3 2" xfId="33778"/>
    <cellStyle name="Input 12 2 3 2 3 2" xfId="33779"/>
    <cellStyle name="Input 11 2 3 2 3 2" xfId="33780"/>
    <cellStyle name="Calculation 9 2 3 2 3 2" xfId="33781"/>
    <cellStyle name="Output 8 2 3 2 3 2" xfId="33782"/>
    <cellStyle name="Total 8 2 3 2 3 2" xfId="33783"/>
    <cellStyle name="Total 9 2 3 2 3 2" xfId="33784"/>
    <cellStyle name="Output 5 2 2 3 2 3 2" xfId="33785"/>
    <cellStyle name="Output 4 3 2 3 2 3 2" xfId="33786"/>
    <cellStyle name="Output 3 3 2 3 2 3 2" xfId="33787"/>
    <cellStyle name="Output 2 7 2 3 2 3 2" xfId="33788"/>
    <cellStyle name="Output 11 2 3 2 3 2" xfId="33789"/>
    <cellStyle name="Input 5 3 2 3 2 3 2" xfId="33790"/>
    <cellStyle name="Input 4 3 2 3 2 3 2" xfId="33791"/>
    <cellStyle name="Input 3 3 2 3 2 3 2" xfId="33792"/>
    <cellStyle name="Input 2 7 2 3 2 3 2" xfId="33793"/>
    <cellStyle name="Calculation 10 2 3 2 3 2" xfId="33794"/>
    <cellStyle name="Input 14 2 3 2 3 2" xfId="33795"/>
    <cellStyle name="Input 16 2 3 2 3 2" xfId="33796"/>
    <cellStyle name="Input 17 2 3 2 3 2" xfId="33797"/>
    <cellStyle name="Input 15 2 3 2 3 2" xfId="33798"/>
    <cellStyle name="Input 13 2 3 2 3 2" xfId="33799"/>
    <cellStyle name="Calculation 5 2 2 3 2 3 2" xfId="33800"/>
    <cellStyle name="Calculation 4 3 2 3 2 3 2" xfId="33801"/>
    <cellStyle name="Calculation 3 3 2 3 2 3 2" xfId="33802"/>
    <cellStyle name="Calculation 2 7 2 3 2 3 2" xfId="33803"/>
    <cellStyle name="Calculation 11 2 3 2 3 2" xfId="33804"/>
    <cellStyle name="Output 10 2 3 2 3 2" xfId="33805"/>
    <cellStyle name="Note 12 2 3 2 3 2" xfId="33806"/>
    <cellStyle name="Note 2 7 2 3 2 3 2" xfId="33807"/>
    <cellStyle name="Note 2 2 4 2 3 2 3 2" xfId="33808"/>
    <cellStyle name="Note 3 5 2 3 2 3 2" xfId="33809"/>
    <cellStyle name="Note 3 2 5 2 3 2 3 2" xfId="33810"/>
    <cellStyle name="Note 4 4 2 3 2 3 2" xfId="33811"/>
    <cellStyle name="Note 4 2 3 2 3 2 3 2" xfId="33812"/>
    <cellStyle name="Note 5 3 2 3 2 3 2" xfId="33813"/>
    <cellStyle name="Note 5 2 2 2 3 2 3 2" xfId="33814"/>
    <cellStyle name="Note 6 3 2 3 2 3 2" xfId="33815"/>
    <cellStyle name="Note 6 2 2 2 3 2 3 2" xfId="33816"/>
    <cellStyle name="Note 7 3 2 3 2 3 2" xfId="33817"/>
    <cellStyle name="Note 7 2 2 2 3 2 3 2" xfId="33818"/>
    <cellStyle name="Note 8 2 2 3 2 3 2" xfId="33819"/>
    <cellStyle name="Note 9 2 2 3 2 3 2" xfId="33820"/>
    <cellStyle name="Output 12 2 3 2 3 2" xfId="33821"/>
    <cellStyle name="Output 2 8 2 3 2 3 2" xfId="33822"/>
    <cellStyle name="Output 3 4 2 3 2 3 2" xfId="33823"/>
    <cellStyle name="Output 4 4 2 3 2 3 2" xfId="33824"/>
    <cellStyle name="Output 5 3 2 3 2 3 2" xfId="33825"/>
    <cellStyle name="Total 10 2 3 2 3 2" xfId="33826"/>
    <cellStyle name="Total 11 2 3 2 3 2" xfId="33827"/>
    <cellStyle name="Total 2 8 2 3 2 3 2" xfId="33828"/>
    <cellStyle name="Total 3 3 2 3 2 3 2" xfId="33829"/>
    <cellStyle name="Total 4 3 2 3 2 3 2" xfId="33830"/>
    <cellStyle name="Total 5 2 2 3 2 3 2" xfId="33831"/>
    <cellStyle name="Total 12 2 3 2 3 2" xfId="33832"/>
    <cellStyle name="Total 2 9 2 3 2 3 2" xfId="33833"/>
    <cellStyle name="Total 3 4 2 3 2 3 2" xfId="33834"/>
    <cellStyle name="Total 4 4 2 3 2 3 2" xfId="33835"/>
    <cellStyle name="Total 5 3 2 3 2 3 2" xfId="33836"/>
    <cellStyle name="Input 18 2 3 2 3 2" xfId="33837"/>
    <cellStyle name="Calculation 12 2 3 2 3 2" xfId="33838"/>
    <cellStyle name="Input 19 2 3 2 3 2" xfId="33839"/>
    <cellStyle name="Note 13 2 3 2 3 2" xfId="33840"/>
    <cellStyle name="Output 13 2 3 2 3 2" xfId="33841"/>
    <cellStyle name="Total 13 2 3 2 3 2" xfId="33842"/>
    <cellStyle name="Calculation 2 8 2 3 2 3 2" xfId="33843"/>
    <cellStyle name="Calculation 3 4 2 3 2 3 2" xfId="33844"/>
    <cellStyle name="Calculation 4 4 2 3 2 3 2" xfId="33845"/>
    <cellStyle name="Calculation 5 3 2 3 2 3 2" xfId="33846"/>
    <cellStyle name="Input 2 8 2 3 2 3 2" xfId="33847"/>
    <cellStyle name="Input 3 4 2 3 2 3 2" xfId="33848"/>
    <cellStyle name="Input 4 4 2 3 2 3 2" xfId="33849"/>
    <cellStyle name="Input 5 4 2 3 2 3 2" xfId="33850"/>
    <cellStyle name="Note 2 8 2 3 2 3 2" xfId="33851"/>
    <cellStyle name="Note 2 2 5 2 3 2 3 2" xfId="33852"/>
    <cellStyle name="Note 3 6 2 3 2 3 2" xfId="33853"/>
    <cellStyle name="Note 3 2 6 2 3 2 3 2" xfId="33854"/>
    <cellStyle name="Note 4 5 2 3 2 3 2" xfId="33855"/>
    <cellStyle name="Note 4 2 4 2 3 2 3 2" xfId="33856"/>
    <cellStyle name="Note 5 4 2 3 2 3 2" xfId="33857"/>
    <cellStyle name="Note 5 2 3 2 3 2 3 2" xfId="33858"/>
    <cellStyle name="Note 6 4 2 3 2 3 2" xfId="33859"/>
    <cellStyle name="Note 6 2 3 2 3 2 3 2" xfId="33860"/>
    <cellStyle name="Note 7 4 2 3 2 3 2" xfId="33861"/>
    <cellStyle name="Note 7 2 3 2 3 2 3 2" xfId="33862"/>
    <cellStyle name="Note 8 3 2 3 2 3 2" xfId="33863"/>
    <cellStyle name="Output 2 9 2 3 2 3 2" xfId="33864"/>
    <cellStyle name="Output 3 5 2 3 2 3 2" xfId="33865"/>
    <cellStyle name="Output 4 5 2 3 2 3 2" xfId="33866"/>
    <cellStyle name="Output 5 4 2 3 2 3 2" xfId="33867"/>
    <cellStyle name="Total 2 10 2 3 2 3 2" xfId="33868"/>
    <cellStyle name="Total 3 5 2 3 2 3 2" xfId="33869"/>
    <cellStyle name="Total 4 5 2 3 2 3 2" xfId="33870"/>
    <cellStyle name="Total 5 4 2 3 2 3 2" xfId="33871"/>
    <cellStyle name="Input 20 2 3 2 3 2" xfId="33872"/>
    <cellStyle name="Input 21 2 3 2 3 2" xfId="33873"/>
    <cellStyle name="Note 6 4 5 5 2" xfId="33874"/>
    <cellStyle name="Input 12 2 2 5 2" xfId="33875"/>
    <cellStyle name="styleSeriesAttributes 2 3 5 2" xfId="33876"/>
    <cellStyle name="Total 2 5 2 2 5 2" xfId="33877"/>
    <cellStyle name="Calculation 2 2 4 2 2 5 2" xfId="33878"/>
    <cellStyle name="Total 11 4 5 2" xfId="33879"/>
    <cellStyle name="Note 4 2 4 5 5 2" xfId="33880"/>
    <cellStyle name="Calculation 5 3 2 8 2" xfId="33881"/>
    <cellStyle name="Note 5 3 2 8 2" xfId="33882"/>
    <cellStyle name="Output 4 2 2 8 2" xfId="33883"/>
    <cellStyle name="Note 4 2 5 8 2" xfId="33884"/>
    <cellStyle name="Calculation 4 2 3 5 2" xfId="33885"/>
    <cellStyle name="Total 13 10 2" xfId="33886"/>
    <cellStyle name="Note 3 3 4 6 2" xfId="33887"/>
    <cellStyle name="Note 2 7 2 2 5 2" xfId="33888"/>
    <cellStyle name="Input 10 2 2 5 2" xfId="33889"/>
    <cellStyle name="Input 2 3 3 2 5 2" xfId="33890"/>
    <cellStyle name="Note 3 7 2 5 2" xfId="33891"/>
    <cellStyle name="Note 3 6 4 5 2" xfId="33892"/>
    <cellStyle name="Input 16 4 5 2" xfId="33893"/>
    <cellStyle name="Output 11 2 8 2" xfId="33894"/>
    <cellStyle name="Calculation 4 2 2 8 2" xfId="33895"/>
    <cellStyle name="Style 25 2 9 2" xfId="33896"/>
    <cellStyle name="Note 4 6 8 2" xfId="33897"/>
    <cellStyle name="Calculation 7 6 2 3 2" xfId="33898"/>
    <cellStyle name="Calculation 2 6 6 2 3 2" xfId="33899"/>
    <cellStyle name="Calculation 3 2 6 2 3 2" xfId="33900"/>
    <cellStyle name="Calculation 4 2 6 2 3 2" xfId="33901"/>
    <cellStyle name="Calculation 5 7 2 3 2" xfId="33902"/>
    <cellStyle name="Output 9 5 2 3 2" xfId="33903"/>
    <cellStyle name="Input 10 6 2 3 2" xfId="33904"/>
    <cellStyle name="Input 2 6 6 2 3 2" xfId="33905"/>
    <cellStyle name="Input 3 2 6 2 3 2" xfId="33906"/>
    <cellStyle name="Input 4 2 6 2 3 2" xfId="33907"/>
    <cellStyle name="Input 5 2 6 2 3 2" xfId="33908"/>
    <cellStyle name="Note 11 5 2 3 2" xfId="33909"/>
    <cellStyle name="Note 2 6 5 2 3 2" xfId="33910"/>
    <cellStyle name="Note 2 2 3 5 2 3 2" xfId="33911"/>
    <cellStyle name="Note 3 4 5 2 3 2" xfId="33912"/>
    <cellStyle name="Note 3 2 4 5 2 3 2" xfId="33913"/>
    <cellStyle name="Note 4 3 5 2 3 2" xfId="33914"/>
    <cellStyle name="Note 4 2 2 5 2 3 2" xfId="33915"/>
    <cellStyle name="Note 5 8 2 3 2" xfId="33916"/>
    <cellStyle name="Note 5 2 7 2 3 2" xfId="33917"/>
    <cellStyle name="Note 6 8 2 3 2" xfId="33918"/>
    <cellStyle name="Note 6 2 7 2 3 2" xfId="33919"/>
    <cellStyle name="Note 7 8 2 3 2" xfId="33920"/>
    <cellStyle name="Note 7 2 7 2 3 2" xfId="33921"/>
    <cellStyle name="Note 8 7 2 3 2" xfId="33922"/>
    <cellStyle name="Note 9 6 2 3 2" xfId="33923"/>
    <cellStyle name="Output 7 5 2 3 2" xfId="33924"/>
    <cellStyle name="Output 2 6 5 2 3 2" xfId="33925"/>
    <cellStyle name="Output 3 2 5 2 3 2" xfId="33926"/>
    <cellStyle name="Output 4 2 5 2 3 2" xfId="33927"/>
    <cellStyle name="Output 5 8 2 3 2" xfId="33928"/>
    <cellStyle name="Total 7 5 2 3 2" xfId="33929"/>
    <cellStyle name="Total 2 7 5 2 3 2" xfId="33930"/>
    <cellStyle name="Total 3 2 5 2 3 2" xfId="33931"/>
    <cellStyle name="Total 4 2 5 2 3 2" xfId="33932"/>
    <cellStyle name="Total 5 8 2 3 2" xfId="33933"/>
    <cellStyle name="Calculation 8 6 2 3 2" xfId="33934"/>
    <cellStyle name="Input 12 6 2 3 2" xfId="33935"/>
    <cellStyle name="Input 11 6 2 3 2" xfId="33936"/>
    <cellStyle name="Calculation 9 6 2 3 2" xfId="33937"/>
    <cellStyle name="Output 8 5 2 3 2" xfId="33938"/>
    <cellStyle name="Total 8 5 2 3 2" xfId="33939"/>
    <cellStyle name="Total 9 5 2 3 2" xfId="33940"/>
    <cellStyle name="Total 10 2 2 5 2" xfId="33941"/>
    <cellStyle name="Note 9 3 2 5 2" xfId="33942"/>
    <cellStyle name="Style 23 2 3 5 2" xfId="33943"/>
    <cellStyle name="Calculation 2 4 3 2 5 2" xfId="33944"/>
    <cellStyle name="Input 20 4 5 2" xfId="33945"/>
    <cellStyle name="Note 6 3 4 5 2" xfId="33946"/>
    <cellStyle name="Note 4 2 2 2 8 2" xfId="33947"/>
    <cellStyle name="Output 5 2 5 2 3 2" xfId="33948"/>
    <cellStyle name="Output 4 3 5 2 3 2" xfId="33949"/>
    <cellStyle name="Output 3 3 5 2 3 2" xfId="33950"/>
    <cellStyle name="Output 2 7 5 2 3 2" xfId="33951"/>
    <cellStyle name="Output 11 5 2 3 2" xfId="33952"/>
    <cellStyle name="styleSeriesDataNA 9 2" xfId="33953"/>
    <cellStyle name="Input 2 2 3 3 8 2" xfId="33954"/>
    <cellStyle name="Input 5 3 6 2 3 2" xfId="33955"/>
    <cellStyle name="Input 4 3 6 2 3 2" xfId="33956"/>
    <cellStyle name="Input 3 3 6 2 3 2" xfId="33957"/>
    <cellStyle name="Input 2 7 6 2 3 2" xfId="33958"/>
    <cellStyle name="Calculation 10 6 2 3 2" xfId="33959"/>
    <cellStyle name="Input 14 6 2 3 2" xfId="33960"/>
    <cellStyle name="Input 16 6 2 3 2" xfId="33961"/>
    <cellStyle name="Input 17 6 2 3 2" xfId="33962"/>
    <cellStyle name="Input 15 6 2 3 2" xfId="33963"/>
    <cellStyle name="Input 13 6 2 3 2" xfId="33964"/>
    <cellStyle name="Calculation 5 2 6 2 3 2" xfId="33965"/>
    <cellStyle name="Calculation 4 3 6 2 3 2" xfId="33966"/>
    <cellStyle name="Calculation 3 3 6 2 3 2" xfId="33967"/>
    <cellStyle name="Calculation 2 7 6 2 3 2" xfId="33968"/>
    <cellStyle name="Calculation 11 6 2 3 2" xfId="33969"/>
    <cellStyle name="Output 10 5 2 3 2" xfId="33970"/>
    <cellStyle name="Note 12 5 2 3 2" xfId="33971"/>
    <cellStyle name="Note 2 7 5 2 3 2" xfId="33972"/>
    <cellStyle name="Note 2 2 4 5 2 3 2" xfId="33973"/>
    <cellStyle name="Note 3 5 5 2 3 2" xfId="33974"/>
    <cellStyle name="Note 3 2 5 5 2 3 2" xfId="33975"/>
    <cellStyle name="Note 4 4 5 2 3 2" xfId="33976"/>
    <cellStyle name="Note 4 2 3 5 2 3 2" xfId="33977"/>
    <cellStyle name="Note 5 3 5 2 3 2" xfId="33978"/>
    <cellStyle name="Note 5 2 2 5 2 3 2" xfId="33979"/>
    <cellStyle name="Note 6 3 5 2 3 2" xfId="33980"/>
    <cellStyle name="Note 6 2 2 5 2 3 2" xfId="33981"/>
    <cellStyle name="Note 7 3 5 2 3 2" xfId="33982"/>
    <cellStyle name="Note 7 2 2 5 2 3 2" xfId="33983"/>
    <cellStyle name="Note 8 2 5 2 3 2" xfId="33984"/>
    <cellStyle name="Note 9 2 5 2 3 2" xfId="33985"/>
    <cellStyle name="Output 12 5 2 3 2" xfId="33986"/>
    <cellStyle name="Output 2 8 5 2 3 2" xfId="33987"/>
    <cellStyle name="Output 3 4 5 2 3 2" xfId="33988"/>
    <cellStyle name="Output 4 4 5 2 3 2" xfId="33989"/>
    <cellStyle name="Output 5 3 5 2 3 2" xfId="33990"/>
    <cellStyle name="Total 10 5 2 3 2" xfId="33991"/>
    <cellStyle name="Total 11 5 2 3 2" xfId="33992"/>
    <cellStyle name="Total 2 8 5 2 3 2" xfId="33993"/>
    <cellStyle name="Total 3 3 5 2 3 2" xfId="33994"/>
    <cellStyle name="Total 4 3 5 2 3 2" xfId="33995"/>
    <cellStyle name="Total 5 2 5 2 3 2" xfId="33996"/>
    <cellStyle name="Total 12 5 2 3 2" xfId="33997"/>
    <cellStyle name="Total 2 9 5 2 3 2" xfId="33998"/>
    <cellStyle name="Total 3 4 5 2 3 2" xfId="33999"/>
    <cellStyle name="Total 4 4 5 2 3 2" xfId="34000"/>
    <cellStyle name="Total 5 3 5 2 3 2" xfId="34001"/>
    <cellStyle name="Note 6 2 2 2 2 5 2" xfId="34002"/>
    <cellStyle name="Note 3 2 4 2 2 5 2" xfId="34003"/>
    <cellStyle name="Output 2 11 2 5 2" xfId="34004"/>
    <cellStyle name="Output 2 5 2 2 5 2" xfId="34005"/>
    <cellStyle name="Note 7 2 3 4 5 2" xfId="34006"/>
    <cellStyle name="Output 10 4 5 2" xfId="34007"/>
    <cellStyle name="Input 16 2 8 2" xfId="34008"/>
    <cellStyle name="Output 3 7 8 2" xfId="34009"/>
    <cellStyle name="Input 18 6 2 3 2" xfId="34010"/>
    <cellStyle name="Calculation 12 6 2 3 2" xfId="34011"/>
    <cellStyle name="Input 19 6 2 3 2" xfId="34012"/>
    <cellStyle name="Note 13 6 2 3 2" xfId="34013"/>
    <cellStyle name="Output 13 6 2 3 2" xfId="34014"/>
    <cellStyle name="Total 13 6 2 3 2" xfId="34015"/>
    <cellStyle name="Total 2 7 3 5 2" xfId="34016"/>
    <cellStyle name="Output 10 9 2" xfId="34017"/>
    <cellStyle name="Calculation 2 8 6 2 3 2" xfId="34018"/>
    <cellStyle name="Calculation 3 4 6 2 3 2" xfId="34019"/>
    <cellStyle name="Calculation 4 4 6 2 3 2" xfId="34020"/>
    <cellStyle name="Calculation 5 3 6 2 3 2" xfId="34021"/>
    <cellStyle name="Input 2 8 6 2 3 2" xfId="34022"/>
    <cellStyle name="Input 3 4 6 2 3 2" xfId="34023"/>
    <cellStyle name="Input 4 4 6 2 3 2" xfId="34024"/>
    <cellStyle name="Input 5 4 6 2 3 2" xfId="34025"/>
    <cellStyle name="Note 2 8 6 2 3 2" xfId="34026"/>
    <cellStyle name="Note 2 2 5 6 2 3 2" xfId="34027"/>
    <cellStyle name="Note 3 6 6 2 3 2" xfId="34028"/>
    <cellStyle name="Note 3 2 6 6 2 3 2" xfId="34029"/>
    <cellStyle name="Note 4 5 6 2 3 2" xfId="34030"/>
    <cellStyle name="Note 4 2 4 6 2 3 2" xfId="34031"/>
    <cellStyle name="Note 5 4 6 2 3 2" xfId="34032"/>
    <cellStyle name="Note 5 2 3 6 2 3 2" xfId="34033"/>
    <cellStyle name="Note 6 4 6 2 3 2" xfId="34034"/>
    <cellStyle name="Note 6 2 3 6 2 3 2" xfId="34035"/>
    <cellStyle name="Note 7 4 6 2 3 2" xfId="34036"/>
    <cellStyle name="Note 7 2 3 6 2 3 2" xfId="34037"/>
    <cellStyle name="Note 8 3 6 2 3 2" xfId="34038"/>
    <cellStyle name="Output 2 9 6 2 3 2" xfId="34039"/>
    <cellStyle name="Output 3 5 6 2 3 2" xfId="34040"/>
    <cellStyle name="Output 4 5 6 2 3 2" xfId="34041"/>
    <cellStyle name="Output 5 4 6 2 3 2" xfId="34042"/>
    <cellStyle name="Total 2 10 6 2 3 2" xfId="34043"/>
    <cellStyle name="Total 3 5 6 2 3 2" xfId="34044"/>
    <cellStyle name="Total 4 5 6 2 3 2" xfId="34045"/>
    <cellStyle name="Total 5 4 6 2 3 2" xfId="34046"/>
    <cellStyle name="Input 20 6 2 3 2" xfId="34047"/>
    <cellStyle name="Calculation 2 7 5 5 2" xfId="34048"/>
    <cellStyle name="Calculation 5 2 10 2" xfId="34049"/>
    <cellStyle name="Input 21 6 2 3 2" xfId="34050"/>
    <cellStyle name="Note 9 4 5 2" xfId="34051"/>
    <cellStyle name="Calculation 10 10 2" xfId="34052"/>
    <cellStyle name="Input 10 3 2 2 3 2" xfId="34053"/>
    <cellStyle name="Input 2 4 4 2 2 3 2" xfId="34054"/>
    <cellStyle name="Input 7 4 2 2 3 2" xfId="34055"/>
    <cellStyle name="Note 4 2 6 4 2 3 2" xfId="34056"/>
    <cellStyle name="Note 3 3 3 4 2 3 2" xfId="34057"/>
    <cellStyle name="Note 2 5 3 4 2 3 2" xfId="34058"/>
    <cellStyle name="Note 2 4 2 3 4 2 3 2" xfId="34059"/>
    <cellStyle name="Note 2 3 2 3 4 2 3 2" xfId="34060"/>
    <cellStyle name="Note 2 2 2 3 4 2 3 2" xfId="34061"/>
    <cellStyle name="Input 6 6 2 3 2" xfId="34062"/>
    <cellStyle name="Input 4 7 2 3 2" xfId="34063"/>
    <cellStyle name="Input 2 4 5 2 3 2" xfId="34064"/>
    <cellStyle name="Input 2 2 4 5 2 3 2" xfId="34065"/>
    <cellStyle name="Input 2 2 2 5 2 3 2" xfId="34066"/>
    <cellStyle name="Input 2 12 2 3 2" xfId="34067"/>
    <cellStyle name="Input 24 2 3 2" xfId="34068"/>
    <cellStyle name="Note 14 2 3 2" xfId="34069"/>
    <cellStyle name="Note 2 11 2 3 2" xfId="34070"/>
    <cellStyle name="Note 2 2 8 2 3 2" xfId="34071"/>
    <cellStyle name="Calculation 2 9 4 2 3 2" xfId="34072"/>
    <cellStyle name="Calculation 2 2 5 4 2 3 2" xfId="34073"/>
    <cellStyle name="Calculation 2 2 2 2 4 2 3 2" xfId="34074"/>
    <cellStyle name="Calculation 2 2 3 2 4 2 3 2" xfId="34075"/>
    <cellStyle name="Calculation 2 2 4 2 4 2 3 2" xfId="34076"/>
    <cellStyle name="Calculation 2 3 2 4 2 3 2" xfId="34077"/>
    <cellStyle name="Calculation 2 4 2 4 2 3 2" xfId="34078"/>
    <cellStyle name="Calculation 2 5 2 4 2 3 2" xfId="34079"/>
    <cellStyle name="Calculation 3 5 4 2 3 2" xfId="34080"/>
    <cellStyle name="Note 3 2 10 2 3 2" xfId="34081"/>
    <cellStyle name="Note 3 2 2 5 2 3 2" xfId="34082"/>
    <cellStyle name="Note 4 8 2 3 2" xfId="34083"/>
    <cellStyle name="Output 3 8 2 2 3 2" xfId="34084"/>
    <cellStyle name="Calculation 2 3 5 2 3 2" xfId="34085"/>
    <cellStyle name="Calculation 2 2 4 5 2 3 2" xfId="34086"/>
    <cellStyle name="Calculation 2 2 3 5 2 3 2" xfId="34087"/>
    <cellStyle name="Calculation 2 2 2 5 2 3 2" xfId="34088"/>
    <cellStyle name="Calculation 2 2 8 2 3 2" xfId="34089"/>
    <cellStyle name="Calculation 13 2 3 2" xfId="34090"/>
    <cellStyle name="Output 2 2 4 4 6 2" xfId="34091"/>
    <cellStyle name="Input 2 11 6 2" xfId="34092"/>
    <cellStyle name="Calculation 3 4 10 2" xfId="34093"/>
    <cellStyle name="Total 2 2 2 4 2 2 3 2" xfId="34094"/>
    <cellStyle name="Total 2 2 4 4 2 2 3 2" xfId="34095"/>
    <cellStyle name="Total 14 2 3 2" xfId="34096"/>
    <cellStyle name="Header2 2 4 2 3 2" xfId="34097"/>
    <cellStyle name="Input 2 5 3 4 2 3 2" xfId="34098"/>
    <cellStyle name="Input 2 9 4 2 3 2" xfId="34099"/>
    <cellStyle name="Input 2 2 5 4 2 3 2" xfId="34100"/>
    <cellStyle name="Input 2 2 2 2 4 2 3 2" xfId="34101"/>
    <cellStyle name="Input 2 2 3 2 4 2 3 2" xfId="34102"/>
    <cellStyle name="Input 2 2 4 2 4 2 3 2" xfId="34103"/>
    <cellStyle name="Input 2 3 2 4 2 3 2" xfId="34104"/>
    <cellStyle name="Input 2 4 2 4 2 3 2" xfId="34105"/>
    <cellStyle name="Input 2 5 2 4 2 3 2" xfId="34106"/>
    <cellStyle name="Input 3 5 4 2 3 2" xfId="34107"/>
    <cellStyle name="Input 4 5 4 2 3 2" xfId="34108"/>
    <cellStyle name="Input 5 5 4 2 3 2" xfId="34109"/>
    <cellStyle name="Input 6 3 4 2 3 2" xfId="34110"/>
    <cellStyle name="Input 7 2 4 2 3 2" xfId="34111"/>
    <cellStyle name="Input 8 2 4 2 3 2" xfId="34112"/>
    <cellStyle name="Calculation 2 5 3 4 2 3 2" xfId="34113"/>
    <cellStyle name="Input 3 2 3 5 2" xfId="34114"/>
    <cellStyle name="Total 2 4 3 4 2 3 2" xfId="34115"/>
    <cellStyle name="Total 2 2 4 3 4 2 3 2" xfId="34116"/>
    <cellStyle name="Total 2 2 3 3 4 2 3 2" xfId="34117"/>
    <cellStyle name="Total 2 12 4 2 3 2" xfId="34118"/>
    <cellStyle name="Output 14 2 3 2" xfId="34119"/>
    <cellStyle name="Note 2 4 6 2 3 2" xfId="34120"/>
    <cellStyle name="Calculation 2 2 7 2 2 3 2" xfId="34121"/>
    <cellStyle name="Calculation 2 2 4 4 2 2 3 2" xfId="34122"/>
    <cellStyle name="Header2 3 2 2 3 2" xfId="34123"/>
    <cellStyle name="Input 2 2 7 2 2 3 2" xfId="34124"/>
    <cellStyle name="Input 2 3 4 2 2 3 2" xfId="34125"/>
    <cellStyle name="Input [yellow] 3 2 3 2" xfId="34126"/>
    <cellStyle name="Total 2 2 7 2 2 3 2" xfId="34127"/>
    <cellStyle name="Total 2 4 4 2 2 3 2" xfId="34128"/>
    <cellStyle name="Note 2 9 4 2 3 2" xfId="34129"/>
    <cellStyle name="Note 2 2 6 4 2 3 2" xfId="34130"/>
    <cellStyle name="Note 2 3 3 4 2 3 2" xfId="34131"/>
    <cellStyle name="Note 2 4 3 4 2 3 2" xfId="34132"/>
    <cellStyle name="Note 3 7 4 2 3 2" xfId="34133"/>
    <cellStyle name="Note 3 2 7 4 2 3 2" xfId="34134"/>
    <cellStyle name="Output 2 10 4 2 3 2" xfId="34135"/>
    <cellStyle name="Output 2 2 5 4 2 3 2" xfId="34136"/>
    <cellStyle name="Output 2 2 2 2 4 2 3 2" xfId="34137"/>
    <cellStyle name="Output 2 2 3 2 4 2 3 2" xfId="34138"/>
    <cellStyle name="Output 2 2 4 2 4 2 3 2" xfId="34139"/>
    <cellStyle name="Output 2 3 2 4 2 3 2" xfId="34140"/>
    <cellStyle name="Output 2 4 2 4 2 3 2" xfId="34141"/>
    <cellStyle name="Output 2 5 2 4 2 3 2" xfId="34142"/>
    <cellStyle name="Output 3 6 4 2 3 2" xfId="34143"/>
    <cellStyle name="Input 7 3 4 2 3 2" xfId="34144"/>
    <cellStyle name="Input 5 6 4 2 3 2" xfId="34145"/>
    <cellStyle name="Input 3 6 4 2 3 2" xfId="34146"/>
    <cellStyle name="Input 2 4 3 4 2 3 2" xfId="34147"/>
    <cellStyle name="Input 2 2 4 3 4 2 3 2" xfId="34148"/>
    <cellStyle name="Input 2 2 2 3 4 2 3 2" xfId="34149"/>
    <cellStyle name="Input 2 10 4 2 3 2" xfId="34150"/>
    <cellStyle name="Calculation 3 6 4 2 3 2" xfId="34151"/>
    <cellStyle name="Calculation 2 4 3 4 2 3 2" xfId="34152"/>
    <cellStyle name="Calculation 2 2 4 3 4 2 3 2" xfId="34153"/>
    <cellStyle name="Calculation 2 2 2 3 4 2 3 2" xfId="34154"/>
    <cellStyle name="Calculation 2 10 4 2 3 2" xfId="34155"/>
    <cellStyle name="StmtTtl2 2 4 2 3 2" xfId="34156"/>
    <cellStyle name="Total 2 11 4 2 3 2" xfId="34157"/>
    <cellStyle name="Total 2 2 5 4 2 3 2" xfId="34158"/>
    <cellStyle name="Total 2 2 2 2 4 2 3 2" xfId="34159"/>
    <cellStyle name="Total 2 2 3 2 4 2 3 2" xfId="34160"/>
    <cellStyle name="Total 2 2 4 2 4 2 3 2" xfId="34161"/>
    <cellStyle name="Total 2 3 2 4 2 3 2" xfId="34162"/>
    <cellStyle name="Total 2 4 2 4 2 3 2" xfId="34163"/>
    <cellStyle name="Total 2 5 2 4 2 3 2" xfId="34164"/>
    <cellStyle name="Total 2 6 2 4 2 3 2" xfId="34165"/>
    <cellStyle name="Total 3 6 4 2 3 2" xfId="34166"/>
    <cellStyle name="Input 19 2 2 5 2" xfId="34167"/>
    <cellStyle name="Total 9 2 2 5 2" xfId="34168"/>
    <cellStyle name="styleSeriesDataForecastNA 3 5 2" xfId="34169"/>
    <cellStyle name="Input 12 5 5 2" xfId="34170"/>
    <cellStyle name="Total 12 4 5 2" xfId="34171"/>
    <cellStyle name="Total 5 7 5 2" xfId="34172"/>
    <cellStyle name="Note 7 2 2 2 8 2" xfId="34173"/>
    <cellStyle name="Total 3 2 2 8 2" xfId="34174"/>
    <cellStyle name="styleSeriesDataNA 2 2 8 2" xfId="34175"/>
    <cellStyle name="Output 2 5 3 4 2 3 2" xfId="34176"/>
    <cellStyle name="Input 8 5 2 3 2" xfId="34177"/>
    <cellStyle name="Note 3 9 2 3 2" xfId="34178"/>
    <cellStyle name="Note 2 3 5 2 2 3 2" xfId="34179"/>
    <cellStyle name="Note 2 4 5 2 2 3 2" xfId="34180"/>
    <cellStyle name="Note 3 2 9 2 2 3 2" xfId="34181"/>
    <cellStyle name="Output 2 12 2 2 3 2" xfId="34182"/>
    <cellStyle name="Output 2 2 7 2 2 3 2" xfId="34183"/>
    <cellStyle name="Output 2 2 2 4 2 2 3 2" xfId="34184"/>
    <cellStyle name="Output 2 3 4 2 2 3 2" xfId="34185"/>
    <cellStyle name="Output 2 4 4 2 2 3 2" xfId="34186"/>
    <cellStyle name="Calculation 2 4 4 2 2 3 2" xfId="34187"/>
    <cellStyle name="Input 2 2 2 4 2 2 3 2" xfId="34188"/>
    <cellStyle name="Output 2 3 3 4 2 3 2" xfId="34189"/>
    <cellStyle name="Output 2 2 3 3 4 2 3 2" xfId="34190"/>
    <cellStyle name="Output 2 2 6 4 2 3 2" xfId="34191"/>
    <cellStyle name="Note 4 7 4 2 3 2" xfId="34192"/>
    <cellStyle name="Note 3 2 2 3 4 2 3 2" xfId="34193"/>
    <cellStyle name="Note 3 8 4 2 3 2" xfId="34194"/>
    <cellStyle name="Note 2 4 4 4 2 3 2" xfId="34195"/>
    <cellStyle name="Note 2 2 7 4 2 3 2" xfId="34196"/>
    <cellStyle name="Input 7 5 2 3 2" xfId="34197"/>
    <cellStyle name="Input 3 7 2 3 2" xfId="34198"/>
    <cellStyle name="Input 2 2 3 5 2 3 2" xfId="34199"/>
    <cellStyle name="Note 3 2 2 2 4 2 3 2" xfId="34200"/>
    <cellStyle name="Note 4 6 4 2 3 2" xfId="34201"/>
    <cellStyle name="Input 2 6 4 5 2" xfId="34202"/>
    <cellStyle name="Calculation 2 12 2 3 2" xfId="34203"/>
    <cellStyle name="Calculation 2 4 5 2 3 2" xfId="34204"/>
    <cellStyle name="Total 2 13 2 2 3 2" xfId="34205"/>
    <cellStyle name="Total 3 8 2 2 3 2" xfId="34206"/>
    <cellStyle name="Total 2 3 4 2 2 3 2" xfId="34207"/>
    <cellStyle name="Total 3 7 4 2 3 2" xfId="34208"/>
    <cellStyle name="Total 2 5 3 4 2 3 2" xfId="34209"/>
    <cellStyle name="Total 2 3 3 4 2 3 2" xfId="34210"/>
    <cellStyle name="Total 2 2 6 4 2 3 2" xfId="34211"/>
    <cellStyle name="Total 2 2 2 3 4 2 3 2" xfId="34212"/>
    <cellStyle name="StmtTtl2 3 4 2 3 2" xfId="34213"/>
    <cellStyle name="Calculation 2 11 2 2 3 2" xfId="34214"/>
    <cellStyle name="Input 23 2 3 2" xfId="34215"/>
    <cellStyle name="Input 2 11 2 2 3 2" xfId="34216"/>
    <cellStyle name="Input 2 2 4 4 2 2 3 2" xfId="34217"/>
    <cellStyle name="Input 8 4 2 2 3 2" xfId="34218"/>
    <cellStyle name="Output 3 7 4 2 3 2" xfId="34219"/>
    <cellStyle name="Input 22 2 3 2" xfId="34220"/>
    <cellStyle name="Header2 4 2 2 3 2" xfId="34221"/>
    <cellStyle name="StmtTtl2 4 2 2 3 2" xfId="34222"/>
    <cellStyle name="Total 2 2 3 4 2 2 3 2" xfId="34223"/>
    <cellStyle name="Total 2 5 4 2 2 3 2" xfId="34224"/>
    <cellStyle name="Note 2 5 2 4 2 3 2" xfId="34225"/>
    <cellStyle name="Note 2 2 2 2 4 2 3 2" xfId="34226"/>
    <cellStyle name="Note 2 3 2 2 4 2 3 2" xfId="34227"/>
    <cellStyle name="Note 2 4 2 2 4 2 3 2" xfId="34228"/>
    <cellStyle name="Note 3 3 2 4 2 3 2" xfId="34229"/>
    <cellStyle name="Input 8 3 4 2 3 2" xfId="34230"/>
    <cellStyle name="Input 6 4 4 2 3 2" xfId="34231"/>
    <cellStyle name="Input 4 6 4 2 3 2" xfId="34232"/>
    <cellStyle name="Input 2 3 3 4 2 3 2" xfId="34233"/>
    <cellStyle name="Input 2 2 3 3 4 2 3 2" xfId="34234"/>
    <cellStyle name="Input 2 2 6 4 2 3 2" xfId="34235"/>
    <cellStyle name="Calculation 2 3 3 4 2 3 2" xfId="34236"/>
    <cellStyle name="Calculation 2 2 3 3 4 2 3 2" xfId="34237"/>
    <cellStyle name="Calculation 2 2 6 4 2 3 2" xfId="34238"/>
    <cellStyle name="Calculation 3 8 2 3 2" xfId="34239"/>
    <cellStyle name="Note 3 2 2 4 2 2 3 2" xfId="34240"/>
    <cellStyle name="Output 2 2 4 4 2 2 3 2" xfId="34241"/>
    <cellStyle name="Output 2 2 3 4 2 2 3 2" xfId="34242"/>
    <cellStyle name="Input 2 2 3 4 2 2 3 2" xfId="34243"/>
    <cellStyle name="Output 2 4 3 4 2 3 2" xfId="34244"/>
    <cellStyle name="Output 2 2 4 3 4 2 3 2" xfId="34245"/>
    <cellStyle name="Output 2 2 2 3 4 2 3 2" xfId="34246"/>
    <cellStyle name="Output 2 11 4 2 3 2" xfId="34247"/>
    <cellStyle name="Note 3 2 8 4 2 3 2" xfId="34248"/>
    <cellStyle name="Note 2 3 4 4 2 3 2" xfId="34249"/>
    <cellStyle name="Note 2 10 4 2 3 2" xfId="34250"/>
    <cellStyle name="Input 5 8 2 3 2" xfId="34251"/>
    <cellStyle name="Input 2 3 5 2 3 2" xfId="34252"/>
    <cellStyle name="Input 2 2 8 2 3 2" xfId="34253"/>
    <cellStyle name="Note 4 2 5 4 2 3 2" xfId="34254"/>
    <cellStyle name="Style 21 5 2 3 2" xfId="34255"/>
    <cellStyle name="Style 21 2 5 2 3 2" xfId="34256"/>
    <cellStyle name="Style 22 5 2 3 2" xfId="34257"/>
    <cellStyle name="Style 22 2 5 2 3 2" xfId="34258"/>
    <cellStyle name="Style 23 5 2 3 2" xfId="34259"/>
    <cellStyle name="Style 23 2 5 2 3 2" xfId="34260"/>
    <cellStyle name="Style 24 5 2 3 2" xfId="34261"/>
    <cellStyle name="Style 24 2 5 2 3 2" xfId="34262"/>
    <cellStyle name="Style 25 5 2 3 2" xfId="34263"/>
    <cellStyle name="Style 25 2 5 2 3 2" xfId="34264"/>
    <cellStyle name="Style 26 5 2 3 2" xfId="34265"/>
    <cellStyle name="Style 26 2 5 2 3 2" xfId="34266"/>
    <cellStyle name="styleColumnTitles 5 2 3 2" xfId="34267"/>
    <cellStyle name="styleColumnTitles 2 5 2 3 2" xfId="34268"/>
    <cellStyle name="styleDateRange 5 2 3 2" xfId="34269"/>
    <cellStyle name="styleDateRange 2 5 2 3 2" xfId="34270"/>
    <cellStyle name="styleSeriesAttributes 5 2 3 2" xfId="34271"/>
    <cellStyle name="styleSeriesAttributes 2 5 2 3 2" xfId="34272"/>
    <cellStyle name="styleSeriesData 5 2 3 2" xfId="34273"/>
    <cellStyle name="styleSeriesData 2 5 2 3 2" xfId="34274"/>
    <cellStyle name="styleSeriesDataForecast 5 2 3 2" xfId="34275"/>
    <cellStyle name="styleSeriesDataForecast 2 5 2 3 2" xfId="34276"/>
    <cellStyle name="styleSeriesDataForecastNA 5 2 3 2" xfId="34277"/>
    <cellStyle name="styleSeriesDataForecastNA 2 5 2 3 2" xfId="34278"/>
    <cellStyle name="styleSeriesDataNA 5 2 3 2" xfId="34279"/>
    <cellStyle name="styleSeriesDataNA 2 5 2 3 2" xfId="34280"/>
    <cellStyle name="Style 21 2 2 4 2 3 2" xfId="34281"/>
    <cellStyle name="Style 22 2 2 4 2 3 2" xfId="34282"/>
    <cellStyle name="Style 23 2 2 4 2 3 2" xfId="34283"/>
    <cellStyle name="Style 24 2 2 4 2 3 2" xfId="34284"/>
    <cellStyle name="Style 25 2 2 4 2 3 2" xfId="34285"/>
    <cellStyle name="Style 26 2 2 4 2 3 2" xfId="34286"/>
    <cellStyle name="styleColumnTitles 2 2 4 2 3 2" xfId="34287"/>
    <cellStyle name="styleDateRange 2 2 4 2 3 2" xfId="34288"/>
    <cellStyle name="styleSeriesAttributes 2 2 4 2 3 2" xfId="34289"/>
    <cellStyle name="styleSeriesData 2 2 4 2 3 2" xfId="34290"/>
    <cellStyle name="styleSeriesDataForecast 2 2 4 2 3 2" xfId="34291"/>
    <cellStyle name="styleSeriesDataForecastNA 2 2 4 2 3 2" xfId="34292"/>
    <cellStyle name="styleSeriesDataNA 2 2 4 2 3 2" xfId="34293"/>
    <cellStyle name="Calculation 3 7 2 2 3 2" xfId="34294"/>
    <cellStyle name="Calculation 2 3 4 2 2 3 2" xfId="34295"/>
    <cellStyle name="Calculation 2 2 3 4 2 2 3 2" xfId="34296"/>
    <cellStyle name="Calculation 2 2 2 4 2 2 3 2" xfId="34297"/>
    <cellStyle name="Note 2 3 6 2 3 2" xfId="34298"/>
    <cellStyle name="Total 2 6 3 4 2 3 2" xfId="34299"/>
    <cellStyle name="Calculation 9 5 5 2" xfId="34300"/>
    <cellStyle name="Note 4 2 3 2 2 5 2" xfId="34301"/>
    <cellStyle name="Note 11 2 2 5 2" xfId="34302"/>
    <cellStyle name="Calculation 2 2 6 2 5 2" xfId="34303"/>
    <cellStyle name="Output 2 2 3 2 2 5 2" xfId="34304"/>
    <cellStyle name="Note 5 2 3 4 5 2" xfId="34305"/>
    <cellStyle name="Calculation 4 3 4 5 2" xfId="34306"/>
    <cellStyle name="Input 3 3 2 8 2" xfId="34307"/>
    <cellStyle name="Input 3 2 2 8 2" xfId="34308"/>
    <cellStyle name="styleDateRange 9 2" xfId="34309"/>
    <cellStyle name="Total 2 3 3 8 2" xfId="34310"/>
    <cellStyle name="Calculation 7 2 4 2 3 2" xfId="34311"/>
    <cellStyle name="Calculation 2 6 2 4 2 3 2" xfId="34312"/>
    <cellStyle name="Calculation 3 2 2 4 2 3 2" xfId="34313"/>
    <cellStyle name="Calculation 4 2 2 4 2 3 2" xfId="34314"/>
    <cellStyle name="Calculation 5 4 4 2 3 2" xfId="34315"/>
    <cellStyle name="Output 9 2 4 2 3 2" xfId="34316"/>
    <cellStyle name="Input 10 2 4 2 3 2" xfId="34317"/>
    <cellStyle name="Input 2 6 2 4 2 3 2" xfId="34318"/>
    <cellStyle name="Input 3 2 2 4 2 3 2" xfId="34319"/>
    <cellStyle name="Input 4 2 2 4 2 3 2" xfId="34320"/>
    <cellStyle name="Input 5 2 2 4 2 3 2" xfId="34321"/>
    <cellStyle name="Note 11 2 4 2 3 2" xfId="34322"/>
    <cellStyle name="Note 2 6 2 4 2 3 2" xfId="34323"/>
    <cellStyle name="Note 2 2 3 2 4 2 3 2" xfId="34324"/>
    <cellStyle name="Note 3 4 2 4 2 3 2" xfId="34325"/>
    <cellStyle name="Note 3 2 4 2 4 2 3 2" xfId="34326"/>
    <cellStyle name="Note 4 3 2 4 2 3 2" xfId="34327"/>
    <cellStyle name="Note 4 2 2 2 4 2 3 2" xfId="34328"/>
    <cellStyle name="Note 5 5 4 2 3 2" xfId="34329"/>
    <cellStyle name="Note 5 2 4 4 2 3 2" xfId="34330"/>
    <cellStyle name="Note 6 5 4 2 3 2" xfId="34331"/>
    <cellStyle name="Note 6 2 4 4 2 3 2" xfId="34332"/>
    <cellStyle name="Note 7 5 4 2 3 2" xfId="34333"/>
    <cellStyle name="Note 7 2 4 4 2 3 2" xfId="34334"/>
    <cellStyle name="Note 8 4 4 2 3 2" xfId="34335"/>
    <cellStyle name="Note 9 3 4 2 3 2" xfId="34336"/>
    <cellStyle name="Output 7 2 4 2 3 2" xfId="34337"/>
    <cellStyle name="Output 2 6 2 4 2 3 2" xfId="34338"/>
    <cellStyle name="Output 3 2 2 4 2 3 2" xfId="34339"/>
    <cellStyle name="Output 4 2 2 4 2 3 2" xfId="34340"/>
    <cellStyle name="Output 5 5 4 2 3 2" xfId="34341"/>
    <cellStyle name="Input 5 7 2 2 3 2" xfId="34342"/>
    <cellStyle name="Input 6 5 2 2 3 2" xfId="34343"/>
    <cellStyle name="Total 7 2 4 2 3 2" xfId="34344"/>
    <cellStyle name="Total 2 7 2 4 2 3 2" xfId="34345"/>
    <cellStyle name="Total 3 2 2 4 2 3 2" xfId="34346"/>
    <cellStyle name="Total 4 2 2 4 2 3 2" xfId="34347"/>
    <cellStyle name="Total 5 5 4 2 3 2" xfId="34348"/>
    <cellStyle name="Calculation 8 2 4 2 3 2" xfId="34349"/>
    <cellStyle name="Input 12 2 4 2 3 2" xfId="34350"/>
    <cellStyle name="Input 11 2 4 2 3 2" xfId="34351"/>
    <cellStyle name="Calculation 9 2 4 2 3 2" xfId="34352"/>
    <cellStyle name="Output 8 2 4 2 3 2" xfId="34353"/>
    <cellStyle name="Total 8 2 4 2 3 2" xfId="34354"/>
    <cellStyle name="Total 9 2 4 2 3 2" xfId="34355"/>
    <cellStyle name="Total 5 2 2 2 5 2" xfId="34356"/>
    <cellStyle name="Output 5 5 2 5 2" xfId="34357"/>
    <cellStyle name="Style 26 3 5 2" xfId="34358"/>
    <cellStyle name="Total 2 11 2 5 2" xfId="34359"/>
    <cellStyle name="Note 2 4 2 3 2 5 2" xfId="34360"/>
    <cellStyle name="Note 9 2 4 5 2" xfId="34361"/>
    <cellStyle name="Note 8 6 5 2" xfId="34362"/>
    <cellStyle name="Total 13 2 8 2" xfId="34363"/>
    <cellStyle name="Note 12 2 8 2" xfId="34364"/>
    <cellStyle name="Note 7 5 8 2" xfId="34365"/>
    <cellStyle name="Output 5 2 2 4 2 3 2" xfId="34366"/>
    <cellStyle name="Output 4 3 2 4 2 3 2" xfId="34367"/>
    <cellStyle name="Output 3 3 2 4 2 3 2" xfId="34368"/>
    <cellStyle name="Output 2 7 2 4 2 3 2" xfId="34369"/>
    <cellStyle name="Output 11 2 4 2 3 2" xfId="34370"/>
    <cellStyle name="Style 23 2 2 8 2" xfId="34371"/>
    <cellStyle name="Output 2 4 3 8 2" xfId="34372"/>
    <cellStyle name="Input 5 3 2 4 2 3 2" xfId="34373"/>
    <cellStyle name="Input 4 3 2 4 2 3 2" xfId="34374"/>
    <cellStyle name="Input 3 3 2 4 2 3 2" xfId="34375"/>
    <cellStyle name="Input 2 7 2 4 2 3 2" xfId="34376"/>
    <cellStyle name="Calculation 10 2 4 2 3 2" xfId="34377"/>
    <cellStyle name="Input 14 2 4 2 3 2" xfId="34378"/>
    <cellStyle name="Input 16 2 4 2 3 2" xfId="34379"/>
    <cellStyle name="Input 17 2 4 2 3 2" xfId="34380"/>
    <cellStyle name="Input 15 2 4 2 3 2" xfId="34381"/>
    <cellStyle name="Input 13 2 4 2 3 2" xfId="34382"/>
    <cellStyle name="Calculation 5 2 2 4 2 3 2" xfId="34383"/>
    <cellStyle name="Calculation 4 3 2 4 2 3 2" xfId="34384"/>
    <cellStyle name="Calculation 3 3 2 4 2 3 2" xfId="34385"/>
    <cellStyle name="Calculation 2 7 2 4 2 3 2" xfId="34386"/>
    <cellStyle name="Calculation 11 2 4 2 3 2" xfId="34387"/>
    <cellStyle name="Output 10 2 4 2 3 2" xfId="34388"/>
    <cellStyle name="Note 12 2 4 2 3 2" xfId="34389"/>
    <cellStyle name="Note 2 7 2 4 2 3 2" xfId="34390"/>
    <cellStyle name="Note 2 2 4 2 4 2 3 2" xfId="34391"/>
    <cellStyle name="Note 3 5 2 4 2 3 2" xfId="34392"/>
    <cellStyle name="Note 3 2 5 2 4 2 3 2" xfId="34393"/>
    <cellStyle name="Note 4 4 2 4 2 3 2" xfId="34394"/>
    <cellStyle name="Note 4 2 3 2 4 2 3 2" xfId="34395"/>
    <cellStyle name="Note 5 3 2 4 2 3 2" xfId="34396"/>
    <cellStyle name="Note 5 2 2 2 4 2 3 2" xfId="34397"/>
    <cellStyle name="Note 6 3 2 4 2 3 2" xfId="34398"/>
    <cellStyle name="Note 6 2 2 2 4 2 3 2" xfId="34399"/>
    <cellStyle name="Note 7 3 2 4 2 3 2" xfId="34400"/>
    <cellStyle name="Note 7 2 2 2 4 2 3 2" xfId="34401"/>
    <cellStyle name="Note 8 2 2 4 2 3 2" xfId="34402"/>
    <cellStyle name="Note 9 2 2 4 2 3 2" xfId="34403"/>
    <cellStyle name="Output 12 2 4 2 3 2" xfId="34404"/>
    <cellStyle name="Output 2 8 2 4 2 3 2" xfId="34405"/>
    <cellStyle name="Output 3 4 2 4 2 3 2" xfId="34406"/>
    <cellStyle name="Output 4 4 2 4 2 3 2" xfId="34407"/>
    <cellStyle name="Output 5 3 2 4 2 3 2" xfId="34408"/>
    <cellStyle name="Total 10 2 4 2 3 2" xfId="34409"/>
    <cellStyle name="Total 11 2 4 2 3 2" xfId="34410"/>
    <cellStyle name="Total 2 8 2 4 2 3 2" xfId="34411"/>
    <cellStyle name="Total 3 3 2 4 2 3 2" xfId="34412"/>
    <cellStyle name="Total 4 3 2 4 2 3 2" xfId="34413"/>
    <cellStyle name="Total 5 2 2 4 2 3 2" xfId="34414"/>
    <cellStyle name="Total 12 2 4 2 3 2" xfId="34415"/>
    <cellStyle name="Total 2 9 2 4 2 3 2" xfId="34416"/>
    <cellStyle name="Total 3 4 2 4 2 3 2" xfId="34417"/>
    <cellStyle name="Total 4 4 2 4 2 3 2" xfId="34418"/>
    <cellStyle name="Total 5 3 2 4 2 3 2" xfId="34419"/>
    <cellStyle name="Output 12 2 2 5 2" xfId="34420"/>
    <cellStyle name="Note 6 5 2 5 2" xfId="34421"/>
    <cellStyle name="Style 21 3 5 2" xfId="34422"/>
    <cellStyle name="Input 2 4 3 2 5 2" xfId="34423"/>
    <cellStyle name="Output 5 4 4 5 2" xfId="34424"/>
    <cellStyle name="Note 3 2 5 4 5 2" xfId="34425"/>
    <cellStyle name="Calculation 4 3 2 8 2" xfId="34426"/>
    <cellStyle name="Note 2 6 2 8 2" xfId="34427"/>
    <cellStyle name="styleSeriesData 2 9 2" xfId="34428"/>
    <cellStyle name="Note 3 3 2 8 2" xfId="34429"/>
    <cellStyle name="Input 18 2 4 2 3 2" xfId="34430"/>
    <cellStyle name="Calculation 12 2 4 2 3 2" xfId="34431"/>
    <cellStyle name="Input 19 2 4 2 3 2" xfId="34432"/>
    <cellStyle name="Note 13 2 4 2 3 2" xfId="34433"/>
    <cellStyle name="Output 13 2 4 2 3 2" xfId="34434"/>
    <cellStyle name="Total 13 2 4 2 3 2" xfId="34435"/>
    <cellStyle name="Calculation 8 3 5 2" xfId="34436"/>
    <cellStyle name="Note 3 5 9 2" xfId="34437"/>
    <cellStyle name="Calculation 2 8 2 4 2 3 2" xfId="34438"/>
    <cellStyle name="Calculation 3 4 2 4 2 3 2" xfId="34439"/>
    <cellStyle name="Calculation 4 4 2 4 2 3 2" xfId="34440"/>
    <cellStyle name="Calculation 5 3 2 4 2 3 2" xfId="34441"/>
    <cellStyle name="Input 2 8 2 4 2 3 2" xfId="34442"/>
    <cellStyle name="Input 3 4 2 4 2 3 2" xfId="34443"/>
    <cellStyle name="Input 4 4 2 4 2 3 2" xfId="34444"/>
    <cellStyle name="Input 5 4 2 4 2 3 2" xfId="34445"/>
    <cellStyle name="Calculation 2 6 10 2" xfId="34446"/>
    <cellStyle name="Note 2 8 2 4 2 3 2" xfId="34447"/>
    <cellStyle name="Note 2 2 5 2 4 2 3 2" xfId="34448"/>
    <cellStyle name="Note 3 6 2 4 2 3 2" xfId="34449"/>
    <cellStyle name="Note 3 2 6 2 4 2 3 2" xfId="34450"/>
    <cellStyle name="Note 4 5 2 4 2 3 2" xfId="34451"/>
    <cellStyle name="Note 4 2 4 2 4 2 3 2" xfId="34452"/>
    <cellStyle name="Note 5 4 2 4 2 3 2" xfId="34453"/>
    <cellStyle name="Note 5 2 3 2 4 2 3 2" xfId="34454"/>
    <cellStyle name="Note 6 4 2 4 2 3 2" xfId="34455"/>
    <cellStyle name="Note 6 2 3 2 4 2 3 2" xfId="34456"/>
    <cellStyle name="Note 7 4 2 4 2 3 2" xfId="34457"/>
    <cellStyle name="Note 7 2 3 2 4 2 3 2" xfId="34458"/>
    <cellStyle name="Note 8 3 2 4 2 3 2" xfId="34459"/>
    <cellStyle name="Output 2 9 2 4 2 3 2" xfId="34460"/>
    <cellStyle name="Output 3 5 2 4 2 3 2" xfId="34461"/>
    <cellStyle name="Output 4 5 2 4 2 3 2" xfId="34462"/>
    <cellStyle name="Output 5 4 2 4 2 3 2" xfId="34463"/>
    <cellStyle name="Total 2 10 2 4 2 3 2" xfId="34464"/>
    <cellStyle name="Total 3 5 2 4 2 3 2" xfId="34465"/>
    <cellStyle name="Total 4 5 2 4 2 3 2" xfId="34466"/>
    <cellStyle name="Total 5 4 2 4 2 3 2" xfId="34467"/>
    <cellStyle name="Input 20 2 4 2 3 2" xfId="34468"/>
    <cellStyle name="Total 4 5 5 5 2" xfId="34469"/>
    <cellStyle name="Input 5 5 3 5 2" xfId="34470"/>
    <cellStyle name="Input 21 2 4 2 3 2" xfId="34471"/>
    <cellStyle name="Output 5 6 5 2" xfId="34472"/>
    <cellStyle name="Calculation 2 5 4 3 3 2" xfId="34473"/>
    <cellStyle name="Input 2 5 4 3 3 2" xfId="34474"/>
    <cellStyle name="Note 2 2 2 4 3 3 2" xfId="34475"/>
    <cellStyle name="Note 2 3 2 4 3 3 2" xfId="34476"/>
    <cellStyle name="Note 2 4 2 4 3 3 2" xfId="34477"/>
    <cellStyle name="Note 2 5 4 3 3 2" xfId="34478"/>
    <cellStyle name="Note 3 3 4 3 3 2" xfId="34479"/>
    <cellStyle name="Output 2 5 4 3 3 2" xfId="34480"/>
    <cellStyle name="Total 2 6 4 3 3 2" xfId="34481"/>
    <cellStyle name="Total 3 4 3 5 2" xfId="34482"/>
    <cellStyle name="Note 5 2 11 2" xfId="34483"/>
    <cellStyle name="Note 9 2 3 5 2" xfId="34484"/>
    <cellStyle name="Note 2 7 3 5 2" xfId="34485"/>
    <cellStyle name="Output 4 3 9 2" xfId="34486"/>
    <cellStyle name="Input 2 3 2 8 2" xfId="34487"/>
    <cellStyle name="Note 7 4 2 2 5 2" xfId="34488"/>
    <cellStyle name="Input 4 3 4 5 2" xfId="34489"/>
    <cellStyle name="Calculation 2 2 5 8 2" xfId="34490"/>
    <cellStyle name="Calculation 3 3 2 2 5 2" xfId="34491"/>
    <cellStyle name="Total 4 5 2 8 2" xfId="34492"/>
    <cellStyle name="Calculation 2 6 2 2 5 2" xfId="34493"/>
    <cellStyle name="Total 3 4 2 8 2" xfId="34494"/>
    <cellStyle name="Total 4 5 3 5 2" xfId="34495"/>
    <cellStyle name="Note 2 4 2 2 2 5 2" xfId="34496"/>
    <cellStyle name="Input 5 4 3 5 2" xfId="34497"/>
    <cellStyle name="Total 2 12 2 5 2" xfId="34498"/>
    <cellStyle name="Note 2 3 3 8 2" xfId="34499"/>
    <cellStyle name="Input 3 4 4 5 2" xfId="34500"/>
    <cellStyle name="Style 23 9 2" xfId="34501"/>
    <cellStyle name="Note 3 2 4 4 5 2" xfId="34502"/>
    <cellStyle name="Total 2 2 3 3 3 5 2" xfId="34503"/>
    <cellStyle name="Input 5 2 4 5 2" xfId="34504"/>
    <cellStyle name="Output 5 12 2" xfId="34505"/>
    <cellStyle name="Total 4 4 9 2" xfId="34506"/>
    <cellStyle name="Note 5 2 3 2 2 5 2" xfId="34507"/>
    <cellStyle name="Output 2 7 4 5 2" xfId="34508"/>
    <cellStyle name="Input 13 2 2 5 2" xfId="34509"/>
    <cellStyle name="Total 3 5 2 8 2" xfId="34510"/>
    <cellStyle name="Note 5 2 3 5 5 2" xfId="34511"/>
    <cellStyle name="Note 2 5 2 2 5 2" xfId="34512"/>
    <cellStyle name="Total 2 2 3 3 2 5 2" xfId="34513"/>
    <cellStyle name="Input 2 8 4 5 2" xfId="34514"/>
    <cellStyle name="Style 21 2 9 2" xfId="34515"/>
    <cellStyle name="Total 2 2 4 3 3 5 2" xfId="34516"/>
    <cellStyle name="Input 8 2 3 5 2" xfId="34517"/>
    <cellStyle name="Note 5 4 2 2 5 2" xfId="34518"/>
    <cellStyle name="Output 3 3 4 5 2" xfId="34519"/>
    <cellStyle name="Input 15 2 2 5 2" xfId="34520"/>
    <cellStyle name="Total 2 10 2 8 2" xfId="34521"/>
    <cellStyle name="Note 3 3 3 3 5 2" xfId="34522"/>
    <cellStyle name="Output 3 7 2 5 2" xfId="34523"/>
    <cellStyle name="Total 2 2 4 3 2 5 2" xfId="34524"/>
    <cellStyle name="Calculation 5 3 4 5 2" xfId="34525"/>
    <cellStyle name="Style 21 9 2" xfId="34526"/>
    <cellStyle name="Input 4 5 3 5 2" xfId="34527"/>
    <cellStyle name="Note 4 2 4 2 2 5 2" xfId="34528"/>
    <cellStyle name="Output 4 3 4 5 2" xfId="34529"/>
    <cellStyle name="Input 17 2 2 5 2" xfId="34530"/>
    <cellStyle name="Output 5 4 2 8 2" xfId="34531"/>
    <cellStyle name="Total 2 6 3 2 5 2" xfId="34532"/>
    <cellStyle name="StmtTtl2 3 2 5 2" xfId="34533"/>
    <cellStyle name="Total 2 4 3 2 5 2" xfId="34534"/>
    <cellStyle name="Calculation 4 4 4 5 2" xfId="34535"/>
    <cellStyle name="Total 5 2 9 2" xfId="34536"/>
    <cellStyle name="Output 5 3 9 2" xfId="34537"/>
    <cellStyle name="Output 2 8 9 2" xfId="34538"/>
    <cellStyle name="Total 2 11 3 5 2" xfId="34539"/>
    <cellStyle name="Total 2 2 5 3 5 2" xfId="34540"/>
    <cellStyle name="Total 2 2 2 2 3 5 2" xfId="34541"/>
    <cellStyle name="Total 2 2 3 2 3 5 2" xfId="34542"/>
    <cellStyle name="Total 2 2 4 2 3 5 2" xfId="34543"/>
    <cellStyle name="Total 2 3 2 3 5 2" xfId="34544"/>
    <cellStyle name="Total 2 4 2 3 5 2" xfId="34545"/>
    <cellStyle name="Total 2 5 2 3 5 2" xfId="34546"/>
    <cellStyle name="Total 2 6 2 3 5 2" xfId="34547"/>
    <cellStyle name="Total 3 6 3 5 2" xfId="34548"/>
    <cellStyle name="Output 2 5 3 3 5 2" xfId="34549"/>
    <cellStyle name="Output 2 3 3 3 5 2" xfId="34550"/>
    <cellStyle name="Output 2 2 3 3 3 5 2" xfId="34551"/>
    <cellStyle name="Output 2 2 6 3 5 2" xfId="34552"/>
    <cellStyle name="Note 4 7 3 5 2" xfId="34553"/>
    <cellStyle name="Note 3 2 2 3 3 5 2" xfId="34554"/>
    <cellStyle name="Note 3 8 3 5 2" xfId="34555"/>
    <cellStyle name="Note 2 4 4 3 5 2" xfId="34556"/>
    <cellStyle name="Note 2 2 7 3 5 2" xfId="34557"/>
    <cellStyle name="Note 3 2 2 2 3 5 2" xfId="34558"/>
    <cellStyle name="Note 4 6 3 5 2" xfId="34559"/>
    <cellStyle name="Total 3 7 3 5 2" xfId="34560"/>
    <cellStyle name="Total 2 5 3 3 5 2" xfId="34561"/>
    <cellStyle name="Total 2 3 3 3 5 2" xfId="34562"/>
    <cellStyle name="Total 2 2 6 3 5 2" xfId="34563"/>
    <cellStyle name="Total 2 2 2 3 3 5 2" xfId="34564"/>
    <cellStyle name="StmtTtl2 3 3 5 2" xfId="34565"/>
    <cellStyle name="Output 3 7 3 5 2" xfId="34566"/>
    <cellStyle name="Note 2 5 2 3 5 2" xfId="34567"/>
    <cellStyle name="Note 2 2 2 2 3 5 2" xfId="34568"/>
    <cellStyle name="Note 2 3 2 2 3 5 2" xfId="34569"/>
    <cellStyle name="Note 2 4 2 2 3 5 2" xfId="34570"/>
    <cellStyle name="Note 3 3 2 3 5 2" xfId="34571"/>
    <cellStyle name="Input 8 3 3 5 2" xfId="34572"/>
    <cellStyle name="Input 6 4 3 5 2" xfId="34573"/>
    <cellStyle name="Input 4 6 3 5 2" xfId="34574"/>
    <cellStyle name="Input 2 3 3 3 5 2" xfId="34575"/>
    <cellStyle name="Input 2 2 3 3 3 5 2" xfId="34576"/>
    <cellStyle name="Input 2 2 6 3 5 2" xfId="34577"/>
    <cellStyle name="Calculation 2 3 3 3 5 2" xfId="34578"/>
    <cellStyle name="Calculation 2 2 3 3 3 5 2" xfId="34579"/>
    <cellStyle name="Calculation 2 2 6 3 5 2" xfId="34580"/>
    <cellStyle name="Output 2 4 3 3 5 2" xfId="34581"/>
    <cellStyle name="Output 2 2 4 3 3 5 2" xfId="34582"/>
    <cellStyle name="Output 2 2 2 3 3 5 2" xfId="34583"/>
    <cellStyle name="Output 2 11 3 5 2" xfId="34584"/>
    <cellStyle name="Note 3 2 8 3 5 2" xfId="34585"/>
    <cellStyle name="Note 2 3 4 3 5 2" xfId="34586"/>
    <cellStyle name="Note 2 10 3 5 2" xfId="34587"/>
    <cellStyle name="Note 4 2 5 3 5 2" xfId="34588"/>
    <cellStyle name="Style 21 4 5 2" xfId="34589"/>
    <cellStyle name="Style 21 2 4 5 2" xfId="34590"/>
    <cellStyle name="Style 22 4 5 2" xfId="34591"/>
    <cellStyle name="Style 22 2 4 5 2" xfId="34592"/>
    <cellStyle name="Style 23 4 5 2" xfId="34593"/>
    <cellStyle name="Style 23 2 4 5 2" xfId="34594"/>
    <cellStyle name="Style 24 4 5 2" xfId="34595"/>
    <cellStyle name="Style 24 2 4 5 2" xfId="34596"/>
    <cellStyle name="Style 25 4 5 2" xfId="34597"/>
    <cellStyle name="Style 25 2 4 5 2" xfId="34598"/>
    <cellStyle name="Style 26 4 5 2" xfId="34599"/>
    <cellStyle name="Style 26 2 4 5 2" xfId="34600"/>
    <cellStyle name="styleColumnTitles 4 5 2" xfId="34601"/>
    <cellStyle name="styleColumnTitles 2 4 5 2" xfId="34602"/>
    <cellStyle name="styleDateRange 4 5 2" xfId="34603"/>
    <cellStyle name="styleDateRange 2 4 5 2" xfId="34604"/>
    <cellStyle name="styleSeriesAttributes 4 5 2" xfId="34605"/>
    <cellStyle name="styleSeriesAttributes 2 4 5 2" xfId="34606"/>
    <cellStyle name="styleSeriesData 4 5 2" xfId="34607"/>
    <cellStyle name="styleSeriesData 2 4 5 2" xfId="34608"/>
    <cellStyle name="styleSeriesDataForecast 4 5 2" xfId="34609"/>
    <cellStyle name="styleSeriesDataForecast 2 4 5 2" xfId="34610"/>
    <cellStyle name="styleSeriesDataForecastNA 4 5 2" xfId="34611"/>
    <cellStyle name="styleSeriesDataForecastNA 2 4 5 2" xfId="34612"/>
    <cellStyle name="styleSeriesDataNA 4 5 2" xfId="34613"/>
    <cellStyle name="styleSeriesDataNA 2 4 5 2" xfId="34614"/>
    <cellStyle name="Style 21 2 2 3 5 2" xfId="34615"/>
    <cellStyle name="Style 22 2 2 3 5 2" xfId="34616"/>
    <cellStyle name="Style 23 2 2 3 5 2" xfId="34617"/>
    <cellStyle name="Style 24 2 2 3 5 2" xfId="34618"/>
    <cellStyle name="Style 25 2 2 3 5 2" xfId="34619"/>
    <cellStyle name="Style 26 2 2 3 5 2" xfId="34620"/>
    <cellStyle name="styleColumnTitles 2 2 3 5 2" xfId="34621"/>
    <cellStyle name="styleDateRange 2 2 3 5 2" xfId="34622"/>
    <cellStyle name="styleSeriesAttributes 2 2 3 5 2" xfId="34623"/>
    <cellStyle name="styleSeriesData 2 2 3 5 2" xfId="34624"/>
    <cellStyle name="styleSeriesDataForecast 2 2 3 5 2" xfId="34625"/>
    <cellStyle name="styleSeriesDataForecastNA 2 2 3 5 2" xfId="34626"/>
    <cellStyle name="styleSeriesDataNA 2 2 3 5 2" xfId="34627"/>
    <cellStyle name="Total 2 6 3 3 5 2" xfId="34628"/>
    <cellStyle name="Calculation 7 2 3 5 2" xfId="34629"/>
    <cellStyle name="Calculation 2 6 2 3 5 2" xfId="34630"/>
    <cellStyle name="Calculation 3 2 2 3 5 2" xfId="34631"/>
    <cellStyle name="Calculation 4 2 2 3 5 2" xfId="34632"/>
    <cellStyle name="Calculation 5 4 3 5 2" xfId="34633"/>
    <cellStyle name="Output 9 2 3 5 2" xfId="34634"/>
    <cellStyle name="Input 10 2 3 5 2" xfId="34635"/>
    <cellStyle name="Input 2 6 2 3 5 2" xfId="34636"/>
    <cellStyle name="Input 3 2 2 3 5 2" xfId="34637"/>
    <cellStyle name="Input 4 2 2 3 5 2" xfId="34638"/>
    <cellStyle name="Input 5 2 2 3 5 2" xfId="34639"/>
    <cellStyle name="Note 11 2 3 5 2" xfId="34640"/>
    <cellStyle name="Note 2 6 2 3 5 2" xfId="34641"/>
    <cellStyle name="Note 2 2 3 2 3 5 2" xfId="34642"/>
    <cellStyle name="Note 3 4 2 3 5 2" xfId="34643"/>
    <cellStyle name="Note 3 2 4 2 3 5 2" xfId="34644"/>
    <cellStyle name="Note 4 3 2 3 5 2" xfId="34645"/>
    <cellStyle name="Note 4 2 2 2 3 5 2" xfId="34646"/>
    <cellStyle name="Note 5 5 3 5 2" xfId="34647"/>
    <cellStyle name="Note 5 2 4 3 5 2" xfId="34648"/>
    <cellStyle name="Note 6 5 3 5 2" xfId="34649"/>
    <cellStyle name="Note 6 2 4 3 5 2" xfId="34650"/>
    <cellStyle name="Note 7 5 3 5 2" xfId="34651"/>
    <cellStyle name="Note 7 2 4 3 5 2" xfId="34652"/>
    <cellStyle name="Note 8 4 3 5 2" xfId="34653"/>
    <cellStyle name="Note 9 3 3 5 2" xfId="34654"/>
    <cellStyle name="Output 7 2 3 5 2" xfId="34655"/>
    <cellStyle name="Output 2 6 2 3 5 2" xfId="34656"/>
    <cellStyle name="Output 3 2 2 3 5 2" xfId="34657"/>
    <cellStyle name="Output 4 2 2 3 5 2" xfId="34658"/>
    <cellStyle name="Output 5 5 3 5 2" xfId="34659"/>
    <cellStyle name="Total 7 2 3 5 2" xfId="34660"/>
    <cellStyle name="Total 2 7 2 3 5 2" xfId="34661"/>
    <cellStyle name="Total 3 2 2 3 5 2" xfId="34662"/>
    <cellStyle name="Total 4 2 2 3 5 2" xfId="34663"/>
    <cellStyle name="Total 5 5 3 5 2" xfId="34664"/>
    <cellStyle name="Calculation 8 2 3 5 2" xfId="34665"/>
    <cellStyle name="Input 12 2 3 5 2" xfId="34666"/>
    <cellStyle name="Input 11 2 3 5 2" xfId="34667"/>
    <cellStyle name="Calculation 9 2 3 5 2" xfId="34668"/>
    <cellStyle name="Output 8 2 3 5 2" xfId="34669"/>
    <cellStyle name="Total 8 2 3 5 2" xfId="34670"/>
    <cellStyle name="Total 9 2 3 5 2" xfId="34671"/>
    <cellStyle name="Output 5 2 2 3 5 2" xfId="34672"/>
    <cellStyle name="Output 4 3 2 3 5 2" xfId="34673"/>
    <cellStyle name="Output 3 3 2 3 5 2" xfId="34674"/>
    <cellStyle name="Output 2 7 2 3 5 2" xfId="34675"/>
    <cellStyle name="Output 11 2 3 5 2" xfId="34676"/>
    <cellStyle name="Input 5 3 2 3 5 2" xfId="34677"/>
    <cellStyle name="Input 4 3 2 3 5 2" xfId="34678"/>
    <cellStyle name="Input 3 3 2 3 5 2" xfId="34679"/>
    <cellStyle name="Input 2 7 2 3 5 2" xfId="34680"/>
    <cellStyle name="Calculation 10 2 3 5 2" xfId="34681"/>
    <cellStyle name="Input 14 2 3 5 2" xfId="34682"/>
    <cellStyle name="Input 16 2 3 5 2" xfId="34683"/>
    <cellStyle name="Input 17 2 3 5 2" xfId="34684"/>
    <cellStyle name="Input 15 2 3 5 2" xfId="34685"/>
    <cellStyle name="Input 13 2 3 5 2" xfId="34686"/>
    <cellStyle name="Calculation 5 2 2 3 5 2" xfId="34687"/>
    <cellStyle name="Calculation 4 3 2 3 5 2" xfId="34688"/>
    <cellStyle name="Calculation 3 3 2 3 5 2" xfId="34689"/>
    <cellStyle name="Calculation 2 7 2 3 5 2" xfId="34690"/>
    <cellStyle name="Calculation 11 2 3 5 2" xfId="34691"/>
    <cellStyle name="Output 10 2 3 5 2" xfId="34692"/>
    <cellStyle name="Note 12 2 3 5 2" xfId="34693"/>
    <cellStyle name="Note 2 7 2 3 5 2" xfId="34694"/>
    <cellStyle name="Note 2 2 4 2 3 5 2" xfId="34695"/>
    <cellStyle name="Note 3 5 2 3 5 2" xfId="34696"/>
    <cellStyle name="Note 3 2 5 2 3 5 2" xfId="34697"/>
    <cellStyle name="Note 4 4 2 3 5 2" xfId="34698"/>
    <cellStyle name="Note 4 2 3 2 3 5 2" xfId="34699"/>
    <cellStyle name="Note 5 3 2 3 5 2" xfId="34700"/>
    <cellStyle name="Note 5 2 2 2 3 5 2" xfId="34701"/>
    <cellStyle name="Note 6 3 2 3 5 2" xfId="34702"/>
    <cellStyle name="Note 6 2 2 2 3 5 2" xfId="34703"/>
    <cellStyle name="Note 7 3 2 3 5 2" xfId="34704"/>
    <cellStyle name="Note 7 2 2 2 3 5 2" xfId="34705"/>
    <cellStyle name="Note 8 2 2 3 5 2" xfId="34706"/>
    <cellStyle name="Note 9 2 2 3 5 2" xfId="34707"/>
    <cellStyle name="Output 12 2 3 5 2" xfId="34708"/>
    <cellStyle name="Output 2 8 2 3 5 2" xfId="34709"/>
    <cellStyle name="Output 3 4 2 3 5 2" xfId="34710"/>
    <cellStyle name="Output 4 4 2 3 5 2" xfId="34711"/>
    <cellStyle name="Output 5 3 2 3 5 2" xfId="34712"/>
    <cellStyle name="Total 10 2 3 5 2" xfId="34713"/>
    <cellStyle name="Total 11 2 3 5 2" xfId="34714"/>
    <cellStyle name="Total 2 8 2 3 5 2" xfId="34715"/>
    <cellStyle name="Total 3 3 2 3 5 2" xfId="34716"/>
    <cellStyle name="Total 4 3 2 3 5 2" xfId="34717"/>
    <cellStyle name="Total 5 2 2 3 5 2" xfId="34718"/>
    <cellStyle name="Total 12 2 3 5 2" xfId="34719"/>
    <cellStyle name="Total 2 9 2 3 5 2" xfId="34720"/>
    <cellStyle name="Total 3 4 2 3 5 2" xfId="34721"/>
    <cellStyle name="Total 4 4 2 3 5 2" xfId="34722"/>
    <cellStyle name="Total 5 3 2 3 5 2" xfId="34723"/>
    <cellStyle name="Input 18 2 3 5 2" xfId="34724"/>
    <cellStyle name="Calculation 12 2 3 5 2" xfId="34725"/>
    <cellStyle name="Input 19 2 3 5 2" xfId="34726"/>
    <cellStyle name="Note 13 2 3 5 2" xfId="34727"/>
    <cellStyle name="Output 13 2 3 5 2" xfId="34728"/>
    <cellStyle name="Total 13 2 3 5 2" xfId="34729"/>
    <cellStyle name="Calculation 2 8 2 3 5 2" xfId="34730"/>
    <cellStyle name="Calculation 3 4 2 3 5 2" xfId="34731"/>
    <cellStyle name="Calculation 4 4 2 3 5 2" xfId="34732"/>
    <cellStyle name="Calculation 5 3 2 3 5 2" xfId="34733"/>
    <cellStyle name="Input 2 8 2 3 5 2" xfId="34734"/>
    <cellStyle name="Input 3 4 2 3 5 2" xfId="34735"/>
    <cellStyle name="Input 4 4 2 3 5 2" xfId="34736"/>
    <cellStyle name="Input 5 4 2 3 5 2" xfId="34737"/>
    <cellStyle name="Note 2 8 2 3 5 2" xfId="34738"/>
    <cellStyle name="Note 2 2 5 2 3 5 2" xfId="34739"/>
    <cellStyle name="Note 3 6 2 3 5 2" xfId="34740"/>
    <cellStyle name="Note 3 2 6 2 3 5 2" xfId="34741"/>
    <cellStyle name="Note 4 5 2 3 5 2" xfId="34742"/>
    <cellStyle name="Note 4 2 4 2 3 5 2" xfId="34743"/>
    <cellStyle name="Note 5 4 2 3 5 2" xfId="34744"/>
    <cellStyle name="Note 5 2 3 2 3 5 2" xfId="34745"/>
    <cellStyle name="Note 6 4 2 3 5 2" xfId="34746"/>
    <cellStyle name="Note 6 2 3 2 3 5 2" xfId="34747"/>
    <cellStyle name="Note 7 4 2 3 5 2" xfId="34748"/>
    <cellStyle name="Note 7 2 3 2 3 5 2" xfId="34749"/>
    <cellStyle name="Note 8 3 2 3 5 2" xfId="34750"/>
    <cellStyle name="Output 2 9 2 3 5 2" xfId="34751"/>
    <cellStyle name="Output 3 5 2 3 5 2" xfId="34752"/>
    <cellStyle name="Output 4 5 2 3 5 2" xfId="34753"/>
    <cellStyle name="Output 5 4 2 3 5 2" xfId="34754"/>
    <cellStyle name="Total 2 10 2 3 5 2" xfId="34755"/>
    <cellStyle name="Total 3 5 2 3 5 2" xfId="34756"/>
    <cellStyle name="Total 4 5 2 3 5 2" xfId="34757"/>
    <cellStyle name="Total 5 4 2 3 5 2" xfId="34758"/>
    <cellStyle name="Input 20 2 3 5 2" xfId="34759"/>
    <cellStyle name="Input 21 2 3 5 2" xfId="34760"/>
    <cellStyle name="Calculation 7 6 5 2" xfId="34761"/>
    <cellStyle name="Calculation 2 6 6 5 2" xfId="34762"/>
    <cellStyle name="Calculation 3 2 6 5 2" xfId="34763"/>
    <cellStyle name="Calculation 4 2 6 5 2" xfId="34764"/>
    <cellStyle name="Calculation 5 7 5 2" xfId="34765"/>
    <cellStyle name="Output 9 5 5 2" xfId="34766"/>
    <cellStyle name="Input 10 6 5 2" xfId="34767"/>
    <cellStyle name="Input 2 6 6 5 2" xfId="34768"/>
    <cellStyle name="Input 3 2 6 5 2" xfId="34769"/>
    <cellStyle name="Input 4 2 6 5 2" xfId="34770"/>
    <cellStyle name="Input 5 2 6 5 2" xfId="34771"/>
    <cellStyle name="Note 11 5 5 2" xfId="34772"/>
    <cellStyle name="Note 2 6 5 5 2" xfId="34773"/>
    <cellStyle name="Note 2 2 3 5 5 2" xfId="34774"/>
    <cellStyle name="Note 3 4 5 5 2" xfId="34775"/>
    <cellStyle name="Note 3 2 4 5 5 2" xfId="34776"/>
    <cellStyle name="Note 4 3 5 5 2" xfId="34777"/>
    <cellStyle name="Note 4 2 2 5 5 2" xfId="34778"/>
    <cellStyle name="Note 5 8 5 2" xfId="34779"/>
    <cellStyle name="Note 5 2 7 5 2" xfId="34780"/>
    <cellStyle name="Note 6 8 5 2" xfId="34781"/>
    <cellStyle name="Note 6 2 7 5 2" xfId="34782"/>
    <cellStyle name="Note 7 8 5 2" xfId="34783"/>
    <cellStyle name="Note 7 2 7 5 2" xfId="34784"/>
    <cellStyle name="Note 8 7 5 2" xfId="34785"/>
    <cellStyle name="Note 9 6 5 2" xfId="34786"/>
    <cellStyle name="Output 7 5 5 2" xfId="34787"/>
    <cellStyle name="Output 2 6 5 5 2" xfId="34788"/>
    <cellStyle name="Output 3 2 5 5 2" xfId="34789"/>
    <cellStyle name="Output 4 2 5 5 2" xfId="34790"/>
    <cellStyle name="Output 5 8 5 2" xfId="34791"/>
    <cellStyle name="Total 7 5 5 2" xfId="34792"/>
    <cellStyle name="Total 2 7 5 5 2" xfId="34793"/>
    <cellStyle name="Total 3 2 5 5 2" xfId="34794"/>
    <cellStyle name="Total 4 2 5 5 2" xfId="34795"/>
    <cellStyle name="Total 5 8 5 2" xfId="34796"/>
    <cellStyle name="Calculation 8 6 5 2" xfId="34797"/>
    <cellStyle name="Input 12 6 5 2" xfId="34798"/>
    <cellStyle name="Input 11 6 5 2" xfId="34799"/>
    <cellStyle name="Calculation 9 6 5 2" xfId="34800"/>
    <cellStyle name="Output 8 5 5 2" xfId="34801"/>
    <cellStyle name="Total 8 5 5 2" xfId="34802"/>
    <cellStyle name="Total 9 5 5 2" xfId="34803"/>
    <cellStyle name="Output 5 2 5 5 2" xfId="34804"/>
    <cellStyle name="Output 4 3 5 5 2" xfId="34805"/>
    <cellStyle name="Output 3 3 5 5 2" xfId="34806"/>
    <cellStyle name="Output 2 7 5 5 2" xfId="34807"/>
    <cellStyle name="Output 11 5 5 2" xfId="34808"/>
    <cellStyle name="Input 5 3 6 5 2" xfId="34809"/>
    <cellStyle name="Input 4 3 6 5 2" xfId="34810"/>
    <cellStyle name="Input 3 3 6 5 2" xfId="34811"/>
    <cellStyle name="Input 2 7 6 5 2" xfId="34812"/>
    <cellStyle name="Calculation 10 6 5 2" xfId="34813"/>
    <cellStyle name="Input 14 6 5 2" xfId="34814"/>
    <cellStyle name="Input 16 6 5 2" xfId="34815"/>
    <cellStyle name="Input 17 6 5 2" xfId="34816"/>
    <cellStyle name="Input 15 6 5 2" xfId="34817"/>
    <cellStyle name="Input 13 6 5 2" xfId="34818"/>
    <cellStyle name="Calculation 5 2 6 5 2" xfId="34819"/>
    <cellStyle name="Calculation 4 3 6 5 2" xfId="34820"/>
    <cellStyle name="Calculation 3 3 6 5 2" xfId="34821"/>
    <cellStyle name="Calculation 2 7 6 5 2" xfId="34822"/>
    <cellStyle name="Calculation 11 6 5 2" xfId="34823"/>
    <cellStyle name="Output 10 5 5 2" xfId="34824"/>
    <cellStyle name="Note 12 5 5 2" xfId="34825"/>
    <cellStyle name="Note 2 7 5 5 2" xfId="34826"/>
    <cellStyle name="Note 2 2 4 5 5 2" xfId="34827"/>
    <cellStyle name="Note 3 5 5 5 2" xfId="34828"/>
    <cellStyle name="Note 3 2 5 5 5 2" xfId="34829"/>
    <cellStyle name="Note 4 4 5 5 2" xfId="34830"/>
    <cellStyle name="Note 4 2 3 5 5 2" xfId="34831"/>
    <cellStyle name="Note 5 3 5 5 2" xfId="34832"/>
    <cellStyle name="Note 5 2 2 5 5 2" xfId="34833"/>
    <cellStyle name="Note 6 3 5 5 2" xfId="34834"/>
    <cellStyle name="Note 6 2 2 5 5 2" xfId="34835"/>
    <cellStyle name="Note 7 3 5 5 2" xfId="34836"/>
    <cellStyle name="Note 7 2 2 5 5 2" xfId="34837"/>
    <cellStyle name="Note 8 2 5 5 2" xfId="34838"/>
    <cellStyle name="Note 9 2 5 5 2" xfId="34839"/>
    <cellStyle name="Output 12 5 5 2" xfId="34840"/>
    <cellStyle name="Output 2 8 5 5 2" xfId="34841"/>
    <cellStyle name="Output 3 4 5 5 2" xfId="34842"/>
    <cellStyle name="Output 4 4 5 5 2" xfId="34843"/>
    <cellStyle name="Output 5 3 5 5 2" xfId="34844"/>
    <cellStyle name="Total 10 5 5 2" xfId="34845"/>
    <cellStyle name="Total 11 5 5 2" xfId="34846"/>
    <cellStyle name="Total 2 8 5 5 2" xfId="34847"/>
    <cellStyle name="Total 3 3 5 5 2" xfId="34848"/>
    <cellStyle name="Total 4 3 5 5 2" xfId="34849"/>
    <cellStyle name="Total 5 2 5 5 2" xfId="34850"/>
    <cellStyle name="Total 12 5 5 2" xfId="34851"/>
    <cellStyle name="Total 2 9 5 5 2" xfId="34852"/>
    <cellStyle name="Total 3 4 5 5 2" xfId="34853"/>
    <cellStyle name="Total 4 4 5 5 2" xfId="34854"/>
    <cellStyle name="Total 5 3 5 5 2" xfId="34855"/>
    <cellStyle name="Input 18 6 5 2" xfId="34856"/>
    <cellStyle name="Calculation 12 6 5 2" xfId="34857"/>
    <cellStyle name="Input 19 6 5 2" xfId="34858"/>
    <cellStyle name="Note 13 6 5 2" xfId="34859"/>
    <cellStyle name="Output 13 6 5 2" xfId="34860"/>
    <cellStyle name="Total 13 6 5 2" xfId="34861"/>
    <cellStyle name="Calculation 2 8 6 5 2" xfId="34862"/>
    <cellStyle name="Calculation 3 4 6 5 2" xfId="34863"/>
    <cellStyle name="Calculation 4 4 6 5 2" xfId="34864"/>
    <cellStyle name="Calculation 5 3 6 5 2" xfId="34865"/>
    <cellStyle name="Input 2 8 6 5 2" xfId="34866"/>
    <cellStyle name="Input 3 4 6 5 2" xfId="34867"/>
    <cellStyle name="Input 4 4 6 5 2" xfId="34868"/>
    <cellStyle name="Input 5 4 6 5 2" xfId="34869"/>
    <cellStyle name="Note 2 8 6 5 2" xfId="34870"/>
    <cellStyle name="Note 2 2 5 6 5 2" xfId="34871"/>
    <cellStyle name="Note 3 6 6 5 2" xfId="34872"/>
    <cellStyle name="Note 3 2 6 6 5 2" xfId="34873"/>
    <cellStyle name="Note 4 5 6 5 2" xfId="34874"/>
    <cellStyle name="Note 4 2 4 6 5 2" xfId="34875"/>
    <cellStyle name="Note 5 4 6 5 2" xfId="34876"/>
    <cellStyle name="Note 5 2 3 6 5 2" xfId="34877"/>
    <cellStyle name="Note 6 4 6 5 2" xfId="34878"/>
    <cellStyle name="Note 6 2 3 6 5 2" xfId="34879"/>
    <cellStyle name="Note 7 4 6 5 2" xfId="34880"/>
    <cellStyle name="Note 7 2 3 6 5 2" xfId="34881"/>
    <cellStyle name="Note 8 3 6 5 2" xfId="34882"/>
    <cellStyle name="Output 2 9 6 5 2" xfId="34883"/>
    <cellStyle name="Output 3 5 6 5 2" xfId="34884"/>
    <cellStyle name="Output 4 5 6 5 2" xfId="34885"/>
    <cellStyle name="Output 5 4 6 5 2" xfId="34886"/>
    <cellStyle name="Total 2 10 6 5 2" xfId="34887"/>
    <cellStyle name="Total 3 5 6 5 2" xfId="34888"/>
    <cellStyle name="Total 4 5 6 5 2" xfId="34889"/>
    <cellStyle name="Total 5 4 6 5 2" xfId="34890"/>
    <cellStyle name="Input 20 6 5 2" xfId="34891"/>
    <cellStyle name="Input 21 6 5 2" xfId="34892"/>
    <cellStyle name="Input 10 3 2 5 2" xfId="34893"/>
    <cellStyle name="Input 2 4 4 2 5 2" xfId="34894"/>
    <cellStyle name="Input 7 4 2 5 2" xfId="34895"/>
    <cellStyle name="Note 4 2 6 4 5 2" xfId="34896"/>
    <cellStyle name="Note 3 3 3 4 5 2" xfId="34897"/>
    <cellStyle name="Note 2 5 3 4 5 2" xfId="34898"/>
    <cellStyle name="Note 2 4 2 3 4 5 2" xfId="34899"/>
    <cellStyle name="Note 2 3 2 3 4 5 2" xfId="34900"/>
    <cellStyle name="Note 2 2 2 3 4 5 2" xfId="34901"/>
    <cellStyle name="Input 6 6 5 2" xfId="34902"/>
    <cellStyle name="Input 4 7 5 2" xfId="34903"/>
    <cellStyle name="Input 2 4 5 5 2" xfId="34904"/>
    <cellStyle name="Input 2 2 4 5 5 2" xfId="34905"/>
    <cellStyle name="Input 2 2 2 5 5 2" xfId="34906"/>
    <cellStyle name="Input 2 12 5 2" xfId="34907"/>
    <cellStyle name="Input 24 5 2" xfId="34908"/>
    <cellStyle name="Note 14 5 2" xfId="34909"/>
    <cellStyle name="Note 2 11 5 2" xfId="34910"/>
    <cellStyle name="Note 2 2 8 5 2" xfId="34911"/>
    <cellStyle name="Calculation 2 9 4 5 2" xfId="34912"/>
    <cellStyle name="Calculation 2 2 5 4 5 2" xfId="34913"/>
    <cellStyle name="Calculation 2 2 2 2 4 5 2" xfId="34914"/>
    <cellStyle name="Calculation 2 2 3 2 4 5 2" xfId="34915"/>
    <cellStyle name="Calculation 2 2 4 2 4 5 2" xfId="34916"/>
    <cellStyle name="Calculation 2 3 2 4 5 2" xfId="34917"/>
    <cellStyle name="Calculation 2 4 2 4 5 2" xfId="34918"/>
    <cellStyle name="Calculation 2 5 2 4 5 2" xfId="34919"/>
    <cellStyle name="Calculation 3 5 4 5 2" xfId="34920"/>
    <cellStyle name="Note 3 2 10 5 2" xfId="34921"/>
    <cellStyle name="Note 3 2 2 5 5 2" xfId="34922"/>
    <cellStyle name="Note 4 8 5 2" xfId="34923"/>
    <cellStyle name="Output 3 8 2 5 2" xfId="34924"/>
    <cellStyle name="Calculation 2 3 5 5 2" xfId="34925"/>
    <cellStyle name="Calculation 2 2 4 5 5 2" xfId="34926"/>
    <cellStyle name="Calculation 2 2 3 5 5 2" xfId="34927"/>
    <cellStyle name="Calculation 2 2 2 5 5 2" xfId="34928"/>
    <cellStyle name="Calculation 2 2 8 5 2" xfId="34929"/>
    <cellStyle name="Calculation 13 5 2" xfId="34930"/>
    <cellStyle name="Total 2 2 2 4 2 5 2" xfId="34931"/>
    <cellStyle name="Total 2 2 4 4 2 5 2" xfId="34932"/>
    <cellStyle name="Total 14 5 2" xfId="34933"/>
    <cellStyle name="Header2 2 4 5 2" xfId="34934"/>
    <cellStyle name="Input 2 5 3 4 5 2" xfId="34935"/>
    <cellStyle name="Input 2 9 4 5 2" xfId="34936"/>
    <cellStyle name="Input 2 2 5 4 5 2" xfId="34937"/>
    <cellStyle name="Input 2 2 2 2 4 5 2" xfId="34938"/>
    <cellStyle name="Input 2 2 3 2 4 5 2" xfId="34939"/>
    <cellStyle name="Input 2 2 4 2 4 5 2" xfId="34940"/>
    <cellStyle name="Input 2 3 2 4 5 2" xfId="34941"/>
    <cellStyle name="Input 2 4 2 4 5 2" xfId="34942"/>
    <cellStyle name="Input 2 5 2 4 5 2" xfId="34943"/>
    <cellStyle name="Input 3 5 4 5 2" xfId="34944"/>
    <cellStyle name="Input 4 5 4 5 2" xfId="34945"/>
    <cellStyle name="Input 5 5 4 5 2" xfId="34946"/>
    <cellStyle name="Input 6 3 4 5 2" xfId="34947"/>
    <cellStyle name="Input 7 2 4 5 2" xfId="34948"/>
    <cellStyle name="Input 8 2 4 5 2" xfId="34949"/>
    <cellStyle name="Calculation 2 5 3 4 5 2" xfId="34950"/>
    <cellStyle name="Total 2 4 3 4 5 2" xfId="34951"/>
    <cellStyle name="Total 2 2 4 3 4 5 2" xfId="34952"/>
    <cellStyle name="Total 2 2 3 3 4 5 2" xfId="34953"/>
    <cellStyle name="Total 2 12 4 5 2" xfId="34954"/>
    <cellStyle name="Output 14 5 2" xfId="34955"/>
    <cellStyle name="Note 2 4 6 5 2" xfId="34956"/>
    <cellStyle name="Calculation 2 2 7 2 5 2" xfId="34957"/>
    <cellStyle name="Calculation 2 2 4 4 2 5 2" xfId="34958"/>
    <cellStyle name="Header2 3 2 5 2" xfId="34959"/>
    <cellStyle name="Input 2 2 7 2 5 2" xfId="34960"/>
    <cellStyle name="Input 2 3 4 2 5 2" xfId="34961"/>
    <cellStyle name="Input [yellow] 3 5 2" xfId="34962"/>
    <cellStyle name="Total 2 2 7 2 5 2" xfId="34963"/>
    <cellStyle name="Total 2 4 4 2 5 2" xfId="34964"/>
    <cellStyle name="Note 2 9 4 5 2" xfId="34965"/>
    <cellStyle name="Note 2 2 6 4 5 2" xfId="34966"/>
    <cellStyle name="Note 2 3 3 4 5 2" xfId="34967"/>
    <cellStyle name="Note 2 4 3 4 5 2" xfId="34968"/>
    <cellStyle name="Note 3 7 4 5 2" xfId="34969"/>
    <cellStyle name="Note 3 2 7 4 5 2" xfId="34970"/>
    <cellStyle name="Output 2 10 4 5 2" xfId="34971"/>
    <cellStyle name="Output 2 2 5 4 5 2" xfId="34972"/>
    <cellStyle name="Output 2 2 2 2 4 5 2" xfId="34973"/>
    <cellStyle name="Output 2 2 3 2 4 5 2" xfId="34974"/>
    <cellStyle name="Output 2 2 4 2 4 5 2" xfId="34975"/>
    <cellStyle name="Output 2 3 2 4 5 2" xfId="34976"/>
    <cellStyle name="Output 2 4 2 4 5 2" xfId="34977"/>
    <cellStyle name="Output 2 5 2 4 5 2" xfId="34978"/>
    <cellStyle name="Output 3 6 4 5 2" xfId="34979"/>
    <cellStyle name="Input 7 3 4 5 2" xfId="34980"/>
    <cellStyle name="Input 5 6 4 5 2" xfId="34981"/>
    <cellStyle name="Input 3 6 4 5 2" xfId="34982"/>
    <cellStyle name="Input 2 4 3 4 5 2" xfId="34983"/>
    <cellStyle name="Input 2 2 4 3 4 5 2" xfId="34984"/>
    <cellStyle name="Input 2 2 2 3 4 5 2" xfId="34985"/>
    <cellStyle name="Input 2 10 4 5 2" xfId="34986"/>
    <cellStyle name="Calculation 3 6 4 5 2" xfId="34987"/>
    <cellStyle name="Calculation 2 4 3 4 5 2" xfId="34988"/>
    <cellStyle name="Calculation 2 2 4 3 4 5 2" xfId="34989"/>
    <cellStyle name="Calculation 2 2 2 3 4 5 2" xfId="34990"/>
    <cellStyle name="Calculation 2 10 4 5 2" xfId="34991"/>
    <cellStyle name="StmtTtl2 2 4 5 2" xfId="34992"/>
    <cellStyle name="Total 2 11 4 5 2" xfId="34993"/>
    <cellStyle name="Total 2 2 5 4 5 2" xfId="34994"/>
    <cellStyle name="Total 2 2 2 2 4 5 2" xfId="34995"/>
    <cellStyle name="Total 2 2 3 2 4 5 2" xfId="34996"/>
    <cellStyle name="Total 2 2 4 2 4 5 2" xfId="34997"/>
    <cellStyle name="Total 2 3 2 4 5 2" xfId="34998"/>
    <cellStyle name="Total 2 4 2 4 5 2" xfId="34999"/>
    <cellStyle name="Total 2 5 2 4 5 2" xfId="35000"/>
    <cellStyle name="Total 2 6 2 4 5 2" xfId="35001"/>
    <cellStyle name="Total 3 6 4 5 2" xfId="35002"/>
    <cellStyle name="Output 2 5 3 4 5 2" xfId="35003"/>
    <cellStyle name="Input 8 5 5 2" xfId="35004"/>
    <cellStyle name="Note 3 9 5 2" xfId="35005"/>
    <cellStyle name="Note 2 3 5 2 5 2" xfId="35006"/>
    <cellStyle name="Note 2 4 5 2 5 2" xfId="35007"/>
    <cellStyle name="Note 3 2 9 2 5 2" xfId="35008"/>
    <cellStyle name="Output 2 12 2 5 2" xfId="35009"/>
    <cellStyle name="Output 2 2 7 2 5 2" xfId="35010"/>
    <cellStyle name="Output 2 2 2 4 2 5 2" xfId="35011"/>
    <cellStyle name="Output 2 3 4 2 5 2" xfId="35012"/>
    <cellStyle name="Output 2 4 4 2 5 2" xfId="35013"/>
    <cellStyle name="Calculation 2 4 4 2 5 2" xfId="35014"/>
    <cellStyle name="Input 2 2 2 4 2 5 2" xfId="35015"/>
    <cellStyle name="Output 2 3 3 4 5 2" xfId="35016"/>
    <cellStyle name="Output 2 2 3 3 4 5 2" xfId="35017"/>
    <cellStyle name="Output 2 2 6 4 5 2" xfId="35018"/>
    <cellStyle name="Note 4 7 4 5 2" xfId="35019"/>
    <cellStyle name="Note 3 2 2 3 4 5 2" xfId="35020"/>
    <cellStyle name="Note 3 8 4 5 2" xfId="35021"/>
    <cellStyle name="Note 2 4 4 4 5 2" xfId="35022"/>
    <cellStyle name="Note 2 2 7 4 5 2" xfId="35023"/>
    <cellStyle name="Input 7 5 5 2" xfId="35024"/>
    <cellStyle name="Input 3 7 5 2" xfId="35025"/>
    <cellStyle name="Input 2 2 3 5 5 2" xfId="35026"/>
    <cellStyle name="Note 3 2 2 2 4 5 2" xfId="35027"/>
    <cellStyle name="Note 4 6 4 5 2" xfId="35028"/>
    <cellStyle name="Calculation 2 12 5 2" xfId="35029"/>
    <cellStyle name="Calculation 2 4 5 5 2" xfId="35030"/>
    <cellStyle name="Total 2 13 2 5 2" xfId="35031"/>
    <cellStyle name="Total 3 8 2 5 2" xfId="35032"/>
    <cellStyle name="Total 2 3 4 2 5 2" xfId="35033"/>
    <cellStyle name="Total 3 7 4 5 2" xfId="35034"/>
    <cellStyle name="Total 2 5 3 4 5 2" xfId="35035"/>
    <cellStyle name="Total 2 3 3 4 5 2" xfId="35036"/>
    <cellStyle name="Total 2 2 6 4 5 2" xfId="35037"/>
    <cellStyle name="Total 2 2 2 3 4 5 2" xfId="35038"/>
    <cellStyle name="StmtTtl2 3 4 5 2" xfId="35039"/>
    <cellStyle name="Calculation 2 11 2 5 2" xfId="35040"/>
    <cellStyle name="Input 23 5 2" xfId="35041"/>
    <cellStyle name="Input 2 11 2 5 2" xfId="35042"/>
    <cellStyle name="Input 2 2 4 4 2 5 2" xfId="35043"/>
    <cellStyle name="Input 8 4 2 5 2" xfId="35044"/>
    <cellStyle name="Output 3 7 4 5 2" xfId="35045"/>
    <cellStyle name="Input 22 5 2" xfId="35046"/>
    <cellStyle name="Header2 4 2 5 2" xfId="35047"/>
    <cellStyle name="StmtTtl2 4 2 5 2" xfId="35048"/>
    <cellStyle name="Total 2 2 3 4 2 5 2" xfId="35049"/>
    <cellStyle name="Total 2 5 4 2 5 2" xfId="35050"/>
    <cellStyle name="Note 2 5 2 4 5 2" xfId="35051"/>
    <cellStyle name="Note 2 2 2 2 4 5 2" xfId="35052"/>
    <cellStyle name="Note 2 3 2 2 4 5 2" xfId="35053"/>
    <cellStyle name="Note 2 4 2 2 4 5 2" xfId="35054"/>
    <cellStyle name="Note 3 3 2 4 5 2" xfId="35055"/>
    <cellStyle name="Input 8 3 4 5 2" xfId="35056"/>
    <cellStyle name="Input 6 4 4 5 2" xfId="35057"/>
    <cellStyle name="Input 4 6 4 5 2" xfId="35058"/>
    <cellStyle name="Input 2 3 3 4 5 2" xfId="35059"/>
    <cellStyle name="Input 2 2 3 3 4 5 2" xfId="35060"/>
    <cellStyle name="Input 2 2 6 4 5 2" xfId="35061"/>
    <cellStyle name="Calculation 2 3 3 4 5 2" xfId="35062"/>
    <cellStyle name="Calculation 2 2 3 3 4 5 2" xfId="35063"/>
    <cellStyle name="Calculation 2 2 6 4 5 2" xfId="35064"/>
    <cellStyle name="Calculation 3 8 5 2" xfId="35065"/>
    <cellStyle name="Note 3 2 2 4 2 5 2" xfId="35066"/>
    <cellStyle name="Output 2 2 4 4 2 5 2" xfId="35067"/>
    <cellStyle name="Output 2 2 3 4 2 5 2" xfId="35068"/>
    <cellStyle name="Input 2 2 3 4 2 5 2" xfId="35069"/>
    <cellStyle name="Output 2 4 3 4 5 2" xfId="35070"/>
    <cellStyle name="Output 2 2 4 3 4 5 2" xfId="35071"/>
    <cellStyle name="Output 2 2 2 3 4 5 2" xfId="35072"/>
    <cellStyle name="Output 2 11 4 5 2" xfId="35073"/>
    <cellStyle name="Note 3 2 8 4 5 2" xfId="35074"/>
    <cellStyle name="Note 2 3 4 4 5 2" xfId="35075"/>
    <cellStyle name="Note 2 10 4 5 2" xfId="35076"/>
    <cellStyle name="Input 5 8 5 2" xfId="35077"/>
    <cellStyle name="Input 2 3 5 5 2" xfId="35078"/>
    <cellStyle name="Input 2 2 8 5 2" xfId="35079"/>
    <cellStyle name="Note 4 2 5 4 5 2" xfId="35080"/>
    <cellStyle name="Style 21 5 5 2" xfId="35081"/>
    <cellStyle name="Style 21 2 5 5 2" xfId="35082"/>
    <cellStyle name="Style 22 5 5 2" xfId="35083"/>
    <cellStyle name="Style 22 2 5 5 2" xfId="35084"/>
    <cellStyle name="Style 23 5 5 2" xfId="35085"/>
    <cellStyle name="Style 23 2 5 5 2" xfId="35086"/>
    <cellStyle name="Style 24 5 5 2" xfId="35087"/>
    <cellStyle name="Style 24 2 5 5 2" xfId="35088"/>
    <cellStyle name="Style 25 5 5 2" xfId="35089"/>
    <cellStyle name="Style 25 2 5 5 2" xfId="35090"/>
    <cellStyle name="Style 26 5 5 2" xfId="35091"/>
    <cellStyle name="Style 26 2 5 5 2" xfId="35092"/>
    <cellStyle name="styleColumnTitles 5 5 2" xfId="35093"/>
    <cellStyle name="styleColumnTitles 2 5 5 2" xfId="35094"/>
    <cellStyle name="styleDateRange 5 5 2" xfId="35095"/>
    <cellStyle name="styleDateRange 2 5 5 2" xfId="35096"/>
    <cellStyle name="styleSeriesAttributes 5 5 2" xfId="35097"/>
    <cellStyle name="styleSeriesAttributes 2 5 5 2" xfId="35098"/>
    <cellStyle name="styleSeriesData 5 5 2" xfId="35099"/>
    <cellStyle name="styleSeriesData 2 5 5 2" xfId="35100"/>
    <cellStyle name="styleSeriesDataForecast 5 5 2" xfId="35101"/>
    <cellStyle name="styleSeriesDataForecast 2 5 5 2" xfId="35102"/>
    <cellStyle name="styleSeriesDataForecastNA 5 5 2" xfId="35103"/>
    <cellStyle name="styleSeriesDataForecastNA 2 5 5 2" xfId="35104"/>
    <cellStyle name="styleSeriesDataNA 5 5 2" xfId="35105"/>
    <cellStyle name="styleSeriesDataNA 2 5 5 2" xfId="35106"/>
    <cellStyle name="Style 21 2 2 4 5 2" xfId="35107"/>
    <cellStyle name="Style 22 2 2 4 5 2" xfId="35108"/>
    <cellStyle name="Style 23 2 2 4 5 2" xfId="35109"/>
    <cellStyle name="Style 24 2 2 4 5 2" xfId="35110"/>
    <cellStyle name="Style 25 2 2 4 5 2" xfId="35111"/>
    <cellStyle name="Style 26 2 2 4 5 2" xfId="35112"/>
    <cellStyle name="styleColumnTitles 2 2 4 5 2" xfId="35113"/>
    <cellStyle name="styleDateRange 2 2 4 5 2" xfId="35114"/>
    <cellStyle name="styleSeriesAttributes 2 2 4 5 2" xfId="35115"/>
    <cellStyle name="styleSeriesData 2 2 4 5 2" xfId="35116"/>
    <cellStyle name="styleSeriesDataForecast 2 2 4 5 2" xfId="35117"/>
    <cellStyle name="styleSeriesDataForecastNA 2 2 4 5 2" xfId="35118"/>
    <cellStyle name="styleSeriesDataNA 2 2 4 5 2" xfId="35119"/>
    <cellStyle name="Calculation 3 7 2 5 2" xfId="35120"/>
    <cellStyle name="Calculation 2 3 4 2 5 2" xfId="35121"/>
    <cellStyle name="Calculation 2 2 3 4 2 5 2" xfId="35122"/>
    <cellStyle name="Calculation 2 2 2 4 2 5 2" xfId="35123"/>
    <cellStyle name="Note 2 3 6 5 2" xfId="35124"/>
    <cellStyle name="Total 2 6 3 4 5 2" xfId="35125"/>
    <cellStyle name="Calculation 7 2 4 5 2" xfId="35126"/>
    <cellStyle name="Calculation 2 6 2 4 5 2" xfId="35127"/>
    <cellStyle name="Calculation 3 2 2 4 5 2" xfId="35128"/>
    <cellStyle name="Calculation 4 2 2 4 5 2" xfId="35129"/>
    <cellStyle name="Calculation 5 4 4 5 2" xfId="35130"/>
    <cellStyle name="Output 9 2 4 5 2" xfId="35131"/>
    <cellStyle name="Input 10 2 4 5 2" xfId="35132"/>
    <cellStyle name="Input 2 6 2 4 5 2" xfId="35133"/>
    <cellStyle name="Input 3 2 2 4 5 2" xfId="35134"/>
    <cellStyle name="Input 4 2 2 4 5 2" xfId="35135"/>
    <cellStyle name="Input 5 2 2 4 5 2" xfId="35136"/>
    <cellStyle name="Note 11 2 4 5 2" xfId="35137"/>
    <cellStyle name="Note 2 6 2 4 5 2" xfId="35138"/>
    <cellStyle name="Note 2 2 3 2 4 5 2" xfId="35139"/>
    <cellStyle name="Note 3 4 2 4 5 2" xfId="35140"/>
    <cellStyle name="Note 3 2 4 2 4 5 2" xfId="35141"/>
    <cellStyle name="Note 4 3 2 4 5 2" xfId="35142"/>
    <cellStyle name="Note 4 2 2 2 4 5 2" xfId="35143"/>
    <cellStyle name="Note 5 5 4 5 2" xfId="35144"/>
    <cellStyle name="Note 5 2 4 4 5 2" xfId="35145"/>
    <cellStyle name="Note 6 5 4 5 2" xfId="35146"/>
    <cellStyle name="Note 6 2 4 4 5 2" xfId="35147"/>
    <cellStyle name="Note 7 5 4 5 2" xfId="35148"/>
    <cellStyle name="Note 7 2 4 4 5 2" xfId="35149"/>
    <cellStyle name="Note 8 4 4 5 2" xfId="35150"/>
    <cellStyle name="Note 9 3 4 5 2" xfId="35151"/>
    <cellStyle name="Output 7 2 4 5 2" xfId="35152"/>
    <cellStyle name="Output 2 6 2 4 5 2" xfId="35153"/>
    <cellStyle name="Output 3 2 2 4 5 2" xfId="35154"/>
    <cellStyle name="Output 4 2 2 4 5 2" xfId="35155"/>
    <cellStyle name="Output 5 5 4 5 2" xfId="35156"/>
    <cellStyle name="Input 5 7 2 5 2" xfId="35157"/>
    <cellStyle name="Input 6 5 2 5 2" xfId="35158"/>
    <cellStyle name="Total 7 2 4 5 2" xfId="35159"/>
    <cellStyle name="Total 2 7 2 4 5 2" xfId="35160"/>
    <cellStyle name="Total 3 2 2 4 5 2" xfId="35161"/>
    <cellStyle name="Total 4 2 2 4 5 2" xfId="35162"/>
    <cellStyle name="Total 5 5 4 5 2" xfId="35163"/>
    <cellStyle name="Calculation 8 2 4 5 2" xfId="35164"/>
    <cellStyle name="Input 12 2 4 5 2" xfId="35165"/>
    <cellStyle name="Input 11 2 4 5 2" xfId="35166"/>
    <cellStyle name="Calculation 9 2 4 5 2" xfId="35167"/>
    <cellStyle name="Output 8 2 4 5 2" xfId="35168"/>
    <cellStyle name="Total 8 2 4 5 2" xfId="35169"/>
    <cellStyle name="Total 9 2 4 5 2" xfId="35170"/>
    <cellStyle name="Output 5 2 2 4 5 2" xfId="35171"/>
    <cellStyle name="Output 4 3 2 4 5 2" xfId="35172"/>
    <cellStyle name="Output 3 3 2 4 5 2" xfId="35173"/>
    <cellStyle name="Output 2 7 2 4 5 2" xfId="35174"/>
    <cellStyle name="Output 11 2 4 5 2" xfId="35175"/>
    <cellStyle name="Input 5 3 2 4 5 2" xfId="35176"/>
    <cellStyle name="Input 4 3 2 4 5 2" xfId="35177"/>
    <cellStyle name="Input 3 3 2 4 5 2" xfId="35178"/>
    <cellStyle name="Input 2 7 2 4 5 2" xfId="35179"/>
    <cellStyle name="Calculation 10 2 4 5 2" xfId="35180"/>
    <cellStyle name="Input 14 2 4 5 2" xfId="35181"/>
    <cellStyle name="Input 16 2 4 5 2" xfId="35182"/>
    <cellStyle name="Input 17 2 4 5 2" xfId="35183"/>
    <cellStyle name="Input 15 2 4 5 2" xfId="35184"/>
    <cellStyle name="Input 13 2 4 5 2" xfId="35185"/>
    <cellStyle name="Calculation 5 2 2 4 5 2" xfId="35186"/>
    <cellStyle name="Calculation 4 3 2 4 5 2" xfId="35187"/>
    <cellStyle name="Calculation 3 3 2 4 5 2" xfId="35188"/>
    <cellStyle name="Calculation 2 7 2 4 5 2" xfId="35189"/>
    <cellStyle name="Calculation 11 2 4 5 2" xfId="35190"/>
    <cellStyle name="Output 10 2 4 5 2" xfId="35191"/>
    <cellStyle name="Note 12 2 4 5 2" xfId="35192"/>
    <cellStyle name="Note 2 7 2 4 5 2" xfId="35193"/>
    <cellStyle name="Note 2 2 4 2 4 5 2" xfId="35194"/>
    <cellStyle name="Note 3 5 2 4 5 2" xfId="35195"/>
    <cellStyle name="Note 3 2 5 2 4 5 2" xfId="35196"/>
    <cellStyle name="Note 4 4 2 4 5 2" xfId="35197"/>
    <cellStyle name="Note 4 2 3 2 4 5 2" xfId="35198"/>
    <cellStyle name="Note 5 3 2 4 5 2" xfId="35199"/>
    <cellStyle name="Note 5 2 2 2 4 5 2" xfId="35200"/>
    <cellStyle name="Note 6 3 2 4 5 2" xfId="35201"/>
    <cellStyle name="Note 6 2 2 2 4 5 2" xfId="35202"/>
    <cellStyle name="Note 7 3 2 4 5 2" xfId="35203"/>
    <cellStyle name="Note 7 2 2 2 4 5 2" xfId="35204"/>
    <cellStyle name="Note 8 2 2 4 5 2" xfId="35205"/>
    <cellStyle name="Note 9 2 2 4 5 2" xfId="35206"/>
    <cellStyle name="Output 12 2 4 5 2" xfId="35207"/>
    <cellStyle name="Output 2 8 2 4 5 2" xfId="35208"/>
    <cellStyle name="Output 3 4 2 4 5 2" xfId="35209"/>
    <cellStyle name="Output 4 4 2 4 5 2" xfId="35210"/>
    <cellStyle name="Output 5 3 2 4 5 2" xfId="35211"/>
    <cellStyle name="Total 10 2 4 5 2" xfId="35212"/>
    <cellStyle name="Total 11 2 4 5 2" xfId="35213"/>
    <cellStyle name="Total 2 8 2 4 5 2" xfId="35214"/>
    <cellStyle name="Total 3 3 2 4 5 2" xfId="35215"/>
    <cellStyle name="Total 4 3 2 4 5 2" xfId="35216"/>
    <cellStyle name="Total 5 2 2 4 5 2" xfId="35217"/>
    <cellStyle name="Total 12 2 4 5 2" xfId="35218"/>
    <cellStyle name="Total 2 9 2 4 5 2" xfId="35219"/>
    <cellStyle name="Total 3 4 2 4 5 2" xfId="35220"/>
    <cellStyle name="Total 4 4 2 4 5 2" xfId="35221"/>
    <cellStyle name="Total 5 3 2 4 5 2" xfId="35222"/>
    <cellStyle name="Input 18 2 4 5 2" xfId="35223"/>
    <cellStyle name="Calculation 12 2 4 5 2" xfId="35224"/>
    <cellStyle name="Input 19 2 4 5 2" xfId="35225"/>
    <cellStyle name="Note 13 2 4 5 2" xfId="35226"/>
    <cellStyle name="Output 13 2 4 5 2" xfId="35227"/>
    <cellStyle name="Total 13 2 4 5 2" xfId="35228"/>
    <cellStyle name="Calculation 2 8 2 4 5 2" xfId="35229"/>
    <cellStyle name="Calculation 3 4 2 4 5 2" xfId="35230"/>
    <cellStyle name="Calculation 4 4 2 4 5 2" xfId="35231"/>
    <cellStyle name="Calculation 5 3 2 4 5 2" xfId="35232"/>
    <cellStyle name="Input 2 8 2 4 5 2" xfId="35233"/>
    <cellStyle name="Input 3 4 2 4 5 2" xfId="35234"/>
    <cellStyle name="Input 4 4 2 4 5 2" xfId="35235"/>
    <cellStyle name="Input 5 4 2 4 5 2" xfId="35236"/>
    <cellStyle name="Note 2 8 2 4 5 2" xfId="35237"/>
    <cellStyle name="Note 2 2 5 2 4 5 2" xfId="35238"/>
    <cellStyle name="Note 3 6 2 4 5 2" xfId="35239"/>
    <cellStyle name="Note 3 2 6 2 4 5 2" xfId="35240"/>
    <cellStyle name="Note 4 5 2 4 5 2" xfId="35241"/>
    <cellStyle name="Note 4 2 4 2 4 5 2" xfId="35242"/>
    <cellStyle name="Note 5 4 2 4 5 2" xfId="35243"/>
    <cellStyle name="Note 5 2 3 2 4 5 2" xfId="35244"/>
    <cellStyle name="Note 6 4 2 4 5 2" xfId="35245"/>
    <cellStyle name="Note 6 2 3 2 4 5 2" xfId="35246"/>
    <cellStyle name="Note 7 4 2 4 5 2" xfId="35247"/>
    <cellStyle name="Note 7 2 3 2 4 5 2" xfId="35248"/>
    <cellStyle name="Note 8 3 2 4 5 2" xfId="35249"/>
    <cellStyle name="Output 2 9 2 4 5 2" xfId="35250"/>
    <cellStyle name="Output 3 5 2 4 5 2" xfId="35251"/>
    <cellStyle name="Output 4 5 2 4 5 2" xfId="35252"/>
    <cellStyle name="Output 5 4 2 4 5 2" xfId="35253"/>
    <cellStyle name="Total 2 10 2 4 5 2" xfId="35254"/>
    <cellStyle name="Total 3 5 2 4 5 2" xfId="35255"/>
    <cellStyle name="Total 4 5 2 4 5 2" xfId="35256"/>
    <cellStyle name="Total 5 4 2 4 5 2" xfId="35257"/>
    <cellStyle name="Input 20 2 4 5 2" xfId="35258"/>
    <cellStyle name="Input 21 2 4 5 2" xfId="35259"/>
    <cellStyle name="Calculation 2 13 4 2" xfId="35260"/>
    <cellStyle name="Calculation 2 2 9 4 2" xfId="35261"/>
    <cellStyle name="Calculation 2 2 2 6 4 2" xfId="35262"/>
    <cellStyle name="Calculation 2 2 3 6 4 2" xfId="35263"/>
    <cellStyle name="Calculation 2 2 4 6 4 2" xfId="35264"/>
    <cellStyle name="Calculation 2 3 6 4 2" xfId="35265"/>
    <cellStyle name="Calculation 2 4 6 4 2" xfId="35266"/>
    <cellStyle name="Calculation 3 9 4 2" xfId="35267"/>
    <cellStyle name="Input 2 13 4 2" xfId="35268"/>
    <cellStyle name="Input 2 2 9 4 2" xfId="35269"/>
    <cellStyle name="Input 2 2 2 6 4 2" xfId="35270"/>
    <cellStyle name="Input 2 2 3 6 4 2" xfId="35271"/>
    <cellStyle name="Input 2 2 4 6 4 2" xfId="35272"/>
    <cellStyle name="Input 2 3 6 4 2" xfId="35273"/>
    <cellStyle name="Input 2 4 6 4 2" xfId="35274"/>
    <cellStyle name="Input 3 8 4 2" xfId="35275"/>
    <cellStyle name="Input 4 8 4 2" xfId="35276"/>
    <cellStyle name="Input 5 9 4 2" xfId="35277"/>
    <cellStyle name="Input 6 7 4 2" xfId="35278"/>
    <cellStyle name="Input 7 6 4 2" xfId="35279"/>
    <cellStyle name="Input 8 6 4 2" xfId="35280"/>
    <cellStyle name="Note 2 12 4 2" xfId="35281"/>
    <cellStyle name="Note 2 2 9 4 2" xfId="35282"/>
    <cellStyle name="Note 2 3 7 4 2" xfId="35283"/>
    <cellStyle name="Note 2 4 7 4 2" xfId="35284"/>
    <cellStyle name="Note 3 10 4 2" xfId="35285"/>
    <cellStyle name="Note 3 2 11 4 2" xfId="35286"/>
    <cellStyle name="Note 3 2 2 6 4 2" xfId="35287"/>
    <cellStyle name="Note 4 9 4 2" xfId="35288"/>
    <cellStyle name="Output 2 13 4 2" xfId="35289"/>
    <cellStyle name="Output 2 2 8 4 2" xfId="35290"/>
    <cellStyle name="Output 2 2 2 5 4 2" xfId="35291"/>
    <cellStyle name="Output 2 2 3 5 4 2" xfId="35292"/>
    <cellStyle name="Output 2 2 4 5 4 2" xfId="35293"/>
    <cellStyle name="Output 2 3 5 4 2" xfId="35294"/>
    <cellStyle name="Output 2 4 5 4 2" xfId="35295"/>
    <cellStyle name="Output 3 9 4 2" xfId="35296"/>
    <cellStyle name="StmtTtl2 5 4 2" xfId="35297"/>
    <cellStyle name="Total 2 14 4 2" xfId="35298"/>
    <cellStyle name="Total 2 2 8 4 2" xfId="35299"/>
    <cellStyle name="Total 2 2 2 5 4 2" xfId="35300"/>
    <cellStyle name="Total 2 2 3 5 4 2" xfId="35301"/>
    <cellStyle name="Total 2 2 4 5 4 2" xfId="35302"/>
    <cellStyle name="Total 2 3 5 4 2" xfId="35303"/>
    <cellStyle name="Total 2 4 5 4 2" xfId="35304"/>
    <cellStyle name="Total 2 5 5 4 2" xfId="35305"/>
    <cellStyle name="Total 3 9 4 2" xfId="35306"/>
    <cellStyle name="Calculation 2 5 5 4 2" xfId="35307"/>
    <cellStyle name="Input 2 5 5 4 2" xfId="35308"/>
    <cellStyle name="Input [yellow] 2 2 4 2" xfId="35309"/>
    <cellStyle name="Note 2 2 2 5 4 2" xfId="35310"/>
    <cellStyle name="Note 2 3 2 5 4 2" xfId="35311"/>
    <cellStyle name="Note 2 4 2 5 4 2" xfId="35312"/>
    <cellStyle name="Note 2 5 5 4 2" xfId="35313"/>
    <cellStyle name="Note 3 3 5 4 2" xfId="35314"/>
    <cellStyle name="Note 4 2 7 4 2" xfId="35315"/>
    <cellStyle name="Output 2 5 5 4 2" xfId="35316"/>
    <cellStyle name="Total 2 6 5 4 2" xfId="35317"/>
    <cellStyle name="Calculation 7 7 4 2" xfId="35318"/>
    <cellStyle name="Calculation 2 6 7 4 2" xfId="35319"/>
    <cellStyle name="Calculation 3 2 7 4 2" xfId="35320"/>
    <cellStyle name="Calculation 4 2 7 4 2" xfId="35321"/>
    <cellStyle name="Calculation 5 8 4 2" xfId="35322"/>
    <cellStyle name="Output 9 6 4 2" xfId="35323"/>
    <cellStyle name="Input 10 7 4 2" xfId="35324"/>
    <cellStyle name="Input 2 6 7 4 2" xfId="35325"/>
    <cellStyle name="Input 3 2 7 4 2" xfId="35326"/>
    <cellStyle name="Input 4 2 7 4 2" xfId="35327"/>
    <cellStyle name="Input 5 2 7 4 2" xfId="35328"/>
    <cellStyle name="Note 11 6 4 2" xfId="35329"/>
    <cellStyle name="Note 2 6 6 4 2" xfId="35330"/>
    <cellStyle name="Note 2 2 3 6 4 2" xfId="35331"/>
    <cellStyle name="Note 3 4 6 4 2" xfId="35332"/>
    <cellStyle name="Note 3 2 4 6 4 2" xfId="35333"/>
    <cellStyle name="Note 4 3 6 4 2" xfId="35334"/>
    <cellStyle name="Note 4 2 2 6 4 2" xfId="35335"/>
    <cellStyle name="Note 5 9 4 2" xfId="35336"/>
    <cellStyle name="Note 5 2 8 4 2" xfId="35337"/>
    <cellStyle name="Note 6 9 4 2" xfId="35338"/>
    <cellStyle name="Note 6 2 8 4 2" xfId="35339"/>
    <cellStyle name="Note 7 9 4 2" xfId="35340"/>
    <cellStyle name="Note 7 2 8 4 2" xfId="35341"/>
    <cellStyle name="Note 8 8 4 2" xfId="35342"/>
    <cellStyle name="Note 9 7 4 2" xfId="35343"/>
    <cellStyle name="Output 7 6 4 2" xfId="35344"/>
    <cellStyle name="Output 2 6 6 4 2" xfId="35345"/>
    <cellStyle name="Output 3 2 6 4 2" xfId="35346"/>
    <cellStyle name="Output 4 2 6 4 2" xfId="35347"/>
    <cellStyle name="Output 5 9 4 2" xfId="35348"/>
    <cellStyle name="Total 7 6 4 2" xfId="35349"/>
    <cellStyle name="Total 2 7 6 4 2" xfId="35350"/>
    <cellStyle name="Total 3 2 6 4 2" xfId="35351"/>
    <cellStyle name="Total 4 2 6 4 2" xfId="35352"/>
    <cellStyle name="Total 5 9 4 2" xfId="35353"/>
    <cellStyle name="Calculation 8 7 4 2" xfId="35354"/>
    <cellStyle name="Input 12 7 4 2" xfId="35355"/>
    <cellStyle name="Input 11 7 4 2" xfId="35356"/>
    <cellStyle name="Calculation 9 7 4 2" xfId="35357"/>
    <cellStyle name="Output 8 6 4 2" xfId="35358"/>
    <cellStyle name="Total 8 6 4 2" xfId="35359"/>
    <cellStyle name="Total 9 6 4 2" xfId="35360"/>
    <cellStyle name="Output 5 2 6 4 2" xfId="35361"/>
    <cellStyle name="Output 4 3 6 4 2" xfId="35362"/>
    <cellStyle name="Output 3 3 6 4 2" xfId="35363"/>
    <cellStyle name="Output 2 7 6 4 2" xfId="35364"/>
    <cellStyle name="Output 11 6 4 2" xfId="35365"/>
    <cellStyle name="Input 5 3 7 4 2" xfId="35366"/>
    <cellStyle name="Input 4 3 7 4 2" xfId="35367"/>
    <cellStyle name="Input 3 3 7 4 2" xfId="35368"/>
    <cellStyle name="Input 2 7 7 4 2" xfId="35369"/>
    <cellStyle name="Calculation 10 7 4 2" xfId="35370"/>
    <cellStyle name="Input 14 7 4 2" xfId="35371"/>
    <cellStyle name="Input 16 7 4 2" xfId="35372"/>
    <cellStyle name="Input 17 7 4 2" xfId="35373"/>
    <cellStyle name="Input 15 7 4 2" xfId="35374"/>
    <cellStyle name="Input 13 7 4 2" xfId="35375"/>
    <cellStyle name="Calculation 5 2 7 4 2" xfId="35376"/>
    <cellStyle name="Calculation 4 3 7 4 2" xfId="35377"/>
    <cellStyle name="Calculation 3 3 7 4 2" xfId="35378"/>
    <cellStyle name="Calculation 2 7 7 4 2" xfId="35379"/>
    <cellStyle name="Calculation 11 7 4 2" xfId="35380"/>
    <cellStyle name="Output 10 6 4 2" xfId="35381"/>
    <cellStyle name="Note 12 6 4 2" xfId="35382"/>
    <cellStyle name="Note 2 7 6 4 2" xfId="35383"/>
    <cellStyle name="Note 2 2 4 6 4 2" xfId="35384"/>
    <cellStyle name="Note 3 5 6 4 2" xfId="35385"/>
    <cellStyle name="Note 3 2 5 6 4 2" xfId="35386"/>
    <cellStyle name="Note 4 4 6 4 2" xfId="35387"/>
    <cellStyle name="Note 4 2 3 6 4 2" xfId="35388"/>
    <cellStyle name="Note 5 3 6 4 2" xfId="35389"/>
    <cellStyle name="Note 5 2 2 6 4 2" xfId="35390"/>
    <cellStyle name="Note 6 3 6 4 2" xfId="35391"/>
    <cellStyle name="Note 6 2 2 6 4 2" xfId="35392"/>
    <cellStyle name="Note 7 3 6 4 2" xfId="35393"/>
    <cellStyle name="Note 7 2 2 6 4 2" xfId="35394"/>
    <cellStyle name="Note 8 2 6 4 2" xfId="35395"/>
    <cellStyle name="Note 9 2 6 4 2" xfId="35396"/>
    <cellStyle name="Output 12 6 4 2" xfId="35397"/>
    <cellStyle name="Output 2 8 6 4 2" xfId="35398"/>
    <cellStyle name="Output 3 4 6 4 2" xfId="35399"/>
    <cellStyle name="Output 4 4 6 4 2" xfId="35400"/>
    <cellStyle name="Output 5 3 6 4 2" xfId="35401"/>
    <cellStyle name="Total 10 6 4 2" xfId="35402"/>
    <cellStyle name="Total 11 6 4 2" xfId="35403"/>
    <cellStyle name="Total 2 8 6 4 2" xfId="35404"/>
    <cellStyle name="Total 3 3 6 4 2" xfId="35405"/>
    <cellStyle name="Total 4 3 6 4 2" xfId="35406"/>
    <cellStyle name="Total 5 2 6 4 2" xfId="35407"/>
    <cellStyle name="Total 12 6 4 2" xfId="35408"/>
    <cellStyle name="Total 2 9 6 4 2" xfId="35409"/>
    <cellStyle name="Total 3 4 6 4 2" xfId="35410"/>
    <cellStyle name="Total 4 4 6 4 2" xfId="35411"/>
    <cellStyle name="Total 5 3 6 4 2" xfId="35412"/>
    <cellStyle name="Input 18 7 4 2" xfId="35413"/>
    <cellStyle name="Calculation 12 7 4 2" xfId="35414"/>
    <cellStyle name="Input 19 7 4 2" xfId="35415"/>
    <cellStyle name="Note 13 7 4 2" xfId="35416"/>
    <cellStyle name="Output 13 7 4 2" xfId="35417"/>
    <cellStyle name="Total 13 7 4 2" xfId="35418"/>
    <cellStyle name="Calculation 2 8 7 4 2" xfId="35419"/>
    <cellStyle name="Calculation 3 4 7 4 2" xfId="35420"/>
    <cellStyle name="Calculation 4 4 7 4 2" xfId="35421"/>
    <cellStyle name="Calculation 5 3 7 4 2" xfId="35422"/>
    <cellStyle name="Input 2 8 7 4 2" xfId="35423"/>
    <cellStyle name="Input 3 4 7 4 2" xfId="35424"/>
    <cellStyle name="Input 4 4 7 4 2" xfId="35425"/>
    <cellStyle name="Input 5 4 7 4 2" xfId="35426"/>
    <cellStyle name="Note 2 8 7 4 2" xfId="35427"/>
    <cellStyle name="Note 2 2 5 7 4 2" xfId="35428"/>
    <cellStyle name="Note 3 6 7 4 2" xfId="35429"/>
    <cellStyle name="Note 3 2 6 7 4 2" xfId="35430"/>
    <cellStyle name="Note 4 5 7 4 2" xfId="35431"/>
    <cellStyle name="Note 4 2 4 7 4 2" xfId="35432"/>
    <cellStyle name="Note 5 4 7 4 2" xfId="35433"/>
    <cellStyle name="Note 5 2 3 7 4 2" xfId="35434"/>
    <cellStyle name="Note 6 4 7 4 2" xfId="35435"/>
    <cellStyle name="Note 6 2 3 7 4 2" xfId="35436"/>
    <cellStyle name="Note 7 4 7 4 2" xfId="35437"/>
    <cellStyle name="Note 7 2 3 7 4 2" xfId="35438"/>
    <cellStyle name="Note 8 3 7 4 2" xfId="35439"/>
    <cellStyle name="Output 2 9 7 4 2" xfId="35440"/>
    <cellStyle name="Output 3 5 7 4 2" xfId="35441"/>
    <cellStyle name="Output 4 5 7 4 2" xfId="35442"/>
    <cellStyle name="Output 5 4 7 4 2" xfId="35443"/>
    <cellStyle name="Total 2 10 7 4 2" xfId="35444"/>
    <cellStyle name="Total 3 5 7 4 2" xfId="35445"/>
    <cellStyle name="Total 4 5 7 4 2" xfId="35446"/>
    <cellStyle name="Total 5 4 7 4 2" xfId="35447"/>
    <cellStyle name="Input 20 7 4 2" xfId="35448"/>
    <cellStyle name="Input 21 7 4 2" xfId="35449"/>
    <cellStyle name="Note 6 7 2 4 2" xfId="35450"/>
    <cellStyle name="Note 5 7 2 4 2" xfId="35451"/>
    <cellStyle name="Note 4 3 4 2 4 2" xfId="35452"/>
    <cellStyle name="Note 3 4 4 2 4 2" xfId="35453"/>
    <cellStyle name="Note 2 6 4 2 4 2" xfId="35454"/>
    <cellStyle name="Input 5 2 4 2 4 2" xfId="35455"/>
    <cellStyle name="Input 4 2 4 2 4 2" xfId="35456"/>
    <cellStyle name="Input 3 2 4 2 4 2" xfId="35457"/>
    <cellStyle name="Calculation 5 6 2 4 2" xfId="35458"/>
    <cellStyle name="Calculation 4 2 4 2 4 2" xfId="35459"/>
    <cellStyle name="Calculation 3 2 4 2 4 2" xfId="35460"/>
    <cellStyle name="Calculation 2 6 4 2 4 2" xfId="35461"/>
    <cellStyle name="Calculation 7 4 2 4 2" xfId="35462"/>
    <cellStyle name="Calculation 3 2 5 2 4 2" xfId="35463"/>
    <cellStyle name="Calculation 4 2 5 2 4 2" xfId="35464"/>
    <cellStyle name="Input 10 5 2 4 2" xfId="35465"/>
    <cellStyle name="Calculation 8 5 2 4 2" xfId="35466"/>
    <cellStyle name="Input 16 5 2 4 2" xfId="35467"/>
    <cellStyle name="Total 13 5 2 4 2" xfId="35468"/>
    <cellStyle name="Calculation 3 4 5 2 4 2" xfId="35469"/>
    <cellStyle name="Calculation 2 9 3 2 4 2" xfId="35470"/>
    <cellStyle name="Calculation 2 2 5 3 2 4 2" xfId="35471"/>
    <cellStyle name="Calculation 2 2 3 2 3 2 4 2" xfId="35472"/>
    <cellStyle name="Calculation 2 3 2 3 2 4 2" xfId="35473"/>
    <cellStyle name="Total 2 4 3 3 2 4 2" xfId="35474"/>
    <cellStyle name="Calculation 2 11 3 4 2" xfId="35475"/>
    <cellStyle name="Calculation 2 2 7 3 4 2" xfId="35476"/>
    <cellStyle name="Calculation 2 2 2 4 3 4 2" xfId="35477"/>
    <cellStyle name="Calculation 2 2 3 4 3 4 2" xfId="35478"/>
    <cellStyle name="Calculation 2 2 4 4 3 4 2" xfId="35479"/>
    <cellStyle name="Calculation 2 3 4 3 4 2" xfId="35480"/>
    <cellStyle name="Calculation 2 4 4 3 4 2" xfId="35481"/>
    <cellStyle name="Calculation 3 7 3 4 2" xfId="35482"/>
    <cellStyle name="Header2 3 3 4 2" xfId="35483"/>
    <cellStyle name="Input 2 11 3 4 2" xfId="35484"/>
    <cellStyle name="Input 2 2 7 3 4 2" xfId="35485"/>
    <cellStyle name="Input 2 2 2 4 3 4 2" xfId="35486"/>
    <cellStyle name="Input 2 2 3 4 3 4 2" xfId="35487"/>
    <cellStyle name="Input 2 2 4 4 3 4 2" xfId="35488"/>
    <cellStyle name="Input 2 3 4 3 4 2" xfId="35489"/>
    <cellStyle name="Input 2 4 4 3 4 2" xfId="35490"/>
    <cellStyle name="Input 5 7 3 4 2" xfId="35491"/>
    <cellStyle name="Input 6 5 3 4 2" xfId="35492"/>
    <cellStyle name="Input 7 4 3 4 2" xfId="35493"/>
    <cellStyle name="Input 8 4 3 4 2" xfId="35494"/>
    <cellStyle name="Calculation 5 2 5 2 4 2" xfId="35495"/>
    <cellStyle name="Input 18 5 2 4 2" xfId="35496"/>
    <cellStyle name="Calculation 3 5 3 2 4 2" xfId="35497"/>
    <cellStyle name="Input 7 2 3 2 4 2" xfId="35498"/>
    <cellStyle name="Note 2 3 5 3 4 2" xfId="35499"/>
    <cellStyle name="Note 2 4 5 3 4 2" xfId="35500"/>
    <cellStyle name="Note 3 2 9 3 4 2" xfId="35501"/>
    <cellStyle name="Note 3 2 2 4 3 4 2" xfId="35502"/>
    <cellStyle name="Output 2 12 3 4 2" xfId="35503"/>
    <cellStyle name="Output 2 2 7 3 4 2" xfId="35504"/>
    <cellStyle name="Output 2 2 2 4 3 4 2" xfId="35505"/>
    <cellStyle name="Output 2 2 3 4 3 4 2" xfId="35506"/>
    <cellStyle name="Output 2 2 4 4 3 4 2" xfId="35507"/>
    <cellStyle name="Output 2 3 4 3 4 2" xfId="35508"/>
    <cellStyle name="Output 2 4 4 3 4 2" xfId="35509"/>
    <cellStyle name="Output 3 8 3 4 2" xfId="35510"/>
    <cellStyle name="Header2 4 3 4 2" xfId="35511"/>
    <cellStyle name="Calculation 7 5 2 4 2" xfId="35512"/>
    <cellStyle name="Input 2 6 5 2 4 2" xfId="35513"/>
    <cellStyle name="Input 11 5 2 4 2" xfId="35514"/>
    <cellStyle name="Input 17 5 2 4 2" xfId="35515"/>
    <cellStyle name="Calculation 11 5 2 4 2" xfId="35516"/>
    <cellStyle name="Input 5 4 5 2 4 2" xfId="35517"/>
    <cellStyle name="Note 2 8 5 2 4 2" xfId="35518"/>
    <cellStyle name="Note 3 6 5 2 4 2" xfId="35519"/>
    <cellStyle name="StmtTtl2 4 3 4 2" xfId="35520"/>
    <cellStyle name="Input 21 5 2 4 2" xfId="35521"/>
    <cellStyle name="Calculation 2 2 4 2 3 2 4 2" xfId="35522"/>
    <cellStyle name="Calculation 2 4 2 3 2 4 2" xfId="35523"/>
    <cellStyle name="Header2 2 3 2 4 2" xfId="35524"/>
    <cellStyle name="Input 2 5 3 3 2 4 2" xfId="35525"/>
    <cellStyle name="Input 2 2 2 2 3 2 4 2" xfId="35526"/>
    <cellStyle name="Input 2 2 3 2 3 2 4 2" xfId="35527"/>
    <cellStyle name="Input 2 3 2 3 2 4 2" xfId="35528"/>
    <cellStyle name="Input 2 4 2 3 2 4 2" xfId="35529"/>
    <cellStyle name="Input 2 5 2 3 2 4 2" xfId="35530"/>
    <cellStyle name="Input 3 5 3 2 4 2" xfId="35531"/>
    <cellStyle name="Total 2 13 3 4 2" xfId="35532"/>
    <cellStyle name="Total 2 2 7 3 4 2" xfId="35533"/>
    <cellStyle name="Total 2 2 2 4 3 4 2" xfId="35534"/>
    <cellStyle name="Total 2 2 3 4 3 4 2" xfId="35535"/>
    <cellStyle name="Total 2 2 4 4 3 4 2" xfId="35536"/>
    <cellStyle name="Total 2 3 4 3 4 2" xfId="35537"/>
    <cellStyle name="Total 2 4 4 3 4 2" xfId="35538"/>
    <cellStyle name="Total 2 5 4 3 4 2" xfId="35539"/>
    <cellStyle name="Total 3 8 3 4 2" xfId="35540"/>
    <cellStyle name="Input 4 5 3 2 4 2" xfId="35541"/>
    <cellStyle name="Input 8 2 3 2 4 2" xfId="35542"/>
    <cellStyle name="Total 2 2 4 3 3 2 4 2" xfId="35543"/>
    <cellStyle name="Total 2 2 3 3 3 2 4 2" xfId="35544"/>
    <cellStyle name="Note 3 2 4 4 2 4 2" xfId="35545"/>
    <cellStyle name="Note 11 4 2 4 2" xfId="35546"/>
    <cellStyle name="Input 2 6 4 2 4 2" xfId="35547"/>
    <cellStyle name="Input 3 2 5 2 4 2" xfId="35548"/>
    <cellStyle name="Note 4 2 6 3 2 4 2" xfId="35549"/>
    <cellStyle name="Calculation 2 5 4 2 4 2" xfId="35550"/>
    <cellStyle name="Input 2 5 4 2 4 2" xfId="35551"/>
    <cellStyle name="Total 3 5 5 2 4 2" xfId="35552"/>
    <cellStyle name="Input 2 2 5 3 2 4 2" xfId="35553"/>
    <cellStyle name="Input 5 5 3 2 4 2" xfId="35554"/>
    <cellStyle name="Total 2 12 3 2 4 2" xfId="35555"/>
    <cellStyle name="Note 2 2 2 4 2 4 2" xfId="35556"/>
    <cellStyle name="Note 2 3 2 4 2 4 2" xfId="35557"/>
    <cellStyle name="Note 2 4 2 4 2 4 2" xfId="35558"/>
    <cellStyle name="Note 2 5 4 2 4 2" xfId="35559"/>
    <cellStyle name="Note 3 3 4 2 4 2" xfId="35560"/>
    <cellStyle name="Output 2 5 4 2 4 2" xfId="35561"/>
    <cellStyle name="Calculation 2 6 5 2 4 2" xfId="35562"/>
    <cellStyle name="Input 4 2 5 2 4 2" xfId="35563"/>
    <cellStyle name="Input 5 2 5 2 4 2" xfId="35564"/>
    <cellStyle name="Calculation 9 5 2 4 2" xfId="35565"/>
    <cellStyle name="Note 2 2 5 5 2 4 2" xfId="35566"/>
    <cellStyle name="Input 20 5 2 4 2" xfId="35567"/>
    <cellStyle name="Input 2 2 4 2 3 2 4 2" xfId="35568"/>
    <cellStyle name="Total 2 6 4 2 4 2" xfId="35569"/>
    <cellStyle name="Note 5 2 6 2 4 2" xfId="35570"/>
    <cellStyle name="Note 4 2 2 4 2 4 2" xfId="35571"/>
    <cellStyle name="Note 2 2 3 4 2 4 2" xfId="35572"/>
    <cellStyle name="Output 9 4 2 4 2" xfId="35573"/>
    <cellStyle name="Note 8 3 5 2 4 2" xfId="35574"/>
    <cellStyle name="Output 2 9 5 2 4 2" xfId="35575"/>
    <cellStyle name="Output 4 5 5 2 4 2" xfId="35576"/>
    <cellStyle name="Calculation 2 5 3 3 2 4 2" xfId="35577"/>
    <cellStyle name="Calculation 7 3 2 4 2" xfId="35578"/>
    <cellStyle name="Calculation 2 6 3 2 4 2" xfId="35579"/>
    <cellStyle name="Calculation 3 2 3 2 4 2" xfId="35580"/>
    <cellStyle name="Calculation 4 2 3 2 4 2" xfId="35581"/>
    <cellStyle name="Calculation 5 5 2 4 2" xfId="35582"/>
    <cellStyle name="Output 9 3 2 4 2" xfId="35583"/>
    <cellStyle name="Note 5 4 5 2 4 2" xfId="35584"/>
    <cellStyle name="Input 10 3 3 4 2" xfId="35585"/>
    <cellStyle name="Input 2 6 3 2 4 2" xfId="35586"/>
    <cellStyle name="Input 3 2 3 2 4 2" xfId="35587"/>
    <cellStyle name="Input 4 2 3 2 4 2" xfId="35588"/>
    <cellStyle name="Input 5 2 3 2 4 2" xfId="35589"/>
    <cellStyle name="Note 11 3 2 4 2" xfId="35590"/>
    <cellStyle name="Note 2 6 3 2 4 2" xfId="35591"/>
    <cellStyle name="Note 2 2 3 3 2 4 2" xfId="35592"/>
    <cellStyle name="Note 3 4 3 2 4 2" xfId="35593"/>
    <cellStyle name="Note 3 2 4 3 2 4 2" xfId="35594"/>
    <cellStyle name="Note 4 3 3 2 4 2" xfId="35595"/>
    <cellStyle name="Note 4 2 2 3 2 4 2" xfId="35596"/>
    <cellStyle name="Note 5 6 2 4 2" xfId="35597"/>
    <cellStyle name="Note 5 2 5 2 4 2" xfId="35598"/>
    <cellStyle name="Note 6 6 2 4 2" xfId="35599"/>
    <cellStyle name="Note 6 2 5 2 4 2" xfId="35600"/>
    <cellStyle name="Note 7 6 2 4 2" xfId="35601"/>
    <cellStyle name="Note 7 2 5 2 4 2" xfId="35602"/>
    <cellStyle name="Note 8 5 2 4 2" xfId="35603"/>
    <cellStyle name="Note 9 4 2 4 2" xfId="35604"/>
    <cellStyle name="Output 7 3 2 4 2" xfId="35605"/>
    <cellStyle name="Output 2 6 3 2 4 2" xfId="35606"/>
    <cellStyle name="Output 3 2 3 2 4 2" xfId="35607"/>
    <cellStyle name="Output 4 2 3 2 4 2" xfId="35608"/>
    <cellStyle name="Output 5 6 2 4 2" xfId="35609"/>
    <cellStyle name="Input 15 5 2 4 2" xfId="35610"/>
    <cellStyle name="Input 13 5 2 4 2" xfId="35611"/>
    <cellStyle name="Calculation 4 3 5 2 4 2" xfId="35612"/>
    <cellStyle name="Calculation 3 3 5 2 4 2" xfId="35613"/>
    <cellStyle name="Calculation 2 7 5 2 4 2" xfId="35614"/>
    <cellStyle name="Calculation 2 8 5 2 4 2" xfId="35615"/>
    <cellStyle name="Input 2 8 5 2 4 2" xfId="35616"/>
    <cellStyle name="Output 5 4 5 2 4 2" xfId="35617"/>
    <cellStyle name="Total 2 10 5 2 4 2" xfId="35618"/>
    <cellStyle name="Total 4 5 5 2 4 2" xfId="35619"/>
    <cellStyle name="Total 5 4 5 2 4 2" xfId="35620"/>
    <cellStyle name="Calculation 2 5 2 3 2 4 2" xfId="35621"/>
    <cellStyle name="Total 7 3 2 4 2" xfId="35622"/>
    <cellStyle name="Total 2 7 3 2 4 2" xfId="35623"/>
    <cellStyle name="Total 3 2 3 2 4 2" xfId="35624"/>
    <cellStyle name="Total 4 2 3 2 4 2" xfId="35625"/>
    <cellStyle name="Total 5 6 2 4 2" xfId="35626"/>
    <cellStyle name="Input 6 3 3 2 4 2" xfId="35627"/>
    <cellStyle name="Calculation 8 3 2 4 2" xfId="35628"/>
    <cellStyle name="Input 12 3 2 4 2" xfId="35629"/>
    <cellStyle name="Input 11 3 2 4 2" xfId="35630"/>
    <cellStyle name="Calculation 9 3 2 4 2" xfId="35631"/>
    <cellStyle name="Output 8 3 2 4 2" xfId="35632"/>
    <cellStyle name="Total 8 3 2 4 2" xfId="35633"/>
    <cellStyle name="Total 9 3 2 4 2" xfId="35634"/>
    <cellStyle name="Input 10 4 2 4 2" xfId="35635"/>
    <cellStyle name="Output 5 2 3 2 4 2" xfId="35636"/>
    <cellStyle name="Output 4 3 3 2 4 2" xfId="35637"/>
    <cellStyle name="Output 3 3 3 2 4 2" xfId="35638"/>
    <cellStyle name="Output 2 7 3 2 4 2" xfId="35639"/>
    <cellStyle name="Output 11 3 2 4 2" xfId="35640"/>
    <cellStyle name="Input 5 3 3 2 4 2" xfId="35641"/>
    <cellStyle name="Input 4 3 3 2 4 2" xfId="35642"/>
    <cellStyle name="Input 3 3 3 2 4 2" xfId="35643"/>
    <cellStyle name="Input 2 7 3 2 4 2" xfId="35644"/>
    <cellStyle name="Calculation 10 3 2 4 2" xfId="35645"/>
    <cellStyle name="Input 14 3 2 4 2" xfId="35646"/>
    <cellStyle name="Input 16 3 2 4 2" xfId="35647"/>
    <cellStyle name="Input 17 3 2 4 2" xfId="35648"/>
    <cellStyle name="Input 15 3 2 4 2" xfId="35649"/>
    <cellStyle name="Input 13 3 2 4 2" xfId="35650"/>
    <cellStyle name="Calculation 5 2 3 2 4 2" xfId="35651"/>
    <cellStyle name="Calculation 4 3 3 2 4 2" xfId="35652"/>
    <cellStyle name="Calculation 3 3 3 2 4 2" xfId="35653"/>
    <cellStyle name="Calculation 2 7 3 2 4 2" xfId="35654"/>
    <cellStyle name="Calculation 11 3 2 4 2" xfId="35655"/>
    <cellStyle name="Output 10 3 2 4 2" xfId="35656"/>
    <cellStyle name="Note 12 3 2 4 2" xfId="35657"/>
    <cellStyle name="Note 2 7 3 2 4 2" xfId="35658"/>
    <cellStyle name="Note 2 2 4 3 2 4 2" xfId="35659"/>
    <cellStyle name="Note 3 5 3 2 4 2" xfId="35660"/>
    <cellStyle name="Note 3 2 5 3 2 4 2" xfId="35661"/>
    <cellStyle name="Note 4 4 3 2 4 2" xfId="35662"/>
    <cellStyle name="Note 4 2 3 3 2 4 2" xfId="35663"/>
    <cellStyle name="Note 5 3 3 2 4 2" xfId="35664"/>
    <cellStyle name="Note 5 2 2 3 2 4 2" xfId="35665"/>
    <cellStyle name="Note 6 3 3 2 4 2" xfId="35666"/>
    <cellStyle name="Note 6 2 2 3 2 4 2" xfId="35667"/>
    <cellStyle name="Note 7 3 3 2 4 2" xfId="35668"/>
    <cellStyle name="Note 7 2 2 3 2 4 2" xfId="35669"/>
    <cellStyle name="Note 8 2 3 2 4 2" xfId="35670"/>
    <cellStyle name="Note 9 2 3 2 4 2" xfId="35671"/>
    <cellStyle name="Output 12 3 2 4 2" xfId="35672"/>
    <cellStyle name="Output 2 8 3 2 4 2" xfId="35673"/>
    <cellStyle name="Output 3 4 3 2 4 2" xfId="35674"/>
    <cellStyle name="Output 4 4 3 2 4 2" xfId="35675"/>
    <cellStyle name="Output 5 3 3 2 4 2" xfId="35676"/>
    <cellStyle name="Total 10 3 2 4 2" xfId="35677"/>
    <cellStyle name="Total 11 3 2 4 2" xfId="35678"/>
    <cellStyle name="Total 2 8 3 2 4 2" xfId="35679"/>
    <cellStyle name="Total 3 3 3 2 4 2" xfId="35680"/>
    <cellStyle name="Total 4 3 3 2 4 2" xfId="35681"/>
    <cellStyle name="Total 5 2 3 2 4 2" xfId="35682"/>
    <cellStyle name="Total 12 3 2 4 2" xfId="35683"/>
    <cellStyle name="Total 2 9 3 2 4 2" xfId="35684"/>
    <cellStyle name="Total 3 4 3 2 4 2" xfId="35685"/>
    <cellStyle name="Total 4 4 3 2 4 2" xfId="35686"/>
    <cellStyle name="Total 5 3 3 2 4 2" xfId="35687"/>
    <cellStyle name="Input 18 3 2 4 2" xfId="35688"/>
    <cellStyle name="Calculation 12 3 2 4 2" xfId="35689"/>
    <cellStyle name="Input 19 3 2 4 2" xfId="35690"/>
    <cellStyle name="Note 13 3 2 4 2" xfId="35691"/>
    <cellStyle name="Output 13 3 2 4 2" xfId="35692"/>
    <cellStyle name="Total 13 3 2 4 2" xfId="35693"/>
    <cellStyle name="Calculation 2 8 3 2 4 2" xfId="35694"/>
    <cellStyle name="Calculation 3 4 3 2 4 2" xfId="35695"/>
    <cellStyle name="Calculation 4 4 3 2 4 2" xfId="35696"/>
    <cellStyle name="Calculation 5 3 3 2 4 2" xfId="35697"/>
    <cellStyle name="Input 2 8 3 2 4 2" xfId="35698"/>
    <cellStyle name="Input 3 4 3 2 4 2" xfId="35699"/>
    <cellStyle name="Input 4 4 3 2 4 2" xfId="35700"/>
    <cellStyle name="Input 5 4 3 2 4 2" xfId="35701"/>
    <cellStyle name="Note 2 8 3 2 4 2" xfId="35702"/>
    <cellStyle name="Note 2 2 5 3 2 4 2" xfId="35703"/>
    <cellStyle name="Note 3 6 3 2 4 2" xfId="35704"/>
    <cellStyle name="Note 3 2 6 3 2 4 2" xfId="35705"/>
    <cellStyle name="Note 4 5 3 2 4 2" xfId="35706"/>
    <cellStyle name="Note 4 2 4 3 2 4 2" xfId="35707"/>
    <cellStyle name="Note 5 4 3 2 4 2" xfId="35708"/>
    <cellStyle name="Note 5 2 3 3 2 4 2" xfId="35709"/>
    <cellStyle name="Note 6 4 3 2 4 2" xfId="35710"/>
    <cellStyle name="Note 6 2 3 3 2 4 2" xfId="35711"/>
    <cellStyle name="Note 7 4 3 2 4 2" xfId="35712"/>
    <cellStyle name="Note 7 2 3 3 2 4 2" xfId="35713"/>
    <cellStyle name="Note 8 3 3 2 4 2" xfId="35714"/>
    <cellStyle name="Output 2 9 3 2 4 2" xfId="35715"/>
    <cellStyle name="Output 3 5 3 2 4 2" xfId="35716"/>
    <cellStyle name="Output 4 5 3 2 4 2" xfId="35717"/>
    <cellStyle name="Output 5 4 3 2 4 2" xfId="35718"/>
    <cellStyle name="Total 2 10 3 2 4 2" xfId="35719"/>
    <cellStyle name="Total 3 5 3 2 4 2" xfId="35720"/>
    <cellStyle name="Total 4 5 3 2 4 2" xfId="35721"/>
    <cellStyle name="Total 5 4 3 2 4 2" xfId="35722"/>
    <cellStyle name="Input 20 3 2 4 2" xfId="35723"/>
    <cellStyle name="Input 4 4 5 2 4 2" xfId="35724"/>
    <cellStyle name="Calculation 5 3 5 2 4 2" xfId="35725"/>
    <cellStyle name="Calculation 4 4 5 2 4 2" xfId="35726"/>
    <cellStyle name="Input 3 4 5 2 4 2" xfId="35727"/>
    <cellStyle name="Input 21 3 2 4 2" xfId="35728"/>
    <cellStyle name="Note 4 2 6 5 4 2" xfId="35729"/>
    <cellStyle name="Note 3 3 3 5 4 2" xfId="35730"/>
    <cellStyle name="Note 2 5 3 5 4 2" xfId="35731"/>
    <cellStyle name="Note 2 4 2 3 5 4 2" xfId="35732"/>
    <cellStyle name="Note 2 3 2 3 5 4 2" xfId="35733"/>
    <cellStyle name="Note 2 2 2 3 5 4 2" xfId="35734"/>
    <cellStyle name="Calculation 2 9 5 4 2" xfId="35735"/>
    <cellStyle name="Calculation 2 2 5 5 4 2" xfId="35736"/>
    <cellStyle name="Calculation 2 2 2 2 5 4 2" xfId="35737"/>
    <cellStyle name="Calculation 2 2 3 2 5 4 2" xfId="35738"/>
    <cellStyle name="Calculation 2 2 4 2 5 4 2" xfId="35739"/>
    <cellStyle name="Calculation 2 3 2 5 4 2" xfId="35740"/>
    <cellStyle name="Calculation 2 4 2 5 4 2" xfId="35741"/>
    <cellStyle name="Calculation 2 5 2 5 4 2" xfId="35742"/>
    <cellStyle name="Calculation 3 5 5 4 2" xfId="35743"/>
    <cellStyle name="Header2 2 5 4 2" xfId="35744"/>
    <cellStyle name="Input 2 5 3 5 4 2" xfId="35745"/>
    <cellStyle name="Input 2 9 5 4 2" xfId="35746"/>
    <cellStyle name="Input 2 2 5 5 4 2" xfId="35747"/>
    <cellStyle name="Input 2 2 2 2 5 4 2" xfId="35748"/>
    <cellStyle name="Input 2 2 3 2 5 4 2" xfId="35749"/>
    <cellStyle name="Input 2 2 4 2 5 4 2" xfId="35750"/>
    <cellStyle name="Input 2 3 2 5 4 2" xfId="35751"/>
    <cellStyle name="Input 2 4 2 5 4 2" xfId="35752"/>
    <cellStyle name="Input 2 5 2 5 4 2" xfId="35753"/>
    <cellStyle name="Input 3 5 5 4 2" xfId="35754"/>
    <cellStyle name="Input 4 5 5 4 2" xfId="35755"/>
    <cellStyle name="Input 5 5 5 4 2" xfId="35756"/>
    <cellStyle name="Input 6 3 5 4 2" xfId="35757"/>
    <cellStyle name="Input 7 2 5 4 2" xfId="35758"/>
    <cellStyle name="Input 8 2 5 4 2" xfId="35759"/>
    <cellStyle name="Calculation 2 5 3 5 4 2" xfId="35760"/>
    <cellStyle name="Total 2 4 3 5 4 2" xfId="35761"/>
    <cellStyle name="Total 2 2 4 3 5 4 2" xfId="35762"/>
    <cellStyle name="Total 2 2 3 3 5 4 2" xfId="35763"/>
    <cellStyle name="Total 2 12 5 4 2" xfId="35764"/>
    <cellStyle name="Note 2 9 5 4 2" xfId="35765"/>
    <cellStyle name="Note 2 2 6 5 4 2" xfId="35766"/>
    <cellStyle name="Note 2 3 3 5 4 2" xfId="35767"/>
    <cellStyle name="Note 2 4 3 5 4 2" xfId="35768"/>
    <cellStyle name="Note 3 7 5 4 2" xfId="35769"/>
    <cellStyle name="Note 3 2 7 5 4 2" xfId="35770"/>
    <cellStyle name="Output 2 10 5 4 2" xfId="35771"/>
    <cellStyle name="Output 2 2 5 5 4 2" xfId="35772"/>
    <cellStyle name="Output 2 2 2 2 5 4 2" xfId="35773"/>
    <cellStyle name="Output 2 2 3 2 5 4 2" xfId="35774"/>
    <cellStyle name="Output 2 2 4 2 5 4 2" xfId="35775"/>
    <cellStyle name="Output 2 3 2 5 4 2" xfId="35776"/>
    <cellStyle name="Output 2 4 2 5 4 2" xfId="35777"/>
    <cellStyle name="Output 2 5 2 5 4 2" xfId="35778"/>
    <cellStyle name="Output 3 6 5 4 2" xfId="35779"/>
    <cellStyle name="Input 7 3 5 4 2" xfId="35780"/>
    <cellStyle name="Input 5 6 5 4 2" xfId="35781"/>
    <cellStyle name="Input 3 6 5 4 2" xfId="35782"/>
    <cellStyle name="Input 2 4 3 5 4 2" xfId="35783"/>
    <cellStyle name="Input 2 2 4 3 5 4 2" xfId="35784"/>
    <cellStyle name="Input 2 2 2 3 5 4 2" xfId="35785"/>
    <cellStyle name="Input 2 10 5 4 2" xfId="35786"/>
    <cellStyle name="Calculation 3 6 5 4 2" xfId="35787"/>
    <cellStyle name="Calculation 2 4 3 5 4 2" xfId="35788"/>
    <cellStyle name="Calculation 2 2 4 3 5 4 2" xfId="35789"/>
    <cellStyle name="Calculation 2 2 2 3 5 4 2" xfId="35790"/>
    <cellStyle name="Calculation 2 10 5 4 2" xfId="35791"/>
    <cellStyle name="StmtTtl2 2 5 4 2" xfId="35792"/>
    <cellStyle name="Total 2 11 5 4 2" xfId="35793"/>
    <cellStyle name="Total 2 2 5 5 4 2" xfId="35794"/>
    <cellStyle name="Total 2 2 2 2 5 4 2" xfId="35795"/>
    <cellStyle name="Total 2 2 3 2 5 4 2" xfId="35796"/>
    <cellStyle name="Total 2 2 4 2 5 4 2" xfId="35797"/>
    <cellStyle name="Total 2 3 2 5 4 2" xfId="35798"/>
    <cellStyle name="Total 2 4 2 5 4 2" xfId="35799"/>
    <cellStyle name="Total 2 5 2 5 4 2" xfId="35800"/>
    <cellStyle name="Total 2 6 2 5 4 2" xfId="35801"/>
    <cellStyle name="Total 3 6 5 4 2" xfId="35802"/>
    <cellStyle name="Output 2 5 3 5 4 2" xfId="35803"/>
    <cellStyle name="Output 2 3 3 5 4 2" xfId="35804"/>
    <cellStyle name="Output 2 2 3 3 5 4 2" xfId="35805"/>
    <cellStyle name="Output 2 2 6 5 4 2" xfId="35806"/>
    <cellStyle name="Note 4 7 5 4 2" xfId="35807"/>
    <cellStyle name="Note 3 2 2 3 5 4 2" xfId="35808"/>
    <cellStyle name="Note 3 8 5 4 2" xfId="35809"/>
    <cellStyle name="Note 2 4 4 5 4 2" xfId="35810"/>
    <cellStyle name="Note 2 2 7 5 4 2" xfId="35811"/>
    <cellStyle name="Note 3 2 2 2 5 4 2" xfId="35812"/>
    <cellStyle name="Note 4 6 5 4 2" xfId="35813"/>
    <cellStyle name="Total 3 7 5 4 2" xfId="35814"/>
    <cellStyle name="Total 2 5 3 5 4 2" xfId="35815"/>
    <cellStyle name="Total 2 3 3 5 4 2" xfId="35816"/>
    <cellStyle name="Total 2 2 6 5 4 2" xfId="35817"/>
    <cellStyle name="Total 2 2 2 3 5 4 2" xfId="35818"/>
    <cellStyle name="StmtTtl2 3 5 4 2" xfId="35819"/>
    <cellStyle name="Output 3 7 5 4 2" xfId="35820"/>
    <cellStyle name="Note 2 5 2 5 4 2" xfId="35821"/>
    <cellStyle name="Note 2 2 2 2 5 4 2" xfId="35822"/>
    <cellStyle name="Note 2 3 2 2 5 4 2" xfId="35823"/>
    <cellStyle name="Note 2 4 2 2 5 4 2" xfId="35824"/>
    <cellStyle name="Note 3 3 2 5 4 2" xfId="35825"/>
    <cellStyle name="Input 8 3 5 4 2" xfId="35826"/>
    <cellStyle name="Input 6 4 5 4 2" xfId="35827"/>
    <cellStyle name="Input 4 6 5 4 2" xfId="35828"/>
    <cellStyle name="Input 2 3 3 5 4 2" xfId="35829"/>
    <cellStyle name="Input 2 2 3 3 5 4 2" xfId="35830"/>
    <cellStyle name="Input 2 2 6 5 4 2" xfId="35831"/>
    <cellStyle name="Calculation 2 3 3 5 4 2" xfId="35832"/>
    <cellStyle name="Calculation 2 2 3 3 5 4 2" xfId="35833"/>
    <cellStyle name="Calculation 2 2 6 5 4 2" xfId="35834"/>
    <cellStyle name="Output 2 4 3 5 4 2" xfId="35835"/>
    <cellStyle name="Output 2 2 4 3 5 4 2" xfId="35836"/>
    <cellStyle name="Output 2 2 2 3 5 4 2" xfId="35837"/>
    <cellStyle name="Output 2 11 5 4 2" xfId="35838"/>
    <cellStyle name="Note 3 2 8 5 4 2" xfId="35839"/>
    <cellStyle name="Note 2 3 4 5 4 2" xfId="35840"/>
    <cellStyle name="Note 2 10 5 4 2" xfId="35841"/>
    <cellStyle name="Note 4 2 5 5 4 2" xfId="35842"/>
    <cellStyle name="Style 21 6 4 2" xfId="35843"/>
    <cellStyle name="Style 21 2 6 4 2" xfId="35844"/>
    <cellStyle name="Style 22 6 4 2" xfId="35845"/>
    <cellStyle name="Style 22 2 6 4 2" xfId="35846"/>
    <cellStyle name="Style 23 6 4 2" xfId="35847"/>
    <cellStyle name="Style 23 2 6 4 2" xfId="35848"/>
    <cellStyle name="Style 24 6 4 2" xfId="35849"/>
    <cellStyle name="Style 24 2 6 4 2" xfId="35850"/>
    <cellStyle name="Style 25 6 4 2" xfId="35851"/>
    <cellStyle name="Style 25 2 6 4 2" xfId="35852"/>
    <cellStyle name="Style 26 6 4 2" xfId="35853"/>
    <cellStyle name="Style 26 2 6 4 2" xfId="35854"/>
    <cellStyle name="styleColumnTitles 6 4 2" xfId="35855"/>
    <cellStyle name="styleColumnTitles 2 6 4 2" xfId="35856"/>
    <cellStyle name="styleDateRange 6 4 2" xfId="35857"/>
    <cellStyle name="styleDateRange 2 6 4 2" xfId="35858"/>
    <cellStyle name="styleSeriesAttributes 6 4 2" xfId="35859"/>
    <cellStyle name="styleSeriesAttributes 2 6 4 2" xfId="35860"/>
    <cellStyle name="styleSeriesData 6 4 2" xfId="35861"/>
    <cellStyle name="styleSeriesData 2 6 4 2" xfId="35862"/>
    <cellStyle name="styleSeriesDataForecast 6 4 2" xfId="35863"/>
    <cellStyle name="styleSeriesDataForecast 2 6 4 2" xfId="35864"/>
    <cellStyle name="styleSeriesDataForecastNA 6 4 2" xfId="35865"/>
    <cellStyle name="styleSeriesDataForecastNA 2 6 4 2" xfId="35866"/>
    <cellStyle name="styleSeriesDataNA 6 4 2" xfId="35867"/>
    <cellStyle name="styleSeriesDataNA 2 6 4 2" xfId="35868"/>
    <cellStyle name="Style 21 2 2 5 4 2" xfId="35869"/>
    <cellStyle name="Style 22 2 2 5 4 2" xfId="35870"/>
    <cellStyle name="Style 23 2 2 5 4 2" xfId="35871"/>
    <cellStyle name="Style 24 2 2 5 4 2" xfId="35872"/>
    <cellStyle name="Style 25 2 2 5 4 2" xfId="35873"/>
    <cellStyle name="Style 26 2 2 5 4 2" xfId="35874"/>
    <cellStyle name="styleColumnTitles 2 2 5 4 2" xfId="35875"/>
    <cellStyle name="styleDateRange 2 2 5 4 2" xfId="35876"/>
    <cellStyle name="styleSeriesAttributes 2 2 5 4 2" xfId="35877"/>
    <cellStyle name="styleSeriesData 2 2 5 4 2" xfId="35878"/>
    <cellStyle name="styleSeriesDataForecast 2 2 5 4 2" xfId="35879"/>
    <cellStyle name="styleSeriesDataForecastNA 2 2 5 4 2" xfId="35880"/>
    <cellStyle name="styleSeriesDataNA 2 2 5 4 2" xfId="35881"/>
    <cellStyle name="Total 2 6 3 5 4 2" xfId="35882"/>
    <cellStyle name="Calculation 7 2 5 4 2" xfId="35883"/>
    <cellStyle name="Calculation 2 6 2 5 4 2" xfId="35884"/>
    <cellStyle name="Calculation 3 2 2 5 4 2" xfId="35885"/>
    <cellStyle name="Calculation 4 2 2 5 4 2" xfId="35886"/>
    <cellStyle name="Calculation 5 4 5 4 2" xfId="35887"/>
    <cellStyle name="Output 9 2 5 4 2" xfId="35888"/>
    <cellStyle name="Input 10 2 5 4 2" xfId="35889"/>
    <cellStyle name="Input 2 6 2 5 4 2" xfId="35890"/>
    <cellStyle name="Input 3 2 2 5 4 2" xfId="35891"/>
    <cellStyle name="Input 4 2 2 5 4 2" xfId="35892"/>
    <cellStyle name="Input 5 2 2 5 4 2" xfId="35893"/>
    <cellStyle name="Note 11 2 5 4 2" xfId="35894"/>
    <cellStyle name="Note 2 6 2 5 4 2" xfId="35895"/>
    <cellStyle name="Note 2 2 3 2 5 4 2" xfId="35896"/>
    <cellStyle name="Note 3 4 2 5 4 2" xfId="35897"/>
    <cellStyle name="Note 3 2 4 2 5 4 2" xfId="35898"/>
    <cellStyle name="Note 4 3 2 5 4 2" xfId="35899"/>
    <cellStyle name="Note 4 2 2 2 5 4 2" xfId="35900"/>
    <cellStyle name="Note 5 5 5 4 2" xfId="35901"/>
    <cellStyle name="Note 5 2 4 5 4 2" xfId="35902"/>
    <cellStyle name="Note 6 5 5 4 2" xfId="35903"/>
    <cellStyle name="Note 6 2 4 5 4 2" xfId="35904"/>
    <cellStyle name="Note 7 5 5 4 2" xfId="35905"/>
    <cellStyle name="Note 7 2 4 5 4 2" xfId="35906"/>
    <cellStyle name="Note 8 4 5 4 2" xfId="35907"/>
    <cellStyle name="Note 9 3 5 4 2" xfId="35908"/>
    <cellStyle name="Output 7 2 5 4 2" xfId="35909"/>
    <cellStyle name="Output 2 6 2 5 4 2" xfId="35910"/>
    <cellStyle name="Output 3 2 2 5 4 2" xfId="35911"/>
    <cellStyle name="Output 4 2 2 5 4 2" xfId="35912"/>
    <cellStyle name="Output 5 5 5 4 2" xfId="35913"/>
    <cellStyle name="Total 7 2 5 4 2" xfId="35914"/>
    <cellStyle name="Total 2 7 2 5 4 2" xfId="35915"/>
    <cellStyle name="Total 3 2 2 5 4 2" xfId="35916"/>
    <cellStyle name="Total 4 2 2 5 4 2" xfId="35917"/>
    <cellStyle name="Total 5 5 5 4 2" xfId="35918"/>
    <cellStyle name="Calculation 8 2 5 4 2" xfId="35919"/>
    <cellStyle name="Input 12 2 5 4 2" xfId="35920"/>
    <cellStyle name="Input 11 2 5 4 2" xfId="35921"/>
    <cellStyle name="Calculation 9 2 5 4 2" xfId="35922"/>
    <cellStyle name="Output 8 2 5 4 2" xfId="35923"/>
    <cellStyle name="Total 8 2 5 4 2" xfId="35924"/>
    <cellStyle name="Total 9 2 5 4 2" xfId="35925"/>
    <cellStyle name="Output 5 2 2 5 4 2" xfId="35926"/>
    <cellStyle name="Output 4 3 2 5 4 2" xfId="35927"/>
    <cellStyle name="Output 3 3 2 5 4 2" xfId="35928"/>
    <cellStyle name="Output 2 7 2 5 4 2" xfId="35929"/>
    <cellStyle name="Output 11 2 5 4 2" xfId="35930"/>
    <cellStyle name="Input 5 3 2 5 4 2" xfId="35931"/>
    <cellStyle name="Input 4 3 2 5 4 2" xfId="35932"/>
    <cellStyle name="Input 3 3 2 5 4 2" xfId="35933"/>
    <cellStyle name="Input 2 7 2 5 4 2" xfId="35934"/>
    <cellStyle name="Calculation 10 2 5 4 2" xfId="35935"/>
    <cellStyle name="Input 14 2 5 4 2" xfId="35936"/>
    <cellStyle name="Input 16 2 5 4 2" xfId="35937"/>
    <cellStyle name="Input 17 2 5 4 2" xfId="35938"/>
    <cellStyle name="Input 15 2 5 4 2" xfId="35939"/>
    <cellStyle name="Input 13 2 5 4 2" xfId="35940"/>
    <cellStyle name="Calculation 5 2 2 5 4 2" xfId="35941"/>
    <cellStyle name="Calculation 4 3 2 5 4 2" xfId="35942"/>
    <cellStyle name="Calculation 3 3 2 5 4 2" xfId="35943"/>
    <cellStyle name="Calculation 2 7 2 5 4 2" xfId="35944"/>
    <cellStyle name="Calculation 11 2 5 4 2" xfId="35945"/>
    <cellStyle name="Output 10 2 5 4 2" xfId="35946"/>
    <cellStyle name="Note 12 2 5 4 2" xfId="35947"/>
    <cellStyle name="Note 2 7 2 5 4 2" xfId="35948"/>
    <cellStyle name="Note 2 2 4 2 5 4 2" xfId="35949"/>
    <cellStyle name="Note 3 5 2 5 4 2" xfId="35950"/>
    <cellStyle name="Note 3 2 5 2 5 4 2" xfId="35951"/>
    <cellStyle name="Note 4 4 2 5 4 2" xfId="35952"/>
    <cellStyle name="Note 4 2 3 2 5 4 2" xfId="35953"/>
    <cellStyle name="Note 5 3 2 5 4 2" xfId="35954"/>
    <cellStyle name="Note 5 2 2 2 5 4 2" xfId="35955"/>
    <cellStyle name="Note 6 3 2 5 4 2" xfId="35956"/>
    <cellStyle name="Note 6 2 2 2 5 4 2" xfId="35957"/>
    <cellStyle name="Note 7 3 2 5 4 2" xfId="35958"/>
    <cellStyle name="Note 7 2 2 2 5 4 2" xfId="35959"/>
    <cellStyle name="Note 8 2 2 5 4 2" xfId="35960"/>
    <cellStyle name="Note 9 2 2 5 4 2" xfId="35961"/>
    <cellStyle name="Output 12 2 5 4 2" xfId="35962"/>
    <cellStyle name="Output 2 8 2 5 4 2" xfId="35963"/>
    <cellStyle name="Output 3 4 2 5 4 2" xfId="35964"/>
    <cellStyle name="Output 4 4 2 5 4 2" xfId="35965"/>
    <cellStyle name="Output 5 3 2 5 4 2" xfId="35966"/>
    <cellStyle name="Total 10 2 5 4 2" xfId="35967"/>
    <cellStyle name="Total 11 2 5 4 2" xfId="35968"/>
    <cellStyle name="Total 2 8 2 5 4 2" xfId="35969"/>
    <cellStyle name="Total 3 3 2 5 4 2" xfId="35970"/>
    <cellStyle name="Total 4 3 2 5 4 2" xfId="35971"/>
    <cellStyle name="Total 5 2 2 5 4 2" xfId="35972"/>
    <cellStyle name="Total 12 2 5 4 2" xfId="35973"/>
    <cellStyle name="Total 2 9 2 5 4 2" xfId="35974"/>
    <cellStyle name="Total 3 4 2 5 4 2" xfId="35975"/>
    <cellStyle name="Total 4 4 2 5 4 2" xfId="35976"/>
    <cellStyle name="Total 5 3 2 5 4 2" xfId="35977"/>
    <cellStyle name="Input 18 2 5 4 2" xfId="35978"/>
    <cellStyle name="Calculation 12 2 5 4 2" xfId="35979"/>
    <cellStyle name="Input 19 2 5 4 2" xfId="35980"/>
    <cellStyle name="Note 13 2 5 4 2" xfId="35981"/>
    <cellStyle name="Output 13 2 5 4 2" xfId="35982"/>
    <cellStyle name="Total 13 2 5 4 2" xfId="35983"/>
    <cellStyle name="Calculation 2 8 2 5 4 2" xfId="35984"/>
    <cellStyle name="Calculation 3 4 2 5 4 2" xfId="35985"/>
    <cellStyle name="Calculation 4 4 2 5 4 2" xfId="35986"/>
    <cellStyle name="Calculation 5 3 2 5 4 2" xfId="35987"/>
    <cellStyle name="Input 2 8 2 5 4 2" xfId="35988"/>
    <cellStyle name="Input 3 4 2 5 4 2" xfId="35989"/>
    <cellStyle name="Input 4 4 2 5 4 2" xfId="35990"/>
    <cellStyle name="Input 5 4 2 5 4 2" xfId="35991"/>
    <cellStyle name="Note 2 8 2 5 4 2" xfId="35992"/>
    <cellStyle name="Note 2 2 5 2 5 4 2" xfId="35993"/>
    <cellStyle name="Note 3 6 2 5 4 2" xfId="35994"/>
    <cellStyle name="Note 3 2 6 2 5 4 2" xfId="35995"/>
    <cellStyle name="Note 4 5 2 5 4 2" xfId="35996"/>
    <cellStyle name="Note 4 2 4 2 5 4 2" xfId="35997"/>
    <cellStyle name="Note 5 4 2 5 4 2" xfId="35998"/>
    <cellStyle name="Note 5 2 3 2 5 4 2" xfId="35999"/>
    <cellStyle name="Note 6 4 2 5 4 2" xfId="36000"/>
    <cellStyle name="Note 6 2 3 2 5 4 2" xfId="36001"/>
    <cellStyle name="Note 7 4 2 5 4 2" xfId="36002"/>
    <cellStyle name="Note 7 2 3 2 5 4 2" xfId="36003"/>
    <cellStyle name="Note 8 3 2 5 4 2" xfId="36004"/>
    <cellStyle name="Output 2 9 2 5 4 2" xfId="36005"/>
    <cellStyle name="Output 3 5 2 5 4 2" xfId="36006"/>
    <cellStyle name="Output 4 5 2 5 4 2" xfId="36007"/>
    <cellStyle name="Output 5 4 2 5 4 2" xfId="36008"/>
    <cellStyle name="Total 2 10 2 5 4 2" xfId="36009"/>
    <cellStyle name="Total 3 5 2 5 4 2" xfId="36010"/>
    <cellStyle name="Total 4 5 2 5 4 2" xfId="36011"/>
    <cellStyle name="Total 5 4 2 5 4 2" xfId="36012"/>
    <cellStyle name="Input 20 2 5 4 2" xfId="36013"/>
    <cellStyle name="Input 21 2 5 4 2" xfId="36014"/>
    <cellStyle name="Note 6 2 6 2 4 2" xfId="36015"/>
    <cellStyle name="Note 7 7 2 4 2" xfId="36016"/>
    <cellStyle name="Note 7 2 6 2 4 2" xfId="36017"/>
    <cellStyle name="Note 8 6 2 4 2" xfId="36018"/>
    <cellStyle name="Note 9 5 2 4 2" xfId="36019"/>
    <cellStyle name="Output 7 4 2 4 2" xfId="36020"/>
    <cellStyle name="Output 2 6 4 2 4 2" xfId="36021"/>
    <cellStyle name="Output 3 2 4 2 4 2" xfId="36022"/>
    <cellStyle name="Output 4 2 4 2 4 2" xfId="36023"/>
    <cellStyle name="Output 5 7 2 4 2" xfId="36024"/>
    <cellStyle name="Note 4 2 4 5 2 4 2" xfId="36025"/>
    <cellStyle name="Total 7 4 2 4 2" xfId="36026"/>
    <cellStyle name="Total 2 7 4 2 4 2" xfId="36027"/>
    <cellStyle name="Total 3 2 4 2 4 2" xfId="36028"/>
    <cellStyle name="Total 4 2 4 2 4 2" xfId="36029"/>
    <cellStyle name="Total 5 7 2 4 2" xfId="36030"/>
    <cellStyle name="Calculation 8 4 2 4 2" xfId="36031"/>
    <cellStyle name="Input 12 4 2 4 2" xfId="36032"/>
    <cellStyle name="Input 11 4 2 4 2" xfId="36033"/>
    <cellStyle name="Calculation 9 4 2 4 2" xfId="36034"/>
    <cellStyle name="Output 8 4 2 4 2" xfId="36035"/>
    <cellStyle name="Note 4 5 5 2 4 2" xfId="36036"/>
    <cellStyle name="Total 8 4 2 4 2" xfId="36037"/>
    <cellStyle name="Total 9 4 2 4 2" xfId="36038"/>
    <cellStyle name="Input 2 9 3 2 4 2" xfId="36039"/>
    <cellStyle name="Note 2 2 2 3 3 2 4 2" xfId="36040"/>
    <cellStyle name="Note 7 2 3 5 2 4 2" xfId="36041"/>
    <cellStyle name="Note 3 2 6 5 2 4 2" xfId="36042"/>
    <cellStyle name="Output 13 5 2 4 2" xfId="36043"/>
    <cellStyle name="Input 14 5 2 4 2" xfId="36044"/>
    <cellStyle name="Input 5 3 5 2 4 2" xfId="36045"/>
    <cellStyle name="Output 5 2 4 2 4 2" xfId="36046"/>
    <cellStyle name="Output 4 3 4 2 4 2" xfId="36047"/>
    <cellStyle name="Output 3 3 4 2 4 2" xfId="36048"/>
    <cellStyle name="Output 2 7 4 2 4 2" xfId="36049"/>
    <cellStyle name="Output 11 4 2 4 2" xfId="36050"/>
    <cellStyle name="Input 5 3 4 2 4 2" xfId="36051"/>
    <cellStyle name="Input 4 3 4 2 4 2" xfId="36052"/>
    <cellStyle name="Input 3 3 4 2 4 2" xfId="36053"/>
    <cellStyle name="Input 2 7 4 2 4 2" xfId="36054"/>
    <cellStyle name="Calculation 10 4 2 4 2" xfId="36055"/>
    <cellStyle name="Input 14 4 2 4 2" xfId="36056"/>
    <cellStyle name="Input 16 4 2 4 2" xfId="36057"/>
    <cellStyle name="Input 17 4 2 4 2" xfId="36058"/>
    <cellStyle name="Input 15 4 2 4 2" xfId="36059"/>
    <cellStyle name="Input 13 4 2 4 2" xfId="36060"/>
    <cellStyle name="Calculation 5 2 4 2 4 2" xfId="36061"/>
    <cellStyle name="Calculation 4 3 4 2 4 2" xfId="36062"/>
    <cellStyle name="Calculation 3 3 4 2 4 2" xfId="36063"/>
    <cellStyle name="Calculation 2 7 4 2 4 2" xfId="36064"/>
    <cellStyle name="Calculation 11 4 2 4 2" xfId="36065"/>
    <cellStyle name="Output 10 4 2 4 2" xfId="36066"/>
    <cellStyle name="Note 12 4 2 4 2" xfId="36067"/>
    <cellStyle name="Note 2 7 4 2 4 2" xfId="36068"/>
    <cellStyle name="Note 2 2 4 4 2 4 2" xfId="36069"/>
    <cellStyle name="Note 3 5 4 2 4 2" xfId="36070"/>
    <cellStyle name="Note 3 2 5 4 2 4 2" xfId="36071"/>
    <cellStyle name="Note 4 4 4 2 4 2" xfId="36072"/>
    <cellStyle name="Note 4 2 3 4 2 4 2" xfId="36073"/>
    <cellStyle name="Note 5 3 4 2 4 2" xfId="36074"/>
    <cellStyle name="Note 5 2 2 4 2 4 2" xfId="36075"/>
    <cellStyle name="Note 6 3 4 2 4 2" xfId="36076"/>
    <cellStyle name="Note 6 2 2 4 2 4 2" xfId="36077"/>
    <cellStyle name="Note 7 3 4 2 4 2" xfId="36078"/>
    <cellStyle name="Note 7 2 2 4 2 4 2" xfId="36079"/>
    <cellStyle name="Note 8 2 4 2 4 2" xfId="36080"/>
    <cellStyle name="Note 9 2 4 2 4 2" xfId="36081"/>
    <cellStyle name="Output 12 4 2 4 2" xfId="36082"/>
    <cellStyle name="Output 2 8 4 2 4 2" xfId="36083"/>
    <cellStyle name="Output 3 4 4 2 4 2" xfId="36084"/>
    <cellStyle name="Output 4 4 4 2 4 2" xfId="36085"/>
    <cellStyle name="Output 5 3 4 2 4 2" xfId="36086"/>
    <cellStyle name="Total 10 4 2 4 2" xfId="36087"/>
    <cellStyle name="Total 11 4 2 4 2" xfId="36088"/>
    <cellStyle name="Total 2 8 4 2 4 2" xfId="36089"/>
    <cellStyle name="Total 3 3 4 2 4 2" xfId="36090"/>
    <cellStyle name="Total 4 3 4 2 4 2" xfId="36091"/>
    <cellStyle name="Total 5 2 4 2 4 2" xfId="36092"/>
    <cellStyle name="Total 12 4 2 4 2" xfId="36093"/>
    <cellStyle name="Total 2 9 4 2 4 2" xfId="36094"/>
    <cellStyle name="Total 3 4 4 2 4 2" xfId="36095"/>
    <cellStyle name="Total 4 4 4 2 4 2" xfId="36096"/>
    <cellStyle name="Total 5 3 4 2 4 2" xfId="36097"/>
    <cellStyle name="Note 2 4 2 3 3 2 4 2" xfId="36098"/>
    <cellStyle name="Note 6 2 3 5 2 4 2" xfId="36099"/>
    <cellStyle name="Input 19 5 2 4 2" xfId="36100"/>
    <cellStyle name="Input 2 7 5 2 4 2" xfId="36101"/>
    <cellStyle name="Input 18 4 2 4 2" xfId="36102"/>
    <cellStyle name="Calculation 12 4 2 4 2" xfId="36103"/>
    <cellStyle name="Input 19 4 2 4 2" xfId="36104"/>
    <cellStyle name="Note 13 4 2 4 2" xfId="36105"/>
    <cellStyle name="Output 13 4 2 4 2" xfId="36106"/>
    <cellStyle name="Total 13 4 2 4 2" xfId="36107"/>
    <cellStyle name="Calculation 2 8 4 2 4 2" xfId="36108"/>
    <cellStyle name="Calculation 3 4 4 2 4 2" xfId="36109"/>
    <cellStyle name="Calculation 4 4 4 2 4 2" xfId="36110"/>
    <cellStyle name="Calculation 5 3 4 2 4 2" xfId="36111"/>
    <cellStyle name="Input 2 8 4 2 4 2" xfId="36112"/>
    <cellStyle name="Input 3 4 4 2 4 2" xfId="36113"/>
    <cellStyle name="Input 4 4 4 2 4 2" xfId="36114"/>
    <cellStyle name="Input 5 4 4 2 4 2" xfId="36115"/>
    <cellStyle name="Note 2 8 4 2 4 2" xfId="36116"/>
    <cellStyle name="Note 2 2 5 4 2 4 2" xfId="36117"/>
    <cellStyle name="Note 3 6 4 2 4 2" xfId="36118"/>
    <cellStyle name="Note 3 2 6 4 2 4 2" xfId="36119"/>
    <cellStyle name="Note 4 5 4 2 4 2" xfId="36120"/>
    <cellStyle name="Note 4 2 4 4 2 4 2" xfId="36121"/>
    <cellStyle name="Note 5 4 4 2 4 2" xfId="36122"/>
    <cellStyle name="Note 5 2 3 4 2 4 2" xfId="36123"/>
    <cellStyle name="Note 6 4 4 2 4 2" xfId="36124"/>
    <cellStyle name="Note 6 2 3 4 2 4 2" xfId="36125"/>
    <cellStyle name="Note 7 4 4 2 4 2" xfId="36126"/>
    <cellStyle name="Note 7 2 3 4 2 4 2" xfId="36127"/>
    <cellStyle name="Note 8 3 4 2 4 2" xfId="36128"/>
    <cellStyle name="Output 2 9 4 2 4 2" xfId="36129"/>
    <cellStyle name="Output 3 5 4 2 4 2" xfId="36130"/>
    <cellStyle name="Output 4 5 4 2 4 2" xfId="36131"/>
    <cellStyle name="Output 5 4 4 2 4 2" xfId="36132"/>
    <cellStyle name="Total 2 10 4 2 4 2" xfId="36133"/>
    <cellStyle name="Total 3 5 4 2 4 2" xfId="36134"/>
    <cellStyle name="Total 4 5 4 2 4 2" xfId="36135"/>
    <cellStyle name="Total 5 4 4 2 4 2" xfId="36136"/>
    <cellStyle name="Input 20 4 2 4 2" xfId="36137"/>
    <cellStyle name="Input 21 4 2 4 2" xfId="36138"/>
    <cellStyle name="Note 4 2 6 2 2 4 2" xfId="36139"/>
    <cellStyle name="Note 3 3 3 2 2 4 2" xfId="36140"/>
    <cellStyle name="Note 2 5 3 2 2 4 2" xfId="36141"/>
    <cellStyle name="Note 2 4 2 3 2 2 4 2" xfId="36142"/>
    <cellStyle name="Note 2 3 2 3 2 2 4 2" xfId="36143"/>
    <cellStyle name="Note 2 2 2 3 2 2 4 2" xfId="36144"/>
    <cellStyle name="Calculation 2 9 2 2 4 2" xfId="36145"/>
    <cellStyle name="Calculation 2 2 5 2 2 4 2" xfId="36146"/>
    <cellStyle name="Calculation 2 2 2 2 2 2 4 2" xfId="36147"/>
    <cellStyle name="Calculation 2 2 3 2 2 2 4 2" xfId="36148"/>
    <cellStyle name="Calculation 2 2 4 2 2 2 4 2" xfId="36149"/>
    <cellStyle name="Calculation 2 3 2 2 2 4 2" xfId="36150"/>
    <cellStyle name="Calculation 2 4 2 2 2 4 2" xfId="36151"/>
    <cellStyle name="Calculation 2 5 2 2 2 4 2" xfId="36152"/>
    <cellStyle name="Calculation 3 5 2 2 4 2" xfId="36153"/>
    <cellStyle name="Input 2 5 3 2 2 4 2" xfId="36154"/>
    <cellStyle name="Input 2 9 2 2 4 2" xfId="36155"/>
    <cellStyle name="Input 2 2 5 2 2 4 2" xfId="36156"/>
    <cellStyle name="Input 2 2 2 2 2 2 4 2" xfId="36157"/>
    <cellStyle name="Input 2 2 3 2 2 2 4 2" xfId="36158"/>
    <cellStyle name="Input 2 2 4 2 2 2 4 2" xfId="36159"/>
    <cellStyle name="Input 2 3 2 2 2 4 2" xfId="36160"/>
    <cellStyle name="Input 2 4 2 2 2 4 2" xfId="36161"/>
    <cellStyle name="Input 2 5 2 2 2 4 2" xfId="36162"/>
    <cellStyle name="Input 3 5 2 2 4 2" xfId="36163"/>
    <cellStyle name="Input 4 5 2 2 4 2" xfId="36164"/>
    <cellStyle name="Input 5 5 2 2 4 2" xfId="36165"/>
    <cellStyle name="Input 6 3 2 2 4 2" xfId="36166"/>
    <cellStyle name="Input 7 2 2 2 4 2" xfId="36167"/>
    <cellStyle name="Input 8 2 2 2 4 2" xfId="36168"/>
    <cellStyle name="Calculation 2 5 3 2 2 4 2" xfId="36169"/>
    <cellStyle name="Total 2 4 3 2 2 4 2" xfId="36170"/>
    <cellStyle name="Total 2 2 4 3 2 2 4 2" xfId="36171"/>
    <cellStyle name="Total 2 2 3 3 2 2 4 2" xfId="36172"/>
    <cellStyle name="Total 2 12 2 2 4 2" xfId="36173"/>
    <cellStyle name="Note 2 9 2 2 4 2" xfId="36174"/>
    <cellStyle name="Note 2 2 6 2 2 4 2" xfId="36175"/>
    <cellStyle name="Note 2 3 3 2 2 4 2" xfId="36176"/>
    <cellStyle name="Note 2 4 3 2 2 4 2" xfId="36177"/>
    <cellStyle name="Note 3 7 2 2 4 2" xfId="36178"/>
    <cellStyle name="Note 3 2 7 2 2 4 2" xfId="36179"/>
    <cellStyle name="Output 2 10 2 2 4 2" xfId="36180"/>
    <cellStyle name="Output 2 2 5 2 2 4 2" xfId="36181"/>
    <cellStyle name="Output 2 2 2 2 2 2 4 2" xfId="36182"/>
    <cellStyle name="Output 2 2 3 2 2 2 4 2" xfId="36183"/>
    <cellStyle name="Output 2 2 4 2 2 2 4 2" xfId="36184"/>
    <cellStyle name="Output 2 3 2 2 2 4 2" xfId="36185"/>
    <cellStyle name="Output 2 4 2 2 2 4 2" xfId="36186"/>
    <cellStyle name="Output 2 5 2 2 2 4 2" xfId="36187"/>
    <cellStyle name="Output 3 6 2 2 4 2" xfId="36188"/>
    <cellStyle name="Input 7 3 2 2 4 2" xfId="36189"/>
    <cellStyle name="Input 5 6 2 2 4 2" xfId="36190"/>
    <cellStyle name="Input 3 6 2 2 4 2" xfId="36191"/>
    <cellStyle name="Input 2 4 3 2 2 4 2" xfId="36192"/>
    <cellStyle name="Input 2 2 4 3 2 2 4 2" xfId="36193"/>
    <cellStyle name="Input 2 2 2 3 2 2 4 2" xfId="36194"/>
    <cellStyle name="Input 2 10 2 2 4 2" xfId="36195"/>
    <cellStyle name="Calculation 3 6 2 2 4 2" xfId="36196"/>
    <cellStyle name="Calculation 2 4 3 2 2 4 2" xfId="36197"/>
    <cellStyle name="Calculation 2 2 4 3 2 2 4 2" xfId="36198"/>
    <cellStyle name="Calculation 2 2 2 3 2 2 4 2" xfId="36199"/>
    <cellStyle name="Calculation 2 10 2 2 4 2" xfId="36200"/>
    <cellStyle name="StmtTtl2 2 2 2 4 2" xfId="36201"/>
    <cellStyle name="Total 2 11 2 2 4 2" xfId="36202"/>
    <cellStyle name="Total 2 2 5 2 2 4 2" xfId="36203"/>
    <cellStyle name="Total 2 2 2 2 2 2 4 2" xfId="36204"/>
    <cellStyle name="Total 2 2 3 2 2 2 4 2" xfId="36205"/>
    <cellStyle name="Total 2 2 4 2 2 2 4 2" xfId="36206"/>
    <cellStyle name="Total 2 3 2 2 2 4 2" xfId="36207"/>
    <cellStyle name="Total 2 4 2 2 2 4 2" xfId="36208"/>
    <cellStyle name="Total 2 5 2 2 2 4 2" xfId="36209"/>
    <cellStyle name="Total 2 6 2 2 2 4 2" xfId="36210"/>
    <cellStyle name="Total 3 6 2 2 4 2" xfId="36211"/>
    <cellStyle name="Calculation 2 2 2 2 3 2 4 2" xfId="36212"/>
    <cellStyle name="Output 3 5 5 2 4 2" xfId="36213"/>
    <cellStyle name="Input 12 5 2 4 2" xfId="36214"/>
    <cellStyle name="Output 2 5 3 2 2 4 2" xfId="36215"/>
    <cellStyle name="Output 2 3 3 2 2 4 2" xfId="36216"/>
    <cellStyle name="Output 2 2 3 3 2 2 4 2" xfId="36217"/>
    <cellStyle name="Output 2 2 6 2 2 4 2" xfId="36218"/>
    <cellStyle name="Note 4 7 2 2 4 2" xfId="36219"/>
    <cellStyle name="Note 3 2 2 3 2 2 4 2" xfId="36220"/>
    <cellStyle name="Note 3 8 2 2 4 2" xfId="36221"/>
    <cellStyle name="Note 2 4 4 2 2 4 2" xfId="36222"/>
    <cellStyle name="Note 2 2 7 2 2 4 2" xfId="36223"/>
    <cellStyle name="Note 3 2 2 2 2 2 4 2" xfId="36224"/>
    <cellStyle name="Note 4 6 2 2 4 2" xfId="36225"/>
    <cellStyle name="Total 3 7 2 2 4 2" xfId="36226"/>
    <cellStyle name="Total 2 5 3 2 2 4 2" xfId="36227"/>
    <cellStyle name="Total 2 3 3 2 2 4 2" xfId="36228"/>
    <cellStyle name="Total 2 2 6 2 2 4 2" xfId="36229"/>
    <cellStyle name="Total 2 2 2 3 2 2 4 2" xfId="36230"/>
    <cellStyle name="StmtTtl2 3 2 2 4 2" xfId="36231"/>
    <cellStyle name="Output 3 7 2 2 4 2" xfId="36232"/>
    <cellStyle name="Note 2 5 2 2 2 4 2" xfId="36233"/>
    <cellStyle name="Note 2 2 2 2 2 2 4 2" xfId="36234"/>
    <cellStyle name="Note 2 3 2 2 2 2 4 2" xfId="36235"/>
    <cellStyle name="Note 2 4 2 2 2 2 4 2" xfId="36236"/>
    <cellStyle name="Note 3 3 2 2 2 4 2" xfId="36237"/>
    <cellStyle name="Input 8 3 2 2 4 2" xfId="36238"/>
    <cellStyle name="Input 6 4 2 2 4 2" xfId="36239"/>
    <cellStyle name="Input 4 6 2 2 4 2" xfId="36240"/>
    <cellStyle name="Input 2 3 3 2 2 4 2" xfId="36241"/>
    <cellStyle name="Input 2 2 3 3 2 2 4 2" xfId="36242"/>
    <cellStyle name="Input 2 2 6 2 2 4 2" xfId="36243"/>
    <cellStyle name="Calculation 2 3 3 2 2 4 2" xfId="36244"/>
    <cellStyle name="Calculation 2 2 3 3 2 2 4 2" xfId="36245"/>
    <cellStyle name="Calculation 2 2 6 2 2 4 2" xfId="36246"/>
    <cellStyle name="Output 2 4 3 2 2 4 2" xfId="36247"/>
    <cellStyle name="Output 2 2 4 3 2 2 4 2" xfId="36248"/>
    <cellStyle name="Output 2 2 2 3 2 2 4 2" xfId="36249"/>
    <cellStyle name="Output 2 11 2 2 4 2" xfId="36250"/>
    <cellStyle name="Note 3 2 8 2 2 4 2" xfId="36251"/>
    <cellStyle name="Note 2 3 4 2 2 4 2" xfId="36252"/>
    <cellStyle name="Note 2 10 2 2 4 2" xfId="36253"/>
    <cellStyle name="Note 4 2 5 2 2 4 2" xfId="36254"/>
    <cellStyle name="Style 21 3 2 4 2" xfId="36255"/>
    <cellStyle name="Style 21 2 3 2 4 2" xfId="36256"/>
    <cellStyle name="Style 22 3 2 4 2" xfId="36257"/>
    <cellStyle name="Style 22 2 3 2 4 2" xfId="36258"/>
    <cellStyle name="Style 23 3 2 4 2" xfId="36259"/>
    <cellStyle name="Style 23 2 3 2 4 2" xfId="36260"/>
    <cellStyle name="Style 24 3 2 4 2" xfId="36261"/>
    <cellStyle name="Style 24 2 3 2 4 2" xfId="36262"/>
    <cellStyle name="Style 25 3 2 4 2" xfId="36263"/>
    <cellStyle name="Style 25 2 3 2 4 2" xfId="36264"/>
    <cellStyle name="Style 26 3 2 4 2" xfId="36265"/>
    <cellStyle name="Style 26 2 3 2 4 2" xfId="36266"/>
    <cellStyle name="styleColumnTitles 3 2 4 2" xfId="36267"/>
    <cellStyle name="styleColumnTitles 2 3 2 4 2" xfId="36268"/>
    <cellStyle name="styleDateRange 3 2 4 2" xfId="36269"/>
    <cellStyle name="styleDateRange 2 3 2 4 2" xfId="36270"/>
    <cellStyle name="styleSeriesAttributes 3 2 4 2" xfId="36271"/>
    <cellStyle name="styleSeriesAttributes 2 3 2 4 2" xfId="36272"/>
    <cellStyle name="styleSeriesData 3 2 4 2" xfId="36273"/>
    <cellStyle name="styleSeriesData 2 3 2 4 2" xfId="36274"/>
    <cellStyle name="styleSeriesDataForecast 3 2 4 2" xfId="36275"/>
    <cellStyle name="styleSeriesDataForecast 2 3 2 4 2" xfId="36276"/>
    <cellStyle name="styleSeriesDataForecastNA 3 2 4 2" xfId="36277"/>
    <cellStyle name="styleSeriesDataForecastNA 2 3 2 4 2" xfId="36278"/>
    <cellStyle name="styleSeriesDataNA 3 2 4 2" xfId="36279"/>
    <cellStyle name="styleSeriesDataNA 2 3 2 4 2" xfId="36280"/>
    <cellStyle name="Style 21 2 2 2 2 4 2" xfId="36281"/>
    <cellStyle name="Style 22 2 2 2 2 4 2" xfId="36282"/>
    <cellStyle name="Style 23 2 2 2 2 4 2" xfId="36283"/>
    <cellStyle name="Style 24 2 2 2 2 4 2" xfId="36284"/>
    <cellStyle name="Style 25 2 2 2 2 4 2" xfId="36285"/>
    <cellStyle name="Style 26 2 2 2 2 4 2" xfId="36286"/>
    <cellStyle name="styleColumnTitles 2 2 2 2 4 2" xfId="36287"/>
    <cellStyle name="styleDateRange 2 2 2 2 4 2" xfId="36288"/>
    <cellStyle name="styleSeriesAttributes 2 2 2 2 4 2" xfId="36289"/>
    <cellStyle name="styleSeriesData 2 2 2 2 4 2" xfId="36290"/>
    <cellStyle name="styleSeriesDataForecast 2 2 2 2 4 2" xfId="36291"/>
    <cellStyle name="styleSeriesDataForecastNA 2 2 2 2 4 2" xfId="36292"/>
    <cellStyle name="styleSeriesDataNA 2 2 2 2 4 2" xfId="36293"/>
    <cellStyle name="Total 2 6 3 2 2 4 2" xfId="36294"/>
    <cellStyle name="Note 3 3 3 3 2 4 2" xfId="36295"/>
    <cellStyle name="Note 5 2 3 5 2 4 2" xfId="36296"/>
    <cellStyle name="Input 4 3 5 2 4 2" xfId="36297"/>
    <cellStyle name="Calculation 7 2 2 2 4 2" xfId="36298"/>
    <cellStyle name="Calculation 2 6 2 2 2 4 2" xfId="36299"/>
    <cellStyle name="Calculation 3 2 2 2 2 4 2" xfId="36300"/>
    <cellStyle name="Calculation 4 2 2 2 2 4 2" xfId="36301"/>
    <cellStyle name="Calculation 5 4 2 2 4 2" xfId="36302"/>
    <cellStyle name="Output 9 2 2 2 4 2" xfId="36303"/>
    <cellStyle name="Input 10 2 2 2 4 2" xfId="36304"/>
    <cellStyle name="Input 2 6 2 2 2 4 2" xfId="36305"/>
    <cellStyle name="Input 3 2 2 2 2 4 2" xfId="36306"/>
    <cellStyle name="Input 4 2 2 2 2 4 2" xfId="36307"/>
    <cellStyle name="Input 5 2 2 2 2 4 2" xfId="36308"/>
    <cellStyle name="Note 11 2 2 2 4 2" xfId="36309"/>
    <cellStyle name="Note 2 6 2 2 2 4 2" xfId="36310"/>
    <cellStyle name="Note 2 2 3 2 2 2 4 2" xfId="36311"/>
    <cellStyle name="Note 3 4 2 2 2 4 2" xfId="36312"/>
    <cellStyle name="Note 3 2 4 2 2 2 4 2" xfId="36313"/>
    <cellStyle name="Note 4 3 2 2 2 4 2" xfId="36314"/>
    <cellStyle name="Note 4 2 2 2 2 2 4 2" xfId="36315"/>
    <cellStyle name="Note 5 5 2 2 4 2" xfId="36316"/>
    <cellStyle name="Note 5 2 4 2 2 4 2" xfId="36317"/>
    <cellStyle name="Note 6 5 2 2 4 2" xfId="36318"/>
    <cellStyle name="Note 6 2 4 2 2 4 2" xfId="36319"/>
    <cellStyle name="Note 7 5 2 2 4 2" xfId="36320"/>
    <cellStyle name="Note 7 2 4 2 2 4 2" xfId="36321"/>
    <cellStyle name="Note 8 4 2 2 4 2" xfId="36322"/>
    <cellStyle name="Note 9 3 2 2 4 2" xfId="36323"/>
    <cellStyle name="Output 7 2 2 2 4 2" xfId="36324"/>
    <cellStyle name="Output 2 6 2 2 2 4 2" xfId="36325"/>
    <cellStyle name="Output 3 2 2 2 2 4 2" xfId="36326"/>
    <cellStyle name="Output 4 2 2 2 2 4 2" xfId="36327"/>
    <cellStyle name="Output 5 5 2 2 4 2" xfId="36328"/>
    <cellStyle name="Total 7 2 2 2 4 2" xfId="36329"/>
    <cellStyle name="Total 2 7 2 2 2 4 2" xfId="36330"/>
    <cellStyle name="Total 3 2 2 2 2 4 2" xfId="36331"/>
    <cellStyle name="Total 4 2 2 2 2 4 2" xfId="36332"/>
    <cellStyle name="Total 5 5 2 2 4 2" xfId="36333"/>
    <cellStyle name="Calculation 8 2 2 2 4 2" xfId="36334"/>
    <cellStyle name="Input 12 2 2 2 4 2" xfId="36335"/>
    <cellStyle name="Input 11 2 2 2 4 2" xfId="36336"/>
    <cellStyle name="Calculation 9 2 2 2 4 2" xfId="36337"/>
    <cellStyle name="Output 8 2 2 2 4 2" xfId="36338"/>
    <cellStyle name="Total 8 2 2 2 4 2" xfId="36339"/>
    <cellStyle name="Total 9 2 2 2 4 2" xfId="36340"/>
    <cellStyle name="Note 2 3 2 3 3 2 4 2" xfId="36341"/>
    <cellStyle name="Note 7 4 5 2 4 2" xfId="36342"/>
    <cellStyle name="Note 13 5 2 4 2" xfId="36343"/>
    <cellStyle name="Calculation 10 5 2 4 2" xfId="36344"/>
    <cellStyle name="Output 5 2 2 2 2 4 2" xfId="36345"/>
    <cellStyle name="Output 4 3 2 2 2 4 2" xfId="36346"/>
    <cellStyle name="Output 3 3 2 2 2 4 2" xfId="36347"/>
    <cellStyle name="Output 2 7 2 2 2 4 2" xfId="36348"/>
    <cellStyle name="Output 11 2 2 2 4 2" xfId="36349"/>
    <cellStyle name="Input 5 3 2 2 2 4 2" xfId="36350"/>
    <cellStyle name="Input 4 3 2 2 2 4 2" xfId="36351"/>
    <cellStyle name="Input 3 3 2 2 2 4 2" xfId="36352"/>
    <cellStyle name="Input 2 7 2 2 2 4 2" xfId="36353"/>
    <cellStyle name="Calculation 10 2 2 2 4 2" xfId="36354"/>
    <cellStyle name="Input 14 2 2 2 4 2" xfId="36355"/>
    <cellStyle name="Input 16 2 2 2 4 2" xfId="36356"/>
    <cellStyle name="Input 17 2 2 2 4 2" xfId="36357"/>
    <cellStyle name="Input 15 2 2 2 4 2" xfId="36358"/>
    <cellStyle name="Input 13 2 2 2 4 2" xfId="36359"/>
    <cellStyle name="Calculation 5 2 2 2 2 4 2" xfId="36360"/>
    <cellStyle name="Calculation 4 3 2 2 2 4 2" xfId="36361"/>
    <cellStyle name="Calculation 3 3 2 2 2 4 2" xfId="36362"/>
    <cellStyle name="Calculation 2 7 2 2 2 4 2" xfId="36363"/>
    <cellStyle name="Calculation 11 2 2 2 4 2" xfId="36364"/>
    <cellStyle name="Output 10 2 2 2 4 2" xfId="36365"/>
    <cellStyle name="Note 12 2 2 2 4 2" xfId="36366"/>
    <cellStyle name="Note 2 7 2 2 2 4 2" xfId="36367"/>
    <cellStyle name="Note 2 2 4 2 2 2 4 2" xfId="36368"/>
    <cellStyle name="Note 3 5 2 2 2 4 2" xfId="36369"/>
    <cellStyle name="Note 3 2 5 2 2 2 4 2" xfId="36370"/>
    <cellStyle name="Note 4 4 2 2 2 4 2" xfId="36371"/>
    <cellStyle name="Note 4 2 3 2 2 2 4 2" xfId="36372"/>
    <cellStyle name="Note 5 3 2 2 2 4 2" xfId="36373"/>
    <cellStyle name="Note 5 2 2 2 2 2 4 2" xfId="36374"/>
    <cellStyle name="Note 6 3 2 2 2 4 2" xfId="36375"/>
    <cellStyle name="Note 6 2 2 2 2 2 4 2" xfId="36376"/>
    <cellStyle name="Note 7 3 2 2 2 4 2" xfId="36377"/>
    <cellStyle name="Note 7 2 2 2 2 2 4 2" xfId="36378"/>
    <cellStyle name="Note 8 2 2 2 2 4 2" xfId="36379"/>
    <cellStyle name="Note 9 2 2 2 2 4 2" xfId="36380"/>
    <cellStyle name="Output 12 2 2 2 4 2" xfId="36381"/>
    <cellStyle name="Output 2 8 2 2 2 4 2" xfId="36382"/>
    <cellStyle name="Output 3 4 2 2 2 4 2" xfId="36383"/>
    <cellStyle name="Output 4 4 2 2 2 4 2" xfId="36384"/>
    <cellStyle name="Output 5 3 2 2 2 4 2" xfId="36385"/>
    <cellStyle name="Total 10 2 2 2 4 2" xfId="36386"/>
    <cellStyle name="Total 11 2 2 2 4 2" xfId="36387"/>
    <cellStyle name="Total 2 8 2 2 2 4 2" xfId="36388"/>
    <cellStyle name="Total 3 3 2 2 2 4 2" xfId="36389"/>
    <cellStyle name="Total 4 3 2 2 2 4 2" xfId="36390"/>
    <cellStyle name="Total 5 2 2 2 2 4 2" xfId="36391"/>
    <cellStyle name="Total 12 2 2 2 4 2" xfId="36392"/>
    <cellStyle name="Total 2 9 2 2 2 4 2" xfId="36393"/>
    <cellStyle name="Total 3 4 2 2 2 4 2" xfId="36394"/>
    <cellStyle name="Total 4 4 2 2 2 4 2" xfId="36395"/>
    <cellStyle name="Total 5 3 2 2 2 4 2" xfId="36396"/>
    <cellStyle name="Note 2 5 3 3 2 4 2" xfId="36397"/>
    <cellStyle name="Note 6 4 5 2 4 2" xfId="36398"/>
    <cellStyle name="Calculation 12 5 2 4 2" xfId="36399"/>
    <cellStyle name="Input 3 3 5 2 4 2" xfId="36400"/>
    <cellStyle name="Input 18 2 2 2 4 2" xfId="36401"/>
    <cellStyle name="Calculation 12 2 2 2 4 2" xfId="36402"/>
    <cellStyle name="Input 19 2 2 2 4 2" xfId="36403"/>
    <cellStyle name="Note 13 2 2 2 4 2" xfId="36404"/>
    <cellStyle name="Output 13 2 2 2 4 2" xfId="36405"/>
    <cellStyle name="Total 13 2 2 2 4 2" xfId="36406"/>
    <cellStyle name="Calculation 2 8 2 2 2 4 2" xfId="36407"/>
    <cellStyle name="Calculation 3 4 2 2 2 4 2" xfId="36408"/>
    <cellStyle name="Calculation 4 4 2 2 2 4 2" xfId="36409"/>
    <cellStyle name="Calculation 5 3 2 2 2 4 2" xfId="36410"/>
    <cellStyle name="Input 2 8 2 2 2 4 2" xfId="36411"/>
    <cellStyle name="Input 3 4 2 2 2 4 2" xfId="36412"/>
    <cellStyle name="Input 4 4 2 2 2 4 2" xfId="36413"/>
    <cellStyle name="Input 5 4 2 2 2 4 2" xfId="36414"/>
    <cellStyle name="Note 2 8 2 2 2 4 2" xfId="36415"/>
    <cellStyle name="Note 2 2 5 2 2 2 4 2" xfId="36416"/>
    <cellStyle name="Note 3 6 2 2 2 4 2" xfId="36417"/>
    <cellStyle name="Note 3 2 6 2 2 2 4 2" xfId="36418"/>
    <cellStyle name="Note 4 5 2 2 2 4 2" xfId="36419"/>
    <cellStyle name="Note 4 2 4 2 2 2 4 2" xfId="36420"/>
    <cellStyle name="Note 5 4 2 2 2 4 2" xfId="36421"/>
    <cellStyle name="Note 5 2 3 2 2 2 4 2" xfId="36422"/>
    <cellStyle name="Note 6 4 2 2 2 4 2" xfId="36423"/>
    <cellStyle name="Note 6 2 3 2 2 2 4 2" xfId="36424"/>
    <cellStyle name="Note 7 4 2 2 2 4 2" xfId="36425"/>
    <cellStyle name="Note 7 2 3 2 2 2 4 2" xfId="36426"/>
    <cellStyle name="Note 8 3 2 2 2 4 2" xfId="36427"/>
    <cellStyle name="Output 2 9 2 2 2 4 2" xfId="36428"/>
    <cellStyle name="Output 3 5 2 2 2 4 2" xfId="36429"/>
    <cellStyle name="Output 4 5 2 2 2 4 2" xfId="36430"/>
    <cellStyle name="Output 5 4 2 2 2 4 2" xfId="36431"/>
    <cellStyle name="Total 2 10 2 2 2 4 2" xfId="36432"/>
    <cellStyle name="Total 3 5 2 2 2 4 2" xfId="36433"/>
    <cellStyle name="Total 4 5 2 2 2 4 2" xfId="36434"/>
    <cellStyle name="Total 5 4 2 2 2 4 2" xfId="36435"/>
    <cellStyle name="Input 20 2 2 2 4 2" xfId="36436"/>
    <cellStyle name="Input 21 2 2 2 4 2" xfId="36437"/>
    <cellStyle name="Note 2 9 3 2 4 2" xfId="36438"/>
    <cellStyle name="Note 2 2 6 3 2 4 2" xfId="36439"/>
    <cellStyle name="Note 2 3 3 3 2 4 2" xfId="36440"/>
    <cellStyle name="Note 2 4 3 3 2 4 2" xfId="36441"/>
    <cellStyle name="Note 3 7 3 2 4 2" xfId="36442"/>
    <cellStyle name="Note 3 2 7 3 2 4 2" xfId="36443"/>
    <cellStyle name="Output 2 10 3 2 4 2" xfId="36444"/>
    <cellStyle name="Output 2 2 5 3 2 4 2" xfId="36445"/>
    <cellStyle name="Output 2 2 2 2 3 2 4 2" xfId="36446"/>
    <cellStyle name="Output 2 2 3 2 3 2 4 2" xfId="36447"/>
    <cellStyle name="Output 2 2 4 2 3 2 4 2" xfId="36448"/>
    <cellStyle name="Output 2 3 2 3 2 4 2" xfId="36449"/>
    <cellStyle name="Output 2 4 2 3 2 4 2" xfId="36450"/>
    <cellStyle name="Output 2 5 2 3 2 4 2" xfId="36451"/>
    <cellStyle name="Output 3 6 3 2 4 2" xfId="36452"/>
    <cellStyle name="Input 7 3 3 2 4 2" xfId="36453"/>
    <cellStyle name="Input 5 6 3 2 4 2" xfId="36454"/>
    <cellStyle name="Input 3 6 3 2 4 2" xfId="36455"/>
    <cellStyle name="Input 2 4 3 3 2 4 2" xfId="36456"/>
    <cellStyle name="Input 2 2 4 3 3 2 4 2" xfId="36457"/>
    <cellStyle name="Input 2 2 2 3 3 2 4 2" xfId="36458"/>
    <cellStyle name="Input 2 10 3 2 4 2" xfId="36459"/>
    <cellStyle name="Calculation 3 6 3 2 4 2" xfId="36460"/>
    <cellStyle name="Calculation 2 4 3 3 2 4 2" xfId="36461"/>
    <cellStyle name="Calculation 2 2 4 3 3 2 4 2" xfId="36462"/>
    <cellStyle name="Calculation 2 2 2 3 3 2 4 2" xfId="36463"/>
    <cellStyle name="Calculation 2 10 3 2 4 2" xfId="36464"/>
    <cellStyle name="StmtTtl2 2 3 2 4 2" xfId="36465"/>
    <cellStyle name="Total 2 11 3 2 4 2" xfId="36466"/>
    <cellStyle name="Total 2 2 5 3 2 4 2" xfId="36467"/>
    <cellStyle name="Total 2 2 2 2 3 2 4 2" xfId="36468"/>
    <cellStyle name="Total 2 2 3 2 3 2 4 2" xfId="36469"/>
    <cellStyle name="Total 2 2 4 2 3 2 4 2" xfId="36470"/>
    <cellStyle name="Total 2 3 2 3 2 4 2" xfId="36471"/>
    <cellStyle name="Total 2 4 2 3 2 4 2" xfId="36472"/>
    <cellStyle name="Total 2 5 2 3 2 4 2" xfId="36473"/>
    <cellStyle name="Total 2 6 2 3 2 4 2" xfId="36474"/>
    <cellStyle name="Total 3 6 3 2 4 2" xfId="36475"/>
    <cellStyle name="Output 2 5 3 3 2 4 2" xfId="36476"/>
    <cellStyle name="Output 2 3 3 3 2 4 2" xfId="36477"/>
    <cellStyle name="Output 2 2 3 3 3 2 4 2" xfId="36478"/>
    <cellStyle name="Output 2 2 6 3 2 4 2" xfId="36479"/>
    <cellStyle name="Note 4 7 3 2 4 2" xfId="36480"/>
    <cellStyle name="Note 3 2 2 3 3 2 4 2" xfId="36481"/>
    <cellStyle name="Note 3 8 3 2 4 2" xfId="36482"/>
    <cellStyle name="Note 2 4 4 3 2 4 2" xfId="36483"/>
    <cellStyle name="Note 2 2 7 3 2 4 2" xfId="36484"/>
    <cellStyle name="Note 3 2 2 2 3 2 4 2" xfId="36485"/>
    <cellStyle name="Note 4 6 3 2 4 2" xfId="36486"/>
    <cellStyle name="Total 3 7 3 2 4 2" xfId="36487"/>
    <cellStyle name="Total 2 5 3 3 2 4 2" xfId="36488"/>
    <cellStyle name="Total 2 3 3 3 2 4 2" xfId="36489"/>
    <cellStyle name="Total 2 2 6 3 2 4 2" xfId="36490"/>
    <cellStyle name="Total 2 2 2 3 3 2 4 2" xfId="36491"/>
    <cellStyle name="StmtTtl2 3 3 2 4 2" xfId="36492"/>
    <cellStyle name="Output 3 7 3 2 4 2" xfId="36493"/>
    <cellStyle name="Note 2 5 2 3 2 4 2" xfId="36494"/>
    <cellStyle name="Note 2 2 2 2 3 2 4 2" xfId="36495"/>
    <cellStyle name="Note 2 3 2 2 3 2 4 2" xfId="36496"/>
    <cellStyle name="Note 2 4 2 2 3 2 4 2" xfId="36497"/>
    <cellStyle name="Note 3 3 2 3 2 4 2" xfId="36498"/>
    <cellStyle name="Input 8 3 3 2 4 2" xfId="36499"/>
    <cellStyle name="Input 6 4 3 2 4 2" xfId="36500"/>
    <cellStyle name="Input 4 6 3 2 4 2" xfId="36501"/>
    <cellStyle name="Input 2 3 3 3 2 4 2" xfId="36502"/>
    <cellStyle name="Input 2 2 3 3 3 2 4 2" xfId="36503"/>
    <cellStyle name="Input 2 2 6 3 2 4 2" xfId="36504"/>
    <cellStyle name="Calculation 2 3 3 3 2 4 2" xfId="36505"/>
    <cellStyle name="Calculation 2 2 3 3 3 2 4 2" xfId="36506"/>
    <cellStyle name="Calculation 2 2 6 3 2 4 2" xfId="36507"/>
    <cellStyle name="Output 2 4 3 3 2 4 2" xfId="36508"/>
    <cellStyle name="Output 2 2 4 3 3 2 4 2" xfId="36509"/>
    <cellStyle name="Output 2 2 2 3 3 2 4 2" xfId="36510"/>
    <cellStyle name="Output 2 11 3 2 4 2" xfId="36511"/>
    <cellStyle name="Note 3 2 8 3 2 4 2" xfId="36512"/>
    <cellStyle name="Note 2 3 4 3 2 4 2" xfId="36513"/>
    <cellStyle name="Note 2 10 3 2 4 2" xfId="36514"/>
    <cellStyle name="Note 4 2 5 3 2 4 2" xfId="36515"/>
    <cellStyle name="Style 21 4 2 4 2" xfId="36516"/>
    <cellStyle name="Style 21 2 4 2 4 2" xfId="36517"/>
    <cellStyle name="Style 22 4 2 4 2" xfId="36518"/>
    <cellStyle name="Style 22 2 4 2 4 2" xfId="36519"/>
    <cellStyle name="Style 23 4 2 4 2" xfId="36520"/>
    <cellStyle name="Style 23 2 4 2 4 2" xfId="36521"/>
    <cellStyle name="Style 24 4 2 4 2" xfId="36522"/>
    <cellStyle name="Style 24 2 4 2 4 2" xfId="36523"/>
    <cellStyle name="Style 25 4 2 4 2" xfId="36524"/>
    <cellStyle name="Style 25 2 4 2 4 2" xfId="36525"/>
    <cellStyle name="Style 26 4 2 4 2" xfId="36526"/>
    <cellStyle name="Style 26 2 4 2 4 2" xfId="36527"/>
    <cellStyle name="styleColumnTitles 4 2 4 2" xfId="36528"/>
    <cellStyle name="styleColumnTitles 2 4 2 4 2" xfId="36529"/>
    <cellStyle name="styleDateRange 4 2 4 2" xfId="36530"/>
    <cellStyle name="styleDateRange 2 4 2 4 2" xfId="36531"/>
    <cellStyle name="styleSeriesAttributes 4 2 4 2" xfId="36532"/>
    <cellStyle name="styleSeriesAttributes 2 4 2 4 2" xfId="36533"/>
    <cellStyle name="styleSeriesData 4 2 4 2" xfId="36534"/>
    <cellStyle name="styleSeriesData 2 4 2 4 2" xfId="36535"/>
    <cellStyle name="styleSeriesDataForecast 4 2 4 2" xfId="36536"/>
    <cellStyle name="styleSeriesDataForecast 2 4 2 4 2" xfId="36537"/>
    <cellStyle name="styleSeriesDataForecastNA 4 2 4 2" xfId="36538"/>
    <cellStyle name="styleSeriesDataForecastNA 2 4 2 4 2" xfId="36539"/>
    <cellStyle name="styleSeriesDataNA 4 2 4 2" xfId="36540"/>
    <cellStyle name="styleSeriesDataNA 2 4 2 4 2" xfId="36541"/>
    <cellStyle name="Style 21 2 2 3 2 4 2" xfId="36542"/>
    <cellStyle name="Style 22 2 2 3 2 4 2" xfId="36543"/>
    <cellStyle name="Style 23 2 2 3 2 4 2" xfId="36544"/>
    <cellStyle name="Style 24 2 2 3 2 4 2" xfId="36545"/>
    <cellStyle name="Style 25 2 2 3 2 4 2" xfId="36546"/>
    <cellStyle name="Style 26 2 2 3 2 4 2" xfId="36547"/>
    <cellStyle name="styleColumnTitles 2 2 3 2 4 2" xfId="36548"/>
    <cellStyle name="styleDateRange 2 2 3 2 4 2" xfId="36549"/>
    <cellStyle name="styleSeriesAttributes 2 2 3 2 4 2" xfId="36550"/>
    <cellStyle name="styleSeriesData 2 2 3 2 4 2" xfId="36551"/>
    <cellStyle name="styleSeriesDataForecast 2 2 3 2 4 2" xfId="36552"/>
    <cellStyle name="styleSeriesDataForecastNA 2 2 3 2 4 2" xfId="36553"/>
    <cellStyle name="styleSeriesDataNA 2 2 3 2 4 2" xfId="36554"/>
    <cellStyle name="Total 2 6 3 3 2 4 2" xfId="36555"/>
    <cellStyle name="Calculation 7 2 3 2 4 2" xfId="36556"/>
    <cellStyle name="Calculation 2 6 2 3 2 4 2" xfId="36557"/>
    <cellStyle name="Calculation 3 2 2 3 2 4 2" xfId="36558"/>
    <cellStyle name="Calculation 4 2 2 3 2 4 2" xfId="36559"/>
    <cellStyle name="Calculation 5 4 3 2 4 2" xfId="36560"/>
    <cellStyle name="Output 9 2 3 2 4 2" xfId="36561"/>
    <cellStyle name="Input 10 2 3 2 4 2" xfId="36562"/>
    <cellStyle name="Input 2 6 2 3 2 4 2" xfId="36563"/>
    <cellStyle name="Input 3 2 2 3 2 4 2" xfId="36564"/>
    <cellStyle name="Input 4 2 2 3 2 4 2" xfId="36565"/>
    <cellStyle name="Input 5 2 2 3 2 4 2" xfId="36566"/>
    <cellStyle name="Note 11 2 3 2 4 2" xfId="36567"/>
    <cellStyle name="Note 2 6 2 3 2 4 2" xfId="36568"/>
    <cellStyle name="Note 2 2 3 2 3 2 4 2" xfId="36569"/>
    <cellStyle name="Note 3 4 2 3 2 4 2" xfId="36570"/>
    <cellStyle name="Note 3 2 4 2 3 2 4 2" xfId="36571"/>
    <cellStyle name="Note 4 3 2 3 2 4 2" xfId="36572"/>
    <cellStyle name="Note 4 2 2 2 3 2 4 2" xfId="36573"/>
    <cellStyle name="Note 5 5 3 2 4 2" xfId="36574"/>
    <cellStyle name="Note 5 2 4 3 2 4 2" xfId="36575"/>
    <cellStyle name="Note 6 5 3 2 4 2" xfId="36576"/>
    <cellStyle name="Note 6 2 4 3 2 4 2" xfId="36577"/>
    <cellStyle name="Note 7 5 3 2 4 2" xfId="36578"/>
    <cellStyle name="Note 7 2 4 3 2 4 2" xfId="36579"/>
    <cellStyle name="Note 8 4 3 2 4 2" xfId="36580"/>
    <cellStyle name="Note 9 3 3 2 4 2" xfId="36581"/>
    <cellStyle name="Output 7 2 3 2 4 2" xfId="36582"/>
    <cellStyle name="Output 2 6 2 3 2 4 2" xfId="36583"/>
    <cellStyle name="Output 3 2 2 3 2 4 2" xfId="36584"/>
    <cellStyle name="Output 4 2 2 3 2 4 2" xfId="36585"/>
    <cellStyle name="Output 5 5 3 2 4 2" xfId="36586"/>
    <cellStyle name="Total 7 2 3 2 4 2" xfId="36587"/>
    <cellStyle name="Total 2 7 2 3 2 4 2" xfId="36588"/>
    <cellStyle name="Total 3 2 2 3 2 4 2" xfId="36589"/>
    <cellStyle name="Total 4 2 2 3 2 4 2" xfId="36590"/>
    <cellStyle name="Total 5 5 3 2 4 2" xfId="36591"/>
    <cellStyle name="Calculation 8 2 3 2 4 2" xfId="36592"/>
    <cellStyle name="Input 12 2 3 2 4 2" xfId="36593"/>
    <cellStyle name="Input 11 2 3 2 4 2" xfId="36594"/>
    <cellStyle name="Calculation 9 2 3 2 4 2" xfId="36595"/>
    <cellStyle name="Output 8 2 3 2 4 2" xfId="36596"/>
    <cellStyle name="Total 8 2 3 2 4 2" xfId="36597"/>
    <cellStyle name="Total 9 2 3 2 4 2" xfId="36598"/>
    <cellStyle name="Output 5 2 2 3 2 4 2" xfId="36599"/>
    <cellStyle name="Output 4 3 2 3 2 4 2" xfId="36600"/>
    <cellStyle name="Output 3 3 2 3 2 4 2" xfId="36601"/>
    <cellStyle name="Output 2 7 2 3 2 4 2" xfId="36602"/>
    <cellStyle name="Output 11 2 3 2 4 2" xfId="36603"/>
    <cellStyle name="Input 5 3 2 3 2 4 2" xfId="36604"/>
    <cellStyle name="Input 4 3 2 3 2 4 2" xfId="36605"/>
    <cellStyle name="Input 3 3 2 3 2 4 2" xfId="36606"/>
    <cellStyle name="Input 2 7 2 3 2 4 2" xfId="36607"/>
    <cellStyle name="Calculation 10 2 3 2 4 2" xfId="36608"/>
    <cellStyle name="Input 14 2 3 2 4 2" xfId="36609"/>
    <cellStyle name="Input 16 2 3 2 4 2" xfId="36610"/>
    <cellStyle name="Input 17 2 3 2 4 2" xfId="36611"/>
    <cellStyle name="Input 15 2 3 2 4 2" xfId="36612"/>
    <cellStyle name="Input 13 2 3 2 4 2" xfId="36613"/>
    <cellStyle name="Calculation 5 2 2 3 2 4 2" xfId="36614"/>
    <cellStyle name="Calculation 4 3 2 3 2 4 2" xfId="36615"/>
    <cellStyle name="Calculation 3 3 2 3 2 4 2" xfId="36616"/>
    <cellStyle name="Calculation 2 7 2 3 2 4 2" xfId="36617"/>
    <cellStyle name="Calculation 11 2 3 2 4 2" xfId="36618"/>
    <cellStyle name="Output 10 2 3 2 4 2" xfId="36619"/>
    <cellStyle name="Note 12 2 3 2 4 2" xfId="36620"/>
    <cellStyle name="Note 2 7 2 3 2 4 2" xfId="36621"/>
    <cellStyle name="Note 2 2 4 2 3 2 4 2" xfId="36622"/>
    <cellStyle name="Note 3 5 2 3 2 4 2" xfId="36623"/>
    <cellStyle name="Note 3 2 5 2 3 2 4 2" xfId="36624"/>
    <cellStyle name="Note 4 4 2 3 2 4 2" xfId="36625"/>
    <cellStyle name="Note 4 2 3 2 3 2 4 2" xfId="36626"/>
    <cellStyle name="Note 5 3 2 3 2 4 2" xfId="36627"/>
    <cellStyle name="Note 5 2 2 2 3 2 4 2" xfId="36628"/>
    <cellStyle name="Note 6 3 2 3 2 4 2" xfId="36629"/>
    <cellStyle name="Note 6 2 2 2 3 2 4 2" xfId="36630"/>
    <cellStyle name="Note 7 3 2 3 2 4 2" xfId="36631"/>
    <cellStyle name="Note 7 2 2 2 3 2 4 2" xfId="36632"/>
    <cellStyle name="Note 8 2 2 3 2 4 2" xfId="36633"/>
    <cellStyle name="Note 9 2 2 3 2 4 2" xfId="36634"/>
    <cellStyle name="Output 12 2 3 2 4 2" xfId="36635"/>
    <cellStyle name="Output 2 8 2 3 2 4 2" xfId="36636"/>
    <cellStyle name="Output 3 4 2 3 2 4 2" xfId="36637"/>
    <cellStyle name="Output 4 4 2 3 2 4 2" xfId="36638"/>
    <cellStyle name="Output 5 3 2 3 2 4 2" xfId="36639"/>
    <cellStyle name="Total 10 2 3 2 4 2" xfId="36640"/>
    <cellStyle name="Total 11 2 3 2 4 2" xfId="36641"/>
    <cellStyle name="Total 2 8 2 3 2 4 2" xfId="36642"/>
    <cellStyle name="Total 3 3 2 3 2 4 2" xfId="36643"/>
    <cellStyle name="Total 4 3 2 3 2 4 2" xfId="36644"/>
    <cellStyle name="Total 5 2 2 3 2 4 2" xfId="36645"/>
    <cellStyle name="Total 12 2 3 2 4 2" xfId="36646"/>
    <cellStyle name="Total 2 9 2 3 2 4 2" xfId="36647"/>
    <cellStyle name="Total 3 4 2 3 2 4 2" xfId="36648"/>
    <cellStyle name="Total 4 4 2 3 2 4 2" xfId="36649"/>
    <cellStyle name="Total 5 3 2 3 2 4 2" xfId="36650"/>
    <cellStyle name="Input 18 2 3 2 4 2" xfId="36651"/>
    <cellStyle name="Calculation 12 2 3 2 4 2" xfId="36652"/>
    <cellStyle name="Input 19 2 3 2 4 2" xfId="36653"/>
    <cellStyle name="Note 13 2 3 2 4 2" xfId="36654"/>
    <cellStyle name="Output 13 2 3 2 4 2" xfId="36655"/>
    <cellStyle name="Total 13 2 3 2 4 2" xfId="36656"/>
    <cellStyle name="Calculation 2 8 2 3 2 4 2" xfId="36657"/>
    <cellStyle name="Calculation 3 4 2 3 2 4 2" xfId="36658"/>
    <cellStyle name="Calculation 4 4 2 3 2 4 2" xfId="36659"/>
    <cellStyle name="Calculation 5 3 2 3 2 4 2" xfId="36660"/>
    <cellStyle name="Input 2 8 2 3 2 4 2" xfId="36661"/>
    <cellStyle name="Input 3 4 2 3 2 4 2" xfId="36662"/>
    <cellStyle name="Input 4 4 2 3 2 4 2" xfId="36663"/>
    <cellStyle name="Input 5 4 2 3 2 4 2" xfId="36664"/>
    <cellStyle name="Note 2 8 2 3 2 4 2" xfId="36665"/>
    <cellStyle name="Note 2 2 5 2 3 2 4 2" xfId="36666"/>
    <cellStyle name="Note 3 6 2 3 2 4 2" xfId="36667"/>
    <cellStyle name="Note 3 2 6 2 3 2 4 2" xfId="36668"/>
    <cellStyle name="Note 4 5 2 3 2 4 2" xfId="36669"/>
    <cellStyle name="Note 4 2 4 2 3 2 4 2" xfId="36670"/>
    <cellStyle name="Note 5 4 2 3 2 4 2" xfId="36671"/>
    <cellStyle name="Note 5 2 3 2 3 2 4 2" xfId="36672"/>
    <cellStyle name="Note 6 4 2 3 2 4 2" xfId="36673"/>
    <cellStyle name="Note 6 2 3 2 3 2 4 2" xfId="36674"/>
    <cellStyle name="Note 7 4 2 3 2 4 2" xfId="36675"/>
    <cellStyle name="Note 7 2 3 2 3 2 4 2" xfId="36676"/>
    <cellStyle name="Note 8 3 2 3 2 4 2" xfId="36677"/>
    <cellStyle name="Output 2 9 2 3 2 4 2" xfId="36678"/>
    <cellStyle name="Output 3 5 2 3 2 4 2" xfId="36679"/>
    <cellStyle name="Output 4 5 2 3 2 4 2" xfId="36680"/>
    <cellStyle name="Output 5 4 2 3 2 4 2" xfId="36681"/>
    <cellStyle name="Total 2 10 2 3 2 4 2" xfId="36682"/>
    <cellStyle name="Total 3 5 2 3 2 4 2" xfId="36683"/>
    <cellStyle name="Total 4 5 2 3 2 4 2" xfId="36684"/>
    <cellStyle name="Total 5 4 2 3 2 4 2" xfId="36685"/>
    <cellStyle name="Input 20 2 3 2 4 2" xfId="36686"/>
    <cellStyle name="Input 21 2 3 2 4 2" xfId="36687"/>
    <cellStyle name="Calculation 7 6 2 4 2" xfId="36688"/>
    <cellStyle name="Calculation 2 6 6 2 4 2" xfId="36689"/>
    <cellStyle name="Calculation 3 2 6 2 4 2" xfId="36690"/>
    <cellStyle name="Calculation 4 2 6 2 4 2" xfId="36691"/>
    <cellStyle name="Calculation 5 7 2 4 2" xfId="36692"/>
    <cellStyle name="Output 9 5 2 4 2" xfId="36693"/>
    <cellStyle name="Input 10 6 2 4 2" xfId="36694"/>
    <cellStyle name="Input 2 6 6 2 4 2" xfId="36695"/>
    <cellStyle name="Input 3 2 6 2 4 2" xfId="36696"/>
    <cellStyle name="Input 4 2 6 2 4 2" xfId="36697"/>
    <cellStyle name="Input 5 2 6 2 4 2" xfId="36698"/>
    <cellStyle name="Note 11 5 2 4 2" xfId="36699"/>
    <cellStyle name="Note 2 6 5 2 4 2" xfId="36700"/>
    <cellStyle name="Note 2 2 3 5 2 4 2" xfId="36701"/>
    <cellStyle name="Note 3 4 5 2 4 2" xfId="36702"/>
    <cellStyle name="Note 3 2 4 5 2 4 2" xfId="36703"/>
    <cellStyle name="Note 4 3 5 2 4 2" xfId="36704"/>
    <cellStyle name="Note 4 2 2 5 2 4 2" xfId="36705"/>
    <cellStyle name="Note 5 8 2 4 2" xfId="36706"/>
    <cellStyle name="Note 5 2 7 2 4 2" xfId="36707"/>
    <cellStyle name="Note 6 8 2 4 2" xfId="36708"/>
    <cellStyle name="Note 6 2 7 2 4 2" xfId="36709"/>
    <cellStyle name="Note 7 8 2 4 2" xfId="36710"/>
    <cellStyle name="Note 7 2 7 2 4 2" xfId="36711"/>
    <cellStyle name="Note 8 7 2 4 2" xfId="36712"/>
    <cellStyle name="Note 9 6 2 4 2" xfId="36713"/>
    <cellStyle name="Output 7 5 2 4 2" xfId="36714"/>
    <cellStyle name="Output 2 6 5 2 4 2" xfId="36715"/>
    <cellStyle name="Output 3 2 5 2 4 2" xfId="36716"/>
    <cellStyle name="Output 4 2 5 2 4 2" xfId="36717"/>
    <cellStyle name="Output 5 8 2 4 2" xfId="36718"/>
    <cellStyle name="Total 7 5 2 4 2" xfId="36719"/>
    <cellStyle name="Total 2 7 5 2 4 2" xfId="36720"/>
    <cellStyle name="Total 3 2 5 2 4 2" xfId="36721"/>
    <cellStyle name="Total 4 2 5 2 4 2" xfId="36722"/>
    <cellStyle name="Total 5 8 2 4 2" xfId="36723"/>
    <cellStyle name="Calculation 8 6 2 4 2" xfId="36724"/>
    <cellStyle name="Input 12 6 2 4 2" xfId="36725"/>
    <cellStyle name="Input 11 6 2 4 2" xfId="36726"/>
    <cellStyle name="Calculation 9 6 2 4 2" xfId="36727"/>
    <cellStyle name="Output 8 5 2 4 2" xfId="36728"/>
    <cellStyle name="Total 8 5 2 4 2" xfId="36729"/>
    <cellStyle name="Total 9 5 2 4 2" xfId="36730"/>
    <cellStyle name="Output 5 2 5 2 4 2" xfId="36731"/>
    <cellStyle name="Output 4 3 5 2 4 2" xfId="36732"/>
    <cellStyle name="Output 3 3 5 2 4 2" xfId="36733"/>
    <cellStyle name="Output 2 7 5 2 4 2" xfId="36734"/>
    <cellStyle name="Output 11 5 2 4 2" xfId="36735"/>
    <cellStyle name="Input 5 3 6 2 4 2" xfId="36736"/>
    <cellStyle name="Input 4 3 6 2 4 2" xfId="36737"/>
    <cellStyle name="Input 3 3 6 2 4 2" xfId="36738"/>
    <cellStyle name="Input 2 7 6 2 4 2" xfId="36739"/>
    <cellStyle name="Calculation 10 6 2 4 2" xfId="36740"/>
    <cellStyle name="Input 14 6 2 4 2" xfId="36741"/>
    <cellStyle name="Input 16 6 2 4 2" xfId="36742"/>
    <cellStyle name="Input 17 6 2 4 2" xfId="36743"/>
    <cellStyle name="Input 15 6 2 4 2" xfId="36744"/>
    <cellStyle name="Input 13 6 2 4 2" xfId="36745"/>
    <cellStyle name="Calculation 5 2 6 2 4 2" xfId="36746"/>
    <cellStyle name="Calculation 4 3 6 2 4 2" xfId="36747"/>
    <cellStyle name="Calculation 3 3 6 2 4 2" xfId="36748"/>
    <cellStyle name="Calculation 2 7 6 2 4 2" xfId="36749"/>
    <cellStyle name="Calculation 11 6 2 4 2" xfId="36750"/>
    <cellStyle name="Output 10 5 2 4 2" xfId="36751"/>
    <cellStyle name="Note 12 5 2 4 2" xfId="36752"/>
    <cellStyle name="Note 2 7 5 2 4 2" xfId="36753"/>
    <cellStyle name="Note 2 2 4 5 2 4 2" xfId="36754"/>
    <cellStyle name="Note 3 5 5 2 4 2" xfId="36755"/>
    <cellStyle name="Note 3 2 5 5 2 4 2" xfId="36756"/>
    <cellStyle name="Note 4 4 5 2 4 2" xfId="36757"/>
    <cellStyle name="Note 4 2 3 5 2 4 2" xfId="36758"/>
    <cellStyle name="Note 5 3 5 2 4 2" xfId="36759"/>
    <cellStyle name="Note 5 2 2 5 2 4 2" xfId="36760"/>
    <cellStyle name="Note 6 3 5 2 4 2" xfId="36761"/>
    <cellStyle name="Note 6 2 2 5 2 4 2" xfId="36762"/>
    <cellStyle name="Note 7 3 5 2 4 2" xfId="36763"/>
    <cellStyle name="Note 7 2 2 5 2 4 2" xfId="36764"/>
    <cellStyle name="Note 8 2 5 2 4 2" xfId="36765"/>
    <cellStyle name="Note 9 2 5 2 4 2" xfId="36766"/>
    <cellStyle name="Output 12 5 2 4 2" xfId="36767"/>
    <cellStyle name="Output 2 8 5 2 4 2" xfId="36768"/>
    <cellStyle name="Output 3 4 5 2 4 2" xfId="36769"/>
    <cellStyle name="Output 4 4 5 2 4 2" xfId="36770"/>
    <cellStyle name="Output 5 3 5 2 4 2" xfId="36771"/>
    <cellStyle name="Total 10 5 2 4 2" xfId="36772"/>
    <cellStyle name="Total 11 5 2 4 2" xfId="36773"/>
    <cellStyle name="Total 2 8 5 2 4 2" xfId="36774"/>
    <cellStyle name="Total 3 3 5 2 4 2" xfId="36775"/>
    <cellStyle name="Total 4 3 5 2 4 2" xfId="36776"/>
    <cellStyle name="Total 5 2 5 2 4 2" xfId="36777"/>
    <cellStyle name="Total 12 5 2 4 2" xfId="36778"/>
    <cellStyle name="Total 2 9 5 2 4 2" xfId="36779"/>
    <cellStyle name="Total 3 4 5 2 4 2" xfId="36780"/>
    <cellStyle name="Total 4 4 5 2 4 2" xfId="36781"/>
    <cellStyle name="Total 5 3 5 2 4 2" xfId="36782"/>
    <cellStyle name="Input 18 6 2 4 2" xfId="36783"/>
    <cellStyle name="Calculation 12 6 2 4 2" xfId="36784"/>
    <cellStyle name="Input 19 6 2 4 2" xfId="36785"/>
    <cellStyle name="Note 13 6 2 4 2" xfId="36786"/>
    <cellStyle name="Output 13 6 2 4 2" xfId="36787"/>
    <cellStyle name="Total 13 6 2 4 2" xfId="36788"/>
    <cellStyle name="Calculation 2 8 6 2 4 2" xfId="36789"/>
    <cellStyle name="Calculation 3 4 6 2 4 2" xfId="36790"/>
    <cellStyle name="Calculation 4 4 6 2 4 2" xfId="36791"/>
    <cellStyle name="Calculation 5 3 6 2 4 2" xfId="36792"/>
    <cellStyle name="Input 2 8 6 2 4 2" xfId="36793"/>
    <cellStyle name="Input 3 4 6 2 4 2" xfId="36794"/>
    <cellStyle name="Input 4 4 6 2 4 2" xfId="36795"/>
    <cellStyle name="Input 5 4 6 2 4 2" xfId="36796"/>
    <cellStyle name="Note 2 8 6 2 4 2" xfId="36797"/>
    <cellStyle name="Note 2 2 5 6 2 4 2" xfId="36798"/>
    <cellStyle name="Note 3 6 6 2 4 2" xfId="36799"/>
    <cellStyle name="Note 3 2 6 6 2 4 2" xfId="36800"/>
    <cellStyle name="Note 4 5 6 2 4 2" xfId="36801"/>
    <cellStyle name="Note 4 2 4 6 2 4 2" xfId="36802"/>
    <cellStyle name="Note 5 4 6 2 4 2" xfId="36803"/>
    <cellStyle name="Note 5 2 3 6 2 4 2" xfId="36804"/>
    <cellStyle name="Note 6 4 6 2 4 2" xfId="36805"/>
    <cellStyle name="Note 6 2 3 6 2 4 2" xfId="36806"/>
    <cellStyle name="Note 7 4 6 2 4 2" xfId="36807"/>
    <cellStyle name="Note 7 2 3 6 2 4 2" xfId="36808"/>
    <cellStyle name="Note 8 3 6 2 4 2" xfId="36809"/>
    <cellStyle name="Output 2 9 6 2 4 2" xfId="36810"/>
    <cellStyle name="Output 3 5 6 2 4 2" xfId="36811"/>
    <cellStyle name="Output 4 5 6 2 4 2" xfId="36812"/>
    <cellStyle name="Output 5 4 6 2 4 2" xfId="36813"/>
    <cellStyle name="Total 2 10 6 2 4 2" xfId="36814"/>
    <cellStyle name="Total 3 5 6 2 4 2" xfId="36815"/>
    <cellStyle name="Total 4 5 6 2 4 2" xfId="36816"/>
    <cellStyle name="Total 5 4 6 2 4 2" xfId="36817"/>
    <cellStyle name="Input 20 6 2 4 2" xfId="36818"/>
    <cellStyle name="Input 21 6 2 4 2" xfId="36819"/>
    <cellStyle name="Input 10 3 2 2 4 2" xfId="36820"/>
    <cellStyle name="Input 2 4 4 2 2 4 2" xfId="36821"/>
    <cellStyle name="Input 7 4 2 2 4 2" xfId="36822"/>
    <cellStyle name="Note 4 2 6 4 2 4 2" xfId="36823"/>
    <cellStyle name="Note 3 3 3 4 2 4 2" xfId="36824"/>
    <cellStyle name="Note 2 5 3 4 2 4 2" xfId="36825"/>
    <cellStyle name="Note 2 4 2 3 4 2 4 2" xfId="36826"/>
    <cellStyle name="Note 2 3 2 3 4 2 4 2" xfId="36827"/>
    <cellStyle name="Note 2 2 2 3 4 2 4 2" xfId="36828"/>
    <cellStyle name="Input 6 6 2 4 2" xfId="36829"/>
    <cellStyle name="Input 4 7 2 4 2" xfId="36830"/>
    <cellStyle name="Input 2 4 5 2 4 2" xfId="36831"/>
    <cellStyle name="Input 2 2 4 5 2 4 2" xfId="36832"/>
    <cellStyle name="Input 2 2 2 5 2 4 2" xfId="36833"/>
    <cellStyle name="Input 2 12 2 4 2" xfId="36834"/>
    <cellStyle name="Input 24 2 4 2" xfId="36835"/>
    <cellStyle name="Note 14 2 4 2" xfId="36836"/>
    <cellStyle name="Note 2 11 2 4 2" xfId="36837"/>
    <cellStyle name="Note 2 2 8 2 4 2" xfId="36838"/>
    <cellStyle name="Calculation 2 9 4 2 4 2" xfId="36839"/>
    <cellStyle name="Calculation 2 2 5 4 2 4 2" xfId="36840"/>
    <cellStyle name="Calculation 2 2 2 2 4 2 4 2" xfId="36841"/>
    <cellStyle name="Calculation 2 2 3 2 4 2 4 2" xfId="36842"/>
    <cellStyle name="Calculation 2 2 4 2 4 2 4 2" xfId="36843"/>
    <cellStyle name="Calculation 2 3 2 4 2 4 2" xfId="36844"/>
    <cellStyle name="Calculation 2 4 2 4 2 4 2" xfId="36845"/>
    <cellStyle name="Calculation 2 5 2 4 2 4 2" xfId="36846"/>
    <cellStyle name="Calculation 3 5 4 2 4 2" xfId="36847"/>
    <cellStyle name="Note 3 2 10 2 4 2" xfId="36848"/>
    <cellStyle name="Note 3 2 2 5 2 4 2" xfId="36849"/>
    <cellStyle name="Note 4 8 2 4 2" xfId="36850"/>
    <cellStyle name="Output 3 8 2 2 4 2" xfId="36851"/>
    <cellStyle name="Calculation 2 3 5 2 4 2" xfId="36852"/>
    <cellStyle name="Calculation 2 2 4 5 2 4 2" xfId="36853"/>
    <cellStyle name="Calculation 2 2 3 5 2 4 2" xfId="36854"/>
    <cellStyle name="Calculation 2 2 2 5 2 4 2" xfId="36855"/>
    <cellStyle name="Calculation 2 2 8 2 4 2" xfId="36856"/>
    <cellStyle name="Calculation 13 2 4 2" xfId="36857"/>
    <cellStyle name="Total 2 2 2 4 2 2 4 2" xfId="36858"/>
    <cellStyle name="Total 2 2 4 4 2 2 4 2" xfId="36859"/>
    <cellStyle name="Total 14 2 4 2" xfId="36860"/>
    <cellStyle name="Header2 2 4 2 4 2" xfId="36861"/>
    <cellStyle name="Input 2 5 3 4 2 4 2" xfId="36862"/>
    <cellStyle name="Input 2 9 4 2 4 2" xfId="36863"/>
    <cellStyle name="Input 2 2 5 4 2 4 2" xfId="36864"/>
    <cellStyle name="Input 2 2 2 2 4 2 4 2" xfId="36865"/>
    <cellStyle name="Input 2 2 3 2 4 2 4 2" xfId="36866"/>
    <cellStyle name="Input 2 2 4 2 4 2 4 2" xfId="36867"/>
    <cellStyle name="Input 2 3 2 4 2 4 2" xfId="36868"/>
    <cellStyle name="Input 2 4 2 4 2 4 2" xfId="36869"/>
    <cellStyle name="Input 2 5 2 4 2 4 2" xfId="36870"/>
    <cellStyle name="Input 3 5 4 2 4 2" xfId="36871"/>
    <cellStyle name="Input 4 5 4 2 4 2" xfId="36872"/>
    <cellStyle name="Input 5 5 4 2 4 2" xfId="36873"/>
    <cellStyle name="Input 6 3 4 2 4 2" xfId="36874"/>
    <cellStyle name="Input 7 2 4 2 4 2" xfId="36875"/>
    <cellStyle name="Input 8 2 4 2 4 2" xfId="36876"/>
    <cellStyle name="Calculation 2 5 3 4 2 4 2" xfId="36877"/>
    <cellStyle name="Total 2 4 3 4 2 4 2" xfId="36878"/>
    <cellStyle name="Total 2 2 4 3 4 2 4 2" xfId="36879"/>
    <cellStyle name="Total 2 2 3 3 4 2 4 2" xfId="36880"/>
    <cellStyle name="Total 2 12 4 2 4 2" xfId="36881"/>
    <cellStyle name="Output 14 2 4 2" xfId="36882"/>
    <cellStyle name="Note 2 4 6 2 4 2" xfId="36883"/>
    <cellStyle name="Calculation 2 2 7 2 2 4 2" xfId="36884"/>
    <cellStyle name="Calculation 2 2 4 4 2 2 4 2" xfId="36885"/>
    <cellStyle name="Header2 3 2 2 4 2" xfId="36886"/>
    <cellStyle name="Input 2 2 7 2 2 4 2" xfId="36887"/>
    <cellStyle name="Input 2 3 4 2 2 4 2" xfId="36888"/>
    <cellStyle name="Input [yellow] 3 2 4 2" xfId="36889"/>
    <cellStyle name="Total 2 2 7 2 2 4 2" xfId="36890"/>
    <cellStyle name="Total 2 4 4 2 2 4 2" xfId="36891"/>
    <cellStyle name="Note 2 9 4 2 4 2" xfId="36892"/>
    <cellStyle name="Note 2 2 6 4 2 4 2" xfId="36893"/>
    <cellStyle name="Note 2 3 3 4 2 4 2" xfId="36894"/>
    <cellStyle name="Note 2 4 3 4 2 4 2" xfId="36895"/>
    <cellStyle name="Note 3 7 4 2 4 2" xfId="36896"/>
    <cellStyle name="Note 3 2 7 4 2 4 2" xfId="36897"/>
    <cellStyle name="Output 2 10 4 2 4 2" xfId="36898"/>
    <cellStyle name="Output 2 2 5 4 2 4 2" xfId="36899"/>
    <cellStyle name="Output 2 2 2 2 4 2 4 2" xfId="36900"/>
    <cellStyle name="Output 2 2 3 2 4 2 4 2" xfId="36901"/>
    <cellStyle name="Output 2 2 4 2 4 2 4 2" xfId="36902"/>
    <cellStyle name="Output 2 3 2 4 2 4 2" xfId="36903"/>
    <cellStyle name="Output 2 4 2 4 2 4 2" xfId="36904"/>
    <cellStyle name="Output 2 5 2 4 2 4 2" xfId="36905"/>
    <cellStyle name="Output 3 6 4 2 4 2" xfId="36906"/>
    <cellStyle name="Input 7 3 4 2 4 2" xfId="36907"/>
    <cellStyle name="Input 5 6 4 2 4 2" xfId="36908"/>
    <cellStyle name="Input 3 6 4 2 4 2" xfId="36909"/>
    <cellStyle name="Input 2 4 3 4 2 4 2" xfId="36910"/>
    <cellStyle name="Input 2 2 4 3 4 2 4 2" xfId="36911"/>
    <cellStyle name="Input 2 2 2 3 4 2 4 2" xfId="36912"/>
    <cellStyle name="Input 2 10 4 2 4 2" xfId="36913"/>
    <cellStyle name="Calculation 3 6 4 2 4 2" xfId="36914"/>
    <cellStyle name="Calculation 2 4 3 4 2 4 2" xfId="36915"/>
    <cellStyle name="Calculation 2 2 4 3 4 2 4 2" xfId="36916"/>
    <cellStyle name="Calculation 2 2 2 3 4 2 4 2" xfId="36917"/>
    <cellStyle name="Calculation 2 10 4 2 4 2" xfId="36918"/>
    <cellStyle name="StmtTtl2 2 4 2 4 2" xfId="36919"/>
    <cellStyle name="Total 2 11 4 2 4 2" xfId="36920"/>
    <cellStyle name="Total 2 2 5 4 2 4 2" xfId="36921"/>
    <cellStyle name="Total 2 2 2 2 4 2 4 2" xfId="36922"/>
    <cellStyle name="Total 2 2 3 2 4 2 4 2" xfId="36923"/>
    <cellStyle name="Total 2 2 4 2 4 2 4 2" xfId="36924"/>
    <cellStyle name="Total 2 3 2 4 2 4 2" xfId="36925"/>
    <cellStyle name="Total 2 4 2 4 2 4 2" xfId="36926"/>
    <cellStyle name="Total 2 5 2 4 2 4 2" xfId="36927"/>
    <cellStyle name="Total 2 6 2 4 2 4 2" xfId="36928"/>
    <cellStyle name="Total 3 6 4 2 4 2" xfId="36929"/>
    <cellStyle name="Output 2 5 3 4 2 4 2" xfId="36930"/>
    <cellStyle name="Input 8 5 2 4 2" xfId="36931"/>
    <cellStyle name="Note 3 9 2 4 2" xfId="36932"/>
    <cellStyle name="Note 2 3 5 2 2 4 2" xfId="36933"/>
    <cellStyle name="Note 2 4 5 2 2 4 2" xfId="36934"/>
    <cellStyle name="Note 3 2 9 2 2 4 2" xfId="36935"/>
    <cellStyle name="Output 2 12 2 2 4 2" xfId="36936"/>
    <cellStyle name="Output 2 2 7 2 2 4 2" xfId="36937"/>
    <cellStyle name="Output 2 2 2 4 2 2 4 2" xfId="36938"/>
    <cellStyle name="Output 2 3 4 2 2 4 2" xfId="36939"/>
    <cellStyle name="Output 2 4 4 2 2 4 2" xfId="36940"/>
    <cellStyle name="Calculation 2 4 4 2 2 4 2" xfId="36941"/>
    <cellStyle name="Input 2 2 2 4 2 2 4 2" xfId="36942"/>
    <cellStyle name="Output 2 3 3 4 2 4 2" xfId="36943"/>
    <cellStyle name="Output 2 2 3 3 4 2 4 2" xfId="36944"/>
    <cellStyle name="Output 2 2 6 4 2 4 2" xfId="36945"/>
    <cellStyle name="Note 4 7 4 2 4 2" xfId="36946"/>
    <cellStyle name="Note 3 2 2 3 4 2 4 2" xfId="36947"/>
    <cellStyle name="Note 3 8 4 2 4 2" xfId="36948"/>
    <cellStyle name="Note 2 4 4 4 2 4 2" xfId="36949"/>
    <cellStyle name="Note 2 2 7 4 2 4 2" xfId="36950"/>
    <cellStyle name="Input 7 5 2 4 2" xfId="36951"/>
    <cellStyle name="Input 3 7 2 4 2" xfId="36952"/>
    <cellStyle name="Input 2 2 3 5 2 4 2" xfId="36953"/>
    <cellStyle name="Note 3 2 2 2 4 2 4 2" xfId="36954"/>
    <cellStyle name="Note 4 6 4 2 4 2" xfId="36955"/>
    <cellStyle name="Calculation 2 12 2 4 2" xfId="36956"/>
    <cellStyle name="Calculation 2 4 5 2 4 2" xfId="36957"/>
    <cellStyle name="Total 2 13 2 2 4 2" xfId="36958"/>
    <cellStyle name="Total 3 8 2 2 4 2" xfId="36959"/>
    <cellStyle name="Total 2 3 4 2 2 4 2" xfId="36960"/>
    <cellStyle name="Total 3 7 4 2 4 2" xfId="36961"/>
    <cellStyle name="Total 2 5 3 4 2 4 2" xfId="36962"/>
    <cellStyle name="Total 2 3 3 4 2 4 2" xfId="36963"/>
    <cellStyle name="Total 2 2 6 4 2 4 2" xfId="36964"/>
    <cellStyle name="Total 2 2 2 3 4 2 4 2" xfId="36965"/>
    <cellStyle name="StmtTtl2 3 4 2 4 2" xfId="36966"/>
    <cellStyle name="Calculation 2 11 2 2 4 2" xfId="36967"/>
    <cellStyle name="Input 23 2 4 2" xfId="36968"/>
    <cellStyle name="Input 2 11 2 2 4 2" xfId="36969"/>
    <cellStyle name="Input 2 2 4 4 2 2 4 2" xfId="36970"/>
    <cellStyle name="Input 8 4 2 2 4 2" xfId="36971"/>
    <cellStyle name="Output 3 7 4 2 4 2" xfId="36972"/>
    <cellStyle name="Input 22 2 4 2" xfId="36973"/>
    <cellStyle name="Header2 4 2 2 4 2" xfId="36974"/>
    <cellStyle name="StmtTtl2 4 2 2 4 2" xfId="36975"/>
    <cellStyle name="Total 2 2 3 4 2 2 4 2" xfId="36976"/>
    <cellStyle name="Total 2 5 4 2 2 4 2" xfId="36977"/>
    <cellStyle name="Note 2 5 2 4 2 4 2" xfId="36978"/>
    <cellStyle name="Note 2 2 2 2 4 2 4 2" xfId="36979"/>
    <cellStyle name="Note 2 3 2 2 4 2 4 2" xfId="36980"/>
    <cellStyle name="Note 2 4 2 2 4 2 4 2" xfId="36981"/>
    <cellStyle name="Note 3 3 2 4 2 4 2" xfId="36982"/>
    <cellStyle name="Input 8 3 4 2 4 2" xfId="36983"/>
    <cellStyle name="Input 6 4 4 2 4 2" xfId="36984"/>
    <cellStyle name="Input 4 6 4 2 4 2" xfId="36985"/>
    <cellStyle name="Input 2 3 3 4 2 4 2" xfId="36986"/>
    <cellStyle name="Input 2 2 3 3 4 2 4 2" xfId="36987"/>
    <cellStyle name="Input 2 2 6 4 2 4 2" xfId="36988"/>
    <cellStyle name="Calculation 2 3 3 4 2 4 2" xfId="36989"/>
    <cellStyle name="Calculation 2 2 3 3 4 2 4 2" xfId="36990"/>
    <cellStyle name="Calculation 2 2 6 4 2 4 2" xfId="36991"/>
    <cellStyle name="Calculation 3 8 2 4 2" xfId="36992"/>
    <cellStyle name="Note 3 2 2 4 2 2 4 2" xfId="36993"/>
    <cellStyle name="Output 2 2 4 4 2 2 4 2" xfId="36994"/>
    <cellStyle name="Output 2 2 3 4 2 2 4 2" xfId="36995"/>
    <cellStyle name="Input 2 2 3 4 2 2 4 2" xfId="36996"/>
    <cellStyle name="Output 2 4 3 4 2 4 2" xfId="36997"/>
    <cellStyle name="Output 2 2 4 3 4 2 4 2" xfId="36998"/>
    <cellStyle name="Output 2 2 2 3 4 2 4 2" xfId="36999"/>
    <cellStyle name="Output 2 11 4 2 4 2" xfId="37000"/>
    <cellStyle name="Note 3 2 8 4 2 4 2" xfId="37001"/>
    <cellStyle name="Note 2 3 4 4 2 4 2" xfId="37002"/>
    <cellStyle name="Note 2 10 4 2 4 2" xfId="37003"/>
    <cellStyle name="Input 5 8 2 4 2" xfId="37004"/>
    <cellStyle name="Input 2 3 5 2 4 2" xfId="37005"/>
    <cellStyle name="Input 2 2 8 2 4 2" xfId="37006"/>
    <cellStyle name="Note 4 2 5 4 2 4 2" xfId="37007"/>
    <cellStyle name="Style 21 5 2 4 2" xfId="37008"/>
    <cellStyle name="Style 21 2 5 2 4 2" xfId="37009"/>
    <cellStyle name="Style 22 5 2 4 2" xfId="37010"/>
    <cellStyle name="Style 22 2 5 2 4 2" xfId="37011"/>
    <cellStyle name="Style 23 5 2 4 2" xfId="37012"/>
    <cellStyle name="Style 23 2 5 2 4 2" xfId="37013"/>
    <cellStyle name="Style 24 5 2 4 2" xfId="37014"/>
    <cellStyle name="Style 24 2 5 2 4 2" xfId="37015"/>
    <cellStyle name="Style 25 5 2 4 2" xfId="37016"/>
    <cellStyle name="Style 25 2 5 2 4 2" xfId="37017"/>
    <cellStyle name="Style 26 5 2 4 2" xfId="37018"/>
    <cellStyle name="Style 26 2 5 2 4 2" xfId="37019"/>
    <cellStyle name="styleColumnTitles 5 2 4 2" xfId="37020"/>
    <cellStyle name="styleColumnTitles 2 5 2 4 2" xfId="37021"/>
    <cellStyle name="styleDateRange 5 2 4 2" xfId="37022"/>
    <cellStyle name="styleDateRange 2 5 2 4 2" xfId="37023"/>
    <cellStyle name="styleSeriesAttributes 5 2 4 2" xfId="37024"/>
    <cellStyle name="styleSeriesAttributes 2 5 2 4 2" xfId="37025"/>
    <cellStyle name="styleSeriesData 5 2 4 2" xfId="37026"/>
    <cellStyle name="styleSeriesData 2 5 2 4 2" xfId="37027"/>
    <cellStyle name="styleSeriesDataForecast 5 2 4 2" xfId="37028"/>
    <cellStyle name="styleSeriesDataForecast 2 5 2 4 2" xfId="37029"/>
    <cellStyle name="styleSeriesDataForecastNA 5 2 4 2" xfId="37030"/>
    <cellStyle name="styleSeriesDataForecastNA 2 5 2 4 2" xfId="37031"/>
    <cellStyle name="styleSeriesDataNA 5 2 4 2" xfId="37032"/>
    <cellStyle name="styleSeriesDataNA 2 5 2 4 2" xfId="37033"/>
    <cellStyle name="Style 21 2 2 4 2 4 2" xfId="37034"/>
    <cellStyle name="Style 22 2 2 4 2 4 2" xfId="37035"/>
    <cellStyle name="Style 23 2 2 4 2 4 2" xfId="37036"/>
    <cellStyle name="Style 24 2 2 4 2 4 2" xfId="37037"/>
    <cellStyle name="Style 25 2 2 4 2 4 2" xfId="37038"/>
    <cellStyle name="Style 26 2 2 4 2 4 2" xfId="37039"/>
    <cellStyle name="styleColumnTitles 2 2 4 2 4 2" xfId="37040"/>
    <cellStyle name="styleDateRange 2 2 4 2 4 2" xfId="37041"/>
    <cellStyle name="styleSeriesAttributes 2 2 4 2 4 2" xfId="37042"/>
    <cellStyle name="styleSeriesData 2 2 4 2 4 2" xfId="37043"/>
    <cellStyle name="styleSeriesDataForecast 2 2 4 2 4 2" xfId="37044"/>
    <cellStyle name="styleSeriesDataForecastNA 2 2 4 2 4 2" xfId="37045"/>
    <cellStyle name="styleSeriesDataNA 2 2 4 2 4 2" xfId="37046"/>
    <cellStyle name="Calculation 3 7 2 2 4 2" xfId="37047"/>
    <cellStyle name="Calculation 2 3 4 2 2 4 2" xfId="37048"/>
    <cellStyle name="Calculation 2 2 3 4 2 2 4 2" xfId="37049"/>
    <cellStyle name="Calculation 2 2 2 4 2 2 4 2" xfId="37050"/>
    <cellStyle name="Note 2 3 6 2 4 2" xfId="37051"/>
    <cellStyle name="Total 2 6 3 4 2 4 2" xfId="37052"/>
    <cellStyle name="Calculation 7 2 4 2 4 2" xfId="37053"/>
    <cellStyle name="Calculation 2 6 2 4 2 4 2" xfId="37054"/>
    <cellStyle name="Calculation 3 2 2 4 2 4 2" xfId="37055"/>
    <cellStyle name="Calculation 4 2 2 4 2 4 2" xfId="37056"/>
    <cellStyle name="Calculation 5 4 4 2 4 2" xfId="37057"/>
    <cellStyle name="Output 9 2 4 2 4 2" xfId="37058"/>
    <cellStyle name="Input 10 2 4 2 4 2" xfId="37059"/>
    <cellStyle name="Input 2 6 2 4 2 4 2" xfId="37060"/>
    <cellStyle name="Input 3 2 2 4 2 4 2" xfId="37061"/>
    <cellStyle name="Input 4 2 2 4 2 4 2" xfId="37062"/>
    <cellStyle name="Input 5 2 2 4 2 4 2" xfId="37063"/>
    <cellStyle name="Note 11 2 4 2 4 2" xfId="37064"/>
    <cellStyle name="Note 2 6 2 4 2 4 2" xfId="37065"/>
    <cellStyle name="Note 2 2 3 2 4 2 4 2" xfId="37066"/>
    <cellStyle name="Note 3 4 2 4 2 4 2" xfId="37067"/>
    <cellStyle name="Note 3 2 4 2 4 2 4 2" xfId="37068"/>
    <cellStyle name="Note 4 3 2 4 2 4 2" xfId="37069"/>
    <cellStyle name="Note 4 2 2 2 4 2 4 2" xfId="37070"/>
    <cellStyle name="Note 5 5 4 2 4 2" xfId="37071"/>
    <cellStyle name="Note 5 2 4 4 2 4 2" xfId="37072"/>
    <cellStyle name="Note 6 5 4 2 4 2" xfId="37073"/>
    <cellStyle name="Note 6 2 4 4 2 4 2" xfId="37074"/>
    <cellStyle name="Note 7 5 4 2 4 2" xfId="37075"/>
    <cellStyle name="Note 7 2 4 4 2 4 2" xfId="37076"/>
    <cellStyle name="Note 8 4 4 2 4 2" xfId="37077"/>
    <cellStyle name="Note 9 3 4 2 4 2" xfId="37078"/>
    <cellStyle name="Output 7 2 4 2 4 2" xfId="37079"/>
    <cellStyle name="Output 2 6 2 4 2 4 2" xfId="37080"/>
    <cellStyle name="Output 3 2 2 4 2 4 2" xfId="37081"/>
    <cellStyle name="Output 4 2 2 4 2 4 2" xfId="37082"/>
    <cellStyle name="Output 5 5 4 2 4 2" xfId="37083"/>
    <cellStyle name="Input 5 7 2 2 4 2" xfId="37084"/>
    <cellStyle name="Input 6 5 2 2 4 2" xfId="37085"/>
    <cellStyle name="Total 7 2 4 2 4 2" xfId="37086"/>
    <cellStyle name="Total 2 7 2 4 2 4 2" xfId="37087"/>
    <cellStyle name="Total 3 2 2 4 2 4 2" xfId="37088"/>
    <cellStyle name="Total 4 2 2 4 2 4 2" xfId="37089"/>
    <cellStyle name="Total 5 5 4 2 4 2" xfId="37090"/>
    <cellStyle name="Calculation 8 2 4 2 4 2" xfId="37091"/>
    <cellStyle name="Input 12 2 4 2 4 2" xfId="37092"/>
    <cellStyle name="Input 11 2 4 2 4 2" xfId="37093"/>
    <cellStyle name="Calculation 9 2 4 2 4 2" xfId="37094"/>
    <cellStyle name="Output 8 2 4 2 4 2" xfId="37095"/>
    <cellStyle name="Total 8 2 4 2 4 2" xfId="37096"/>
    <cellStyle name="Total 9 2 4 2 4 2" xfId="37097"/>
    <cellStyle name="Output 5 2 2 4 2 4 2" xfId="37098"/>
    <cellStyle name="Output 4 3 2 4 2 4 2" xfId="37099"/>
    <cellStyle name="Output 3 3 2 4 2 4 2" xfId="37100"/>
    <cellStyle name="Output 2 7 2 4 2 4 2" xfId="37101"/>
    <cellStyle name="Output 11 2 4 2 4 2" xfId="37102"/>
    <cellStyle name="Input 5 3 2 4 2 4 2" xfId="37103"/>
    <cellStyle name="Input 4 3 2 4 2 4 2" xfId="37104"/>
    <cellStyle name="Input 3 3 2 4 2 4 2" xfId="37105"/>
    <cellStyle name="Input 2 7 2 4 2 4 2" xfId="37106"/>
    <cellStyle name="Calculation 10 2 4 2 4 2" xfId="37107"/>
    <cellStyle name="Input 14 2 4 2 4 2" xfId="37108"/>
    <cellStyle name="Input 16 2 4 2 4 2" xfId="37109"/>
    <cellStyle name="Input 17 2 4 2 4 2" xfId="37110"/>
    <cellStyle name="Input 15 2 4 2 4 2" xfId="37111"/>
    <cellStyle name="Input 13 2 4 2 4 2" xfId="37112"/>
    <cellStyle name="Calculation 5 2 2 4 2 4 2" xfId="37113"/>
    <cellStyle name="Calculation 4 3 2 4 2 4 2" xfId="37114"/>
    <cellStyle name="Calculation 3 3 2 4 2 4 2" xfId="37115"/>
    <cellStyle name="Calculation 2 7 2 4 2 4 2" xfId="37116"/>
    <cellStyle name="Calculation 11 2 4 2 4 2" xfId="37117"/>
    <cellStyle name="Output 10 2 4 2 4 2" xfId="37118"/>
    <cellStyle name="Note 12 2 4 2 4 2" xfId="37119"/>
    <cellStyle name="Note 2 7 2 4 2 4 2" xfId="37120"/>
    <cellStyle name="Note 2 2 4 2 4 2 4 2" xfId="37121"/>
    <cellStyle name="Note 3 5 2 4 2 4 2" xfId="37122"/>
    <cellStyle name="Note 3 2 5 2 4 2 4 2" xfId="37123"/>
    <cellStyle name="Note 4 4 2 4 2 4 2" xfId="37124"/>
    <cellStyle name="Note 4 2 3 2 4 2 4 2" xfId="37125"/>
    <cellStyle name="Note 5 3 2 4 2 4 2" xfId="37126"/>
    <cellStyle name="Note 5 2 2 2 4 2 4 2" xfId="37127"/>
    <cellStyle name="Note 6 3 2 4 2 4 2" xfId="37128"/>
    <cellStyle name="Note 6 2 2 2 4 2 4 2" xfId="37129"/>
    <cellStyle name="Note 7 3 2 4 2 4 2" xfId="37130"/>
    <cellStyle name="Note 7 2 2 2 4 2 4 2" xfId="37131"/>
    <cellStyle name="Note 8 2 2 4 2 4 2" xfId="37132"/>
    <cellStyle name="Note 9 2 2 4 2 4 2" xfId="37133"/>
    <cellStyle name="Output 12 2 4 2 4 2" xfId="37134"/>
    <cellStyle name="Output 2 8 2 4 2 4 2" xfId="37135"/>
    <cellStyle name="Output 3 4 2 4 2 4 2" xfId="37136"/>
    <cellStyle name="Output 4 4 2 4 2 4 2" xfId="37137"/>
    <cellStyle name="Output 5 3 2 4 2 4 2" xfId="37138"/>
    <cellStyle name="Total 10 2 4 2 4 2" xfId="37139"/>
    <cellStyle name="Total 11 2 4 2 4 2" xfId="37140"/>
    <cellStyle name="Total 2 8 2 4 2 4 2" xfId="37141"/>
    <cellStyle name="Total 3 3 2 4 2 4 2" xfId="37142"/>
    <cellStyle name="Total 4 3 2 4 2 4 2" xfId="37143"/>
    <cellStyle name="Total 5 2 2 4 2 4 2" xfId="37144"/>
    <cellStyle name="Total 12 2 4 2 4 2" xfId="37145"/>
    <cellStyle name="Total 2 9 2 4 2 4 2" xfId="37146"/>
    <cellStyle name="Total 3 4 2 4 2 4 2" xfId="37147"/>
    <cellStyle name="Total 4 4 2 4 2 4 2" xfId="37148"/>
    <cellStyle name="Total 5 3 2 4 2 4 2" xfId="37149"/>
    <cellStyle name="Input 18 2 4 2 4 2" xfId="37150"/>
    <cellStyle name="Calculation 12 2 4 2 4 2" xfId="37151"/>
    <cellStyle name="Input 19 2 4 2 4 2" xfId="37152"/>
    <cellStyle name="Note 13 2 4 2 4 2" xfId="37153"/>
    <cellStyle name="Output 13 2 4 2 4 2" xfId="37154"/>
    <cellStyle name="Total 13 2 4 2 4 2" xfId="37155"/>
    <cellStyle name="Calculation 2 8 2 4 2 4 2" xfId="37156"/>
    <cellStyle name="Calculation 3 4 2 4 2 4 2" xfId="37157"/>
    <cellStyle name="Calculation 4 4 2 4 2 4 2" xfId="37158"/>
    <cellStyle name="Calculation 5 3 2 4 2 4 2" xfId="37159"/>
    <cellStyle name="Input 2 8 2 4 2 4 2" xfId="37160"/>
    <cellStyle name="Input 3 4 2 4 2 4 2" xfId="37161"/>
    <cellStyle name="Input 4 4 2 4 2 4 2" xfId="37162"/>
    <cellStyle name="Input 5 4 2 4 2 4 2" xfId="37163"/>
    <cellStyle name="Note 2 8 2 4 2 4 2" xfId="37164"/>
    <cellStyle name="Note 2 2 5 2 4 2 4 2" xfId="37165"/>
    <cellStyle name="Note 3 6 2 4 2 4 2" xfId="37166"/>
    <cellStyle name="Note 3 2 6 2 4 2 4 2" xfId="37167"/>
    <cellStyle name="Note 4 5 2 4 2 4 2" xfId="37168"/>
    <cellStyle name="Note 4 2 4 2 4 2 4 2" xfId="37169"/>
    <cellStyle name="Note 5 4 2 4 2 4 2" xfId="37170"/>
    <cellStyle name="Note 5 2 3 2 4 2 4 2" xfId="37171"/>
    <cellStyle name="Note 6 4 2 4 2 4 2" xfId="37172"/>
    <cellStyle name="Note 6 2 3 2 4 2 4 2" xfId="37173"/>
    <cellStyle name="Note 7 4 2 4 2 4 2" xfId="37174"/>
    <cellStyle name="Note 7 2 3 2 4 2 4 2" xfId="37175"/>
    <cellStyle name="Note 8 3 2 4 2 4 2" xfId="37176"/>
    <cellStyle name="Output 2 9 2 4 2 4 2" xfId="37177"/>
    <cellStyle name="Output 3 5 2 4 2 4 2" xfId="37178"/>
    <cellStyle name="Output 4 5 2 4 2 4 2" xfId="37179"/>
    <cellStyle name="Output 5 4 2 4 2 4 2" xfId="37180"/>
    <cellStyle name="Total 2 10 2 4 2 4 2" xfId="37181"/>
    <cellStyle name="Total 3 5 2 4 2 4 2" xfId="37182"/>
    <cellStyle name="Total 4 5 2 4 2 4 2" xfId="37183"/>
    <cellStyle name="Total 5 4 2 4 2 4 2" xfId="37184"/>
    <cellStyle name="Input 20 2 4 2 4 2" xfId="37185"/>
    <cellStyle name="Input 21 2 4 2 4 2" xfId="37186"/>
    <cellStyle name="Calculation 2 5 4 3 4 2" xfId="37187"/>
    <cellStyle name="Input 2 5 4 3 4 2" xfId="37188"/>
    <cellStyle name="Note 2 2 2 4 3 4 2" xfId="37189"/>
    <cellStyle name="Note 2 3 2 4 3 4 2" xfId="37190"/>
    <cellStyle name="Note 2 4 2 4 3 4 2" xfId="37191"/>
    <cellStyle name="Note 2 5 4 3 4 2" xfId="37192"/>
    <cellStyle name="Note 3 3 4 3 4 2" xfId="37193"/>
    <cellStyle name="Output 2 5 4 3 4 2" xfId="37194"/>
    <cellStyle name="Total 2 6 4 3 4 2" xfId="37195"/>
    <cellStyle name="Normal 366 2" xfId="37196"/>
    <cellStyle name="Normal 368" xfId="37197"/>
    <cellStyle name="Rate 5 3 2" xfId="37198"/>
    <cellStyle name="Rate 5 2 3" xfId="37199"/>
    <cellStyle name="Rate 4 2 2 2" xfId="37200"/>
    <cellStyle name="Rate 2 3" xfId="37201"/>
    <cellStyle name="Rate 3 3" xfId="37202"/>
    <cellStyle name="Rate 8" xfId="37203"/>
    <cellStyle name="Table Units 3 2" xfId="37204"/>
    <cellStyle name="Rate 7 2" xfId="37205"/>
    <cellStyle name="Rate 5 4" xfId="37206"/>
    <cellStyle name="Rate 4 3 2" xfId="37207"/>
    <cellStyle name="Rate 6 2 2" xfId="37208"/>
    <cellStyle name="Rate 4 2 3" xfId="37209"/>
    <cellStyle name="Rate 3 2 2" xfId="37210"/>
    <cellStyle name="Table Units 2 3" xfId="37211"/>
    <cellStyle name="Rate 5 2 2 2" xfId="37212"/>
    <cellStyle name="Rate 6 3" xfId="37213"/>
    <cellStyle name="Rate 4 4" xfId="37214"/>
    <cellStyle name="Table Units 2 2 2" xfId="37215"/>
    <cellStyle name="Table Units 4" xfId="37216"/>
    <cellStyle name="Rate 2 2 2" xfId="37217"/>
    <cellStyle name="Normal 370" xfId="37218"/>
    <cellStyle name="Comma 31" xfId="37219"/>
    <cellStyle name="Currency 13" xfId="37220"/>
    <cellStyle name="Percent 241" xfId="37221"/>
    <cellStyle name="Normal 2 9" xfId="37222"/>
    <cellStyle name="Comma 2 11" xfId="37223"/>
    <cellStyle name="Percent 2 8" xfId="37224"/>
    <cellStyle name="Normal 3 7" xfId="37225"/>
    <cellStyle name="Percent 3 9" xfId="37226"/>
    <cellStyle name="Currency 3 7" xfId="37227"/>
    <cellStyle name="Comma 3 17" xfId="37228"/>
    <cellStyle name="Normal 4 13" xfId="37229"/>
    <cellStyle name="Normal 371" xfId="37230"/>
    <cellStyle name="Comma 32" xfId="37231"/>
    <cellStyle name="Output 2 17" xfId="37232"/>
    <cellStyle name="Note 6 15" xfId="37233"/>
    <cellStyle name="Note 3 2 15" xfId="37234"/>
    <cellStyle name="Linked Cell 4 3" xfId="37235"/>
    <cellStyle name="Input 3 10" xfId="37236"/>
    <cellStyle name="Input 25" xfId="37237"/>
    <cellStyle name="Note 17" xfId="37238"/>
    <cellStyle name="Output 15" xfId="37239"/>
    <cellStyle name="Total 16" xfId="37240"/>
    <cellStyle name="Total 15" xfId="37241"/>
    <cellStyle name="Normal 8 12" xfId="37242"/>
    <cellStyle name="Comma 13 7" xfId="37243"/>
    <cellStyle name="Currency 7 8" xfId="37244"/>
    <cellStyle name="Rate 9" xfId="37245"/>
    <cellStyle name="Output 5 15" xfId="37246"/>
    <cellStyle name="Output 4 7" xfId="37247"/>
    <cellStyle name="Output 3 13" xfId="37248"/>
    <cellStyle name="Note 8 14" xfId="37249"/>
    <cellStyle name="Note 7 2 14" xfId="37250"/>
    <cellStyle name="Note 7 15" xfId="37251"/>
    <cellStyle name="Note 6 2 14" xfId="37252"/>
    <cellStyle name="Note 5 2 14" xfId="37253"/>
    <cellStyle name="Note 5 15" xfId="37254"/>
    <cellStyle name="Note 4 2 11" xfId="37255"/>
    <cellStyle name="Note 4 13" xfId="37256"/>
    <cellStyle name="Note 3 15" xfId="37257"/>
    <cellStyle name="Note 2 2 13" xfId="37258"/>
    <cellStyle name="Note 2 19" xfId="37259"/>
    <cellStyle name="Linked Cell 5 2" xfId="37260"/>
    <cellStyle name="Linked Cell 3 3" xfId="37261"/>
    <cellStyle name="Linked Cell 2 6" xfId="37262"/>
    <cellStyle name="Input 5 11" xfId="37263"/>
    <cellStyle name="Input 4 10" xfId="37264"/>
    <cellStyle name="Input 2 15" xfId="37265"/>
    <cellStyle name="Calculation 5 13" xfId="37266"/>
    <cellStyle name="Calculation 4 5" xfId="37267"/>
    <cellStyle name="Calculation 3 11" xfId="37268"/>
    <cellStyle name="Calculation 2 15" xfId="37269"/>
    <cellStyle name="Normal 10 13" xfId="37270"/>
    <cellStyle name="Note 2 18" xfId="37271"/>
    <cellStyle name="Note 2 2 12" xfId="37272"/>
    <cellStyle name="Note 3 14" xfId="37273"/>
    <cellStyle name="Note 3 2 14" xfId="37274"/>
    <cellStyle name="Note 4 12" xfId="37275"/>
    <cellStyle name="Note 4 2 10" xfId="37276"/>
    <cellStyle name="Note 5 14" xfId="37277"/>
    <cellStyle name="Note 5 2 13" xfId="37278"/>
    <cellStyle name="Note 6 14" xfId="37279"/>
    <cellStyle name="Note 6 2 13" xfId="37280"/>
    <cellStyle name="Note 7 14" xfId="37281"/>
    <cellStyle name="Note 7 2 13" xfId="37282"/>
    <cellStyle name="Note 8 13" xfId="37283"/>
    <cellStyle name="Output 2 16" xfId="37284"/>
    <cellStyle name="Output 3 12" xfId="37285"/>
    <cellStyle name="Output 4 6" xfId="37286"/>
    <cellStyle name="Output 5 14" xfId="37287"/>
    <cellStyle name="_Table 2" xfId="37288"/>
    <cellStyle name="Output 16" xfId="37289"/>
    <cellStyle name="Note 18" xfId="37290"/>
    <cellStyle name="Linked Cell 10" xfId="37291"/>
    <cellStyle name="Input 26" xfId="37292"/>
    <cellStyle name="Calculation 14" xfId="37293"/>
    <cellStyle name="Total 2 17" xfId="37294"/>
    <cellStyle name="Total 3 12" xfId="37295"/>
    <cellStyle name="Total 4 6" xfId="37296"/>
    <cellStyle name="Total 5 14" xfId="37297"/>
    <cellStyle name="Normal 11 14" xfId="37298"/>
    <cellStyle name="Normal 14 11" xfId="37299"/>
    <cellStyle name="Normal 43 6" xfId="37300"/>
    <cellStyle name="Normal 44 6" xfId="37301"/>
    <cellStyle name="Normal 50 2 3" xfId="37302"/>
    <cellStyle name="Normal 2 6 2" xfId="37303"/>
    <cellStyle name="Normal 2 4 4" xfId="37304"/>
    <cellStyle name="Currency 2 6 2" xfId="37305"/>
    <cellStyle name="Normal 4 3 11" xfId="37306"/>
    <cellStyle name="Normal 12 5" xfId="37307"/>
    <cellStyle name="Percent 2 3 3" xfId="37308"/>
    <cellStyle name="Currency 2 2 3" xfId="37309"/>
    <cellStyle name="Comma 2 6 3" xfId="37310"/>
    <cellStyle name="Normal 2 3 3" xfId="37311"/>
    <cellStyle name="Percent 3 3 2" xfId="37312"/>
    <cellStyle name="Currency 3 3 2" xfId="37313"/>
    <cellStyle name="Comma 3 3 5" xfId="37314"/>
    <cellStyle name="Normal 4 4 6" xfId="37315"/>
    <cellStyle name="Normal 3 3 7" xfId="37316"/>
    <cellStyle name="Rate 2 4" xfId="37317"/>
    <cellStyle name="Rate 3 4" xfId="37318"/>
    <cellStyle name="Rate 4 5" xfId="37319"/>
    <cellStyle name="Rate 4 2 4" xfId="37320"/>
    <cellStyle name="Rate 5 5" xfId="37321"/>
    <cellStyle name="Rate 5 2 4" xfId="37322"/>
    <cellStyle name="Rate 6 4" xfId="37323"/>
    <cellStyle name="Table Units 5" xfId="37324"/>
    <cellStyle name="Table Units 2 4" xfId="37325"/>
    <cellStyle name="Total 2 18" xfId="37326"/>
    <cellStyle name="Total 3 13" xfId="37327"/>
    <cellStyle name="Total 4 7" xfId="37328"/>
    <cellStyle name="Total 5 15" xfId="37329"/>
    <cellStyle name="Normal 372" xfId="37330"/>
    <cellStyle name="Comma 33" xfId="37331"/>
    <cellStyle name="Normal 373" xfId="37332"/>
    <cellStyle name="Comma 34" xfId="37333"/>
    <cellStyle name="Normal 11 15" xfId="37334"/>
    <cellStyle name="Normal 4 3 12" xfId="37335"/>
    <cellStyle name="Currency 8 4" xfId="37336"/>
    <cellStyle name="Percent 6 4" xfId="37337"/>
    <cellStyle name="Comma 8 8" xfId="37338"/>
    <cellStyle name="Normal 374" xfId="37339"/>
    <cellStyle name="Comma 35" xfId="37340"/>
    <cellStyle name="Normal 375" xfId="37341"/>
    <cellStyle name="Note 19" xfId="37342"/>
    <cellStyle name="Comma 36" xfId="37343"/>
    <cellStyle name="20% - Accent1 17" xfId="37344"/>
    <cellStyle name="40% - Accent1 17" xfId="37345"/>
    <cellStyle name="20% - Accent2 17" xfId="37346"/>
    <cellStyle name="40% - Accent2 15" xfId="37347"/>
    <cellStyle name="20% - Accent3 17" xfId="37348"/>
    <cellStyle name="40% - Accent3 17" xfId="37349"/>
    <cellStyle name="20% - Accent4 17" xfId="37350"/>
    <cellStyle name="40% - Accent4 17" xfId="37351"/>
    <cellStyle name="20% - Accent5 15" xfId="37352"/>
    <cellStyle name="40% - Accent5 15" xfId="37353"/>
    <cellStyle name="20% - Accent6 15" xfId="37354"/>
    <cellStyle name="40% - Accent6 17" xfId="37355"/>
    <cellStyle name="Normal 3 4 10" xfId="37356"/>
    <cellStyle name="Percent 242" xfId="37357"/>
    <cellStyle name="Percent 243" xfId="37358"/>
    <cellStyle name="Normal 376" xfId="37359"/>
    <cellStyle name="Normal 377" xfId="37360"/>
    <cellStyle name="Currency 14" xfId="37361"/>
    <cellStyle name="Normal 378" xfId="37362"/>
    <cellStyle name="Comma 37" xfId="37363"/>
    <cellStyle name="Normal 12 6" xfId="37364"/>
    <cellStyle name="Normal 379" xfId="37365"/>
    <cellStyle name="Currency 15" xfId="37366"/>
    <cellStyle name="Comma 38" xfId="37367"/>
    <cellStyle name="Currency 16" xfId="37368"/>
    <cellStyle name="Normal 380" xfId="37369"/>
    <cellStyle name="Normal 12 7" xfId="37370"/>
    <cellStyle name="Normal 381" xfId="37371"/>
    <cellStyle name="Comma 39" xfId="37372"/>
    <cellStyle name="Percent 244" xfId="37373"/>
    <cellStyle name="Normal 12 8" xfId="37374"/>
    <cellStyle name="Currency 17" xfId="37375"/>
    <cellStyle name="Comma 40" xfId="37376"/>
    <cellStyle name="Normal 382" xfId="37377"/>
    <cellStyle name="Normal 383" xfId="37378"/>
    <cellStyle name="Currency 18" xfId="37379"/>
    <cellStyle name="Comma 41" xfId="37380"/>
    <cellStyle name="Currency 19" xfId="37381"/>
    <cellStyle name="Normal 384" xfId="37382"/>
    <cellStyle name="Currency 20" xfId="37383"/>
    <cellStyle name="Comma 42" xfId="37384"/>
    <cellStyle name="Normal 12 9" xfId="37385"/>
    <cellStyle name="Normal 385" xfId="37386"/>
    <cellStyle name="Currency 21" xfId="37387"/>
    <cellStyle name="Normal 386" xfId="37388"/>
    <cellStyle name="Comma 43" xfId="37389"/>
    <cellStyle name="Normal 387" xfId="37390"/>
    <cellStyle name="Currency 22" xfId="37391"/>
    <cellStyle name="Comma 44" xfId="37392"/>
    <cellStyle name="Normal 388" xfId="37393"/>
    <cellStyle name="Normal 389" xfId="37394"/>
    <cellStyle name="Currency 23" xfId="37395"/>
    <cellStyle name="Comma 45" xfId="37396"/>
    <cellStyle name="Normal 387 2" xfId="37397"/>
    <cellStyle name="Comma 43 2" xfId="37398"/>
    <cellStyle name="Normal 390" xfId="37399"/>
    <cellStyle name="Comma 46" xfId="37400"/>
    <cellStyle name="Comma 3 18" xfId="37401"/>
    <cellStyle name="Comma 47" xfId="37402"/>
    <cellStyle name="Normal 391" xfId="37403"/>
    <cellStyle name="Normal 392" xfId="37404"/>
    <cellStyle name="Normal 393" xfId="37405"/>
    <cellStyle name="Currency 24" xfId="37406"/>
    <cellStyle name="Comma 48" xfId="37407"/>
    <cellStyle name="Normal 394" xfId="37408"/>
    <cellStyle name="Currency 25" xfId="37409"/>
    <cellStyle name="Comma 49" xfId="37410"/>
    <cellStyle name="Normal 395" xfId="37411"/>
    <cellStyle name="Neutral 10" xfId="37412"/>
    <cellStyle name="Normal 2 10" xfId="37413"/>
    <cellStyle name="Comma 3 19" xfId="37414"/>
    <cellStyle name="Comma 2 12" xfId="37415"/>
    <cellStyle name="Comma 50" xfId="37416"/>
    <cellStyle name="Normal 396" xfId="37417"/>
    <cellStyle name="Normal 397" xfId="37418"/>
    <cellStyle name="Currency 26" xfId="37419"/>
    <cellStyle name="Comma 51" xfId="37420"/>
    <cellStyle name="Normal 398" xfId="37421"/>
    <cellStyle name="Normal 399" xfId="37422"/>
    <cellStyle name="Comma 52" xfId="37423"/>
    <cellStyle name="Normal 400" xfId="37424"/>
  </cellStyles>
  <dxfs count="1">
    <dxf>
      <border>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customXml" Target="../customXml/item1.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customXml" Target="../customXml/item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438150</xdr:colOff>
      <xdr:row>5</xdr:row>
      <xdr:rowOff>95250</xdr:rowOff>
    </xdr:from>
    <xdr:to>
      <xdr:col>35</xdr:col>
      <xdr:colOff>457200</xdr:colOff>
      <xdr:row>5</xdr:row>
      <xdr:rowOff>95250</xdr:rowOff>
    </xdr:to>
    <xdr:cxnSp macro="">
      <xdr:nvCxnSpPr>
        <xdr:cNvPr id="4" name="Straight Arrow Connector 3"/>
        <xdr:cNvCxnSpPr/>
      </xdr:nvCxnSpPr>
      <xdr:spPr>
        <a:xfrm>
          <a:off x="9896475" y="904875"/>
          <a:ext cx="1847850" cy="0"/>
        </a:xfrm>
        <a:prstGeom prst="straightConnector1">
          <a:avLst/>
        </a:prstGeom>
        <a:ln w="1587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8000860214233"/>
  </sheetPr>
  <dimension ref="A1:H130"/>
  <sheetViews>
    <sheetView showGridLines="0" tabSelected="1" workbookViewId="0" topLeftCell="A1">
      <selection activeCell="D125" sqref="D125"/>
    </sheetView>
  </sheetViews>
  <sheetFormatPr defaultColWidth="9.140625" defaultRowHeight="12.75"/>
  <cols>
    <col min="1" max="1" width="3.8515625" style="293" customWidth="1"/>
    <col min="2" max="2" width="3.00390625" style="293" customWidth="1"/>
    <col min="3" max="3" width="3.28125" style="293" customWidth="1"/>
    <col min="4" max="4" width="54.00390625" style="293" customWidth="1"/>
    <col min="5" max="5" width="14.7109375" style="293" bestFit="1" customWidth="1"/>
    <col min="6" max="6" width="11.140625" style="293" customWidth="1"/>
    <col min="7" max="16384" width="9.140625" style="293" customWidth="1"/>
  </cols>
  <sheetData>
    <row r="1" spans="1:6" ht="12.75">
      <c r="A1" s="481" t="s">
        <v>226</v>
      </c>
      <c r="B1" s="481"/>
      <c r="C1" s="481"/>
      <c r="D1" s="481"/>
      <c r="E1" s="481"/>
      <c r="F1" s="481"/>
    </row>
    <row r="2" spans="1:6" ht="12.75">
      <c r="A2" s="481" t="s">
        <v>227</v>
      </c>
      <c r="B2" s="481"/>
      <c r="C2" s="481"/>
      <c r="D2" s="481"/>
      <c r="E2" s="481"/>
      <c r="F2" s="481"/>
    </row>
    <row r="3" spans="1:6" ht="12.75">
      <c r="A3" s="481" t="s">
        <v>246</v>
      </c>
      <c r="B3" s="481"/>
      <c r="C3" s="481"/>
      <c r="D3" s="481"/>
      <c r="E3" s="481"/>
      <c r="F3" s="481"/>
    </row>
    <row r="4" spans="1:6" ht="12.75">
      <c r="A4" s="353"/>
      <c r="B4" s="353"/>
      <c r="C4" s="353"/>
      <c r="D4" s="353"/>
      <c r="E4" s="353"/>
      <c r="F4" s="353"/>
    </row>
    <row r="5" spans="1:6" ht="12.75">
      <c r="A5" s="353"/>
      <c r="B5" s="353"/>
      <c r="C5" s="353"/>
      <c r="D5" s="353"/>
      <c r="E5" s="342" t="s">
        <v>156</v>
      </c>
      <c r="F5" s="342" t="s">
        <v>157</v>
      </c>
    </row>
    <row r="6" spans="4:6" ht="12.75">
      <c r="D6" s="344"/>
      <c r="E6" s="341">
        <v>2024</v>
      </c>
      <c r="F6" s="392">
        <f aca="true" t="shared" si="0" ref="F6">+E6+1</f>
        <v>2025</v>
      </c>
    </row>
    <row r="7" spans="1:2" ht="12.75">
      <c r="A7" s="293">
        <v>1</v>
      </c>
      <c r="B7" s="293" t="s">
        <v>164</v>
      </c>
    </row>
    <row r="8" spans="1:6" ht="12.75">
      <c r="A8" s="293">
        <v>2</v>
      </c>
      <c r="C8" s="293" t="s">
        <v>165</v>
      </c>
      <c r="E8" s="294"/>
      <c r="F8" s="294"/>
    </row>
    <row r="9" spans="1:6" ht="12.75">
      <c r="A9" s="293">
        <v>3</v>
      </c>
      <c r="D9" s="293" t="s">
        <v>166</v>
      </c>
      <c r="E9" s="294">
        <f>('IPR Data'!C4+'IPR Data'!C5+'IPR Data'!C6+'IPR Data'!C13)/1000+'IPR Data'!C82</f>
        <v>741372.2101500002</v>
      </c>
      <c r="F9" s="294">
        <f>('IPR Data'!D4+'IPR Data'!D5+'IPR Data'!D6+'IPR Data'!D13)/1000+'IPR Data'!D82</f>
        <v>806672.4150200001</v>
      </c>
    </row>
    <row r="10" spans="1:6" ht="12.75">
      <c r="A10" s="293">
        <v>4</v>
      </c>
      <c r="D10" s="293" t="s">
        <v>167</v>
      </c>
      <c r="E10" s="294">
        <f>+'IPR Data'!C16/1000</f>
        <v>27749.25004</v>
      </c>
      <c r="F10" s="294">
        <f>+'IPR Data'!D16/1000</f>
        <v>27500.000009999996</v>
      </c>
    </row>
    <row r="11" spans="1:6" ht="12.75">
      <c r="A11" s="293">
        <v>5</v>
      </c>
      <c r="D11" s="293" t="s">
        <v>168</v>
      </c>
      <c r="E11" s="294">
        <f>+'IPR Data'!C19/1000</f>
        <v>2340.9999299999995</v>
      </c>
      <c r="F11" s="294">
        <f>+'IPR Data'!D19/1000</f>
        <v>2375.0000299999992</v>
      </c>
    </row>
    <row r="12" spans="1:6" ht="12.75">
      <c r="A12" s="293">
        <v>6</v>
      </c>
      <c r="D12" s="293" t="s">
        <v>169</v>
      </c>
      <c r="E12" s="294">
        <f>+'cost table'!D17+'Modeling results'!B15</f>
        <v>195570.99998</v>
      </c>
      <c r="F12" s="294">
        <f>+'cost table'!E17+'Modeling results'!C15</f>
        <v>274315.99999</v>
      </c>
    </row>
    <row r="13" spans="1:6" ht="12.75">
      <c r="A13" s="293">
        <v>7</v>
      </c>
      <c r="D13" s="293" t="s">
        <v>129</v>
      </c>
      <c r="E13" s="294">
        <f>+'Modeling results'!B11</f>
        <v>0</v>
      </c>
      <c r="F13" s="294">
        <f>+'Modeling results'!C11</f>
        <v>0</v>
      </c>
    </row>
    <row r="14" spans="1:6" ht="12.75">
      <c r="A14" s="293">
        <v>8</v>
      </c>
      <c r="D14" s="293" t="s">
        <v>170</v>
      </c>
      <c r="E14" s="294">
        <f>+'Modeling results'!B8</f>
        <v>274777</v>
      </c>
      <c r="F14" s="294">
        <f>+'Modeling results'!C8</f>
        <v>274820</v>
      </c>
    </row>
    <row r="15" spans="1:6" ht="12.75">
      <c r="A15" s="293">
        <v>9</v>
      </c>
      <c r="D15" s="293" t="s">
        <v>171</v>
      </c>
      <c r="E15" s="294">
        <f>+'IPR Data'!C26/1000</f>
        <v>25967</v>
      </c>
      <c r="F15" s="294">
        <f>+'IPR Data'!D26/1000</f>
        <v>26767.000010000003</v>
      </c>
    </row>
    <row r="16" spans="1:6" ht="12.75">
      <c r="A16" s="293">
        <v>10</v>
      </c>
      <c r="D16" s="293" t="s">
        <v>172</v>
      </c>
      <c r="E16" s="294">
        <f>+'IPR Data'!C36/1000</f>
        <v>113681.31301000001</v>
      </c>
      <c r="F16" s="294">
        <f>+'IPR Data'!D36/1000</f>
        <v>113743.61806000002</v>
      </c>
    </row>
    <row r="17" spans="1:6" ht="12.75">
      <c r="A17" s="293">
        <v>11</v>
      </c>
      <c r="C17" s="293" t="s">
        <v>173</v>
      </c>
      <c r="E17" s="294">
        <f>+'IPR Data'!C60/1000</f>
        <v>82523.49659000001</v>
      </c>
      <c r="F17" s="294">
        <f>+'IPR Data'!D60/1000</f>
        <v>83800.82810000001</v>
      </c>
    </row>
    <row r="18" spans="1:6" ht="12.75">
      <c r="A18" s="293">
        <v>12</v>
      </c>
      <c r="C18" s="293" t="s">
        <v>174</v>
      </c>
      <c r="E18" s="294">
        <f>(+'IPR Data'!C37+'IPR Data'!C40)/1000+'Modeling results'!B28+'Modeling results'!B19</f>
        <v>209421.28199</v>
      </c>
      <c r="F18" s="294">
        <f>(+'IPR Data'!D37+'IPR Data'!D40)/1000+'Modeling results'!$C$28+'Modeling results'!$C$19</f>
        <v>210125.79898000002</v>
      </c>
    </row>
    <row r="19" spans="1:6" ht="12.75">
      <c r="A19" s="293">
        <v>13</v>
      </c>
      <c r="C19" s="293" t="s">
        <v>398</v>
      </c>
      <c r="E19" s="294">
        <f>+'IPR Data'!C64/1000</f>
        <v>313941.6472900001</v>
      </c>
      <c r="F19" s="294">
        <f>+'IPR Data'!D64/1000</f>
        <v>313572.20191999996</v>
      </c>
    </row>
    <row r="20" spans="1:6" ht="12.75">
      <c r="A20" s="293">
        <v>14</v>
      </c>
      <c r="C20" s="293" t="s">
        <v>175</v>
      </c>
      <c r="E20" s="294">
        <f>+'IPR Data'!C72/1000+'IPR Data'!C65/1000</f>
        <v>112892.95552000003</v>
      </c>
      <c r="F20" s="294">
        <f>+'IPR Data'!D72/1000+'IPR Data'!D65/1000</f>
        <v>116333.42686</v>
      </c>
    </row>
    <row r="21" spans="1:6" ht="12.75">
      <c r="A21" s="293">
        <v>15</v>
      </c>
      <c r="C21" s="293" t="s">
        <v>176</v>
      </c>
      <c r="E21" s="294">
        <f>+'cost table'!D69</f>
        <v>0</v>
      </c>
      <c r="F21" s="294">
        <f>+'cost table'!E69</f>
        <v>0</v>
      </c>
    </row>
    <row r="22" spans="1:6" ht="12.75">
      <c r="A22" s="293">
        <v>16</v>
      </c>
      <c r="C22" s="293" t="s">
        <v>187</v>
      </c>
      <c r="E22" s="294">
        <f>+Depreciation!E8</f>
        <v>139703.21333333332</v>
      </c>
      <c r="F22" s="294">
        <f>+Depreciation!F8</f>
        <v>143600.21333333332</v>
      </c>
    </row>
    <row r="23" spans="1:6" ht="12.75">
      <c r="A23" s="293">
        <v>17</v>
      </c>
      <c r="C23" s="293" t="s">
        <v>188</v>
      </c>
      <c r="E23" s="294">
        <f>+Depreciation!E14+Depreciation!E30</f>
        <v>312486.82492032886</v>
      </c>
      <c r="F23" s="294">
        <f>+Depreciation!F14+Depreciation!F30</f>
        <v>316066.0666030087</v>
      </c>
    </row>
    <row r="24" spans="1:6" ht="12.75">
      <c r="A24" s="293">
        <v>18</v>
      </c>
      <c r="C24" s="293" t="s">
        <v>775</v>
      </c>
      <c r="E24" s="294">
        <f>+Depreciation!E29</f>
        <v>40043.17800442227</v>
      </c>
      <c r="F24" s="294">
        <f>+Depreciation!F29</f>
        <v>41798.317985356014</v>
      </c>
    </row>
    <row r="25" spans="1:6" ht="12.75">
      <c r="A25" s="293">
        <v>19</v>
      </c>
      <c r="B25" s="293" t="s">
        <v>189</v>
      </c>
      <c r="E25" s="294">
        <f>SUM(E9:E24)</f>
        <v>2592471.3707580846</v>
      </c>
      <c r="F25" s="294">
        <f aca="true" t="shared" si="1" ref="F25">SUM(F9:F24)</f>
        <v>2751490.886901698</v>
      </c>
    </row>
    <row r="26" spans="1:6" ht="12.75">
      <c r="A26" s="293">
        <v>20</v>
      </c>
      <c r="E26" s="294"/>
      <c r="F26" s="294"/>
    </row>
    <row r="27" spans="1:6" ht="12.75">
      <c r="A27" s="293">
        <v>21</v>
      </c>
      <c r="B27" s="294" t="s">
        <v>757</v>
      </c>
      <c r="C27" s="294"/>
      <c r="D27" s="294"/>
      <c r="E27" s="294"/>
      <c r="F27" s="294"/>
    </row>
    <row r="28" spans="1:4" ht="12.75">
      <c r="A28" s="293">
        <v>22</v>
      </c>
      <c r="B28" s="294"/>
      <c r="C28" s="294" t="s">
        <v>178</v>
      </c>
      <c r="D28" s="294"/>
    </row>
    <row r="29" spans="1:8" ht="12.75">
      <c r="A29" s="293">
        <v>23</v>
      </c>
      <c r="B29" s="294"/>
      <c r="C29" s="294"/>
      <c r="D29" s="294" t="s">
        <v>179</v>
      </c>
      <c r="E29" s="294">
        <f>+'Federal DS'!E5</f>
        <v>34236</v>
      </c>
      <c r="F29" s="294">
        <f>+'Federal DS'!F5</f>
        <v>23203</v>
      </c>
      <c r="G29" s="295"/>
      <c r="H29" s="295"/>
    </row>
    <row r="30" spans="1:8" ht="12.75">
      <c r="A30" s="293">
        <v>24</v>
      </c>
      <c r="B30" s="294"/>
      <c r="D30" s="294" t="s">
        <v>180</v>
      </c>
      <c r="E30" s="294">
        <f>+'cost table'!D84</f>
        <v>-45937</v>
      </c>
      <c r="F30" s="294">
        <f>+'cost table'!E84</f>
        <v>-45937</v>
      </c>
      <c r="G30" s="295"/>
      <c r="H30" s="295"/>
    </row>
    <row r="31" spans="1:8" ht="12.75">
      <c r="A31" s="293">
        <v>25</v>
      </c>
      <c r="B31" s="294"/>
      <c r="C31" s="294"/>
      <c r="D31" s="294" t="s">
        <v>181</v>
      </c>
      <c r="E31" s="294">
        <f>+'Federal DS'!E4+'Federal DS'!E47</f>
        <v>39728</v>
      </c>
      <c r="F31" s="294">
        <f>+'Federal DS'!F4+'Federal DS'!F47</f>
        <v>43660</v>
      </c>
      <c r="G31" s="295"/>
      <c r="H31" s="295"/>
    </row>
    <row r="32" spans="1:8" ht="12.75">
      <c r="A32" s="293">
        <v>26</v>
      </c>
      <c r="D32" s="294" t="s">
        <v>739</v>
      </c>
      <c r="E32" s="294">
        <f>+'Federal DS'!E8</f>
        <v>11090</v>
      </c>
      <c r="F32" s="294">
        <f>+'Federal DS'!F8</f>
        <v>605</v>
      </c>
      <c r="G32" s="295"/>
      <c r="H32" s="295"/>
    </row>
    <row r="33" spans="1:8" ht="12.75">
      <c r="A33" s="293">
        <v>27</v>
      </c>
      <c r="D33" s="294" t="s">
        <v>247</v>
      </c>
      <c r="E33" s="294">
        <f>SUM('cost table'!D86:D91)</f>
        <v>234544.12039516223</v>
      </c>
      <c r="F33" s="294">
        <f>SUM('cost table'!E86:E91)</f>
        <v>230535.0147731208</v>
      </c>
      <c r="G33" s="295"/>
      <c r="H33" s="295"/>
    </row>
    <row r="34" spans="1:8" ht="12.75">
      <c r="A34" s="293">
        <v>28</v>
      </c>
      <c r="D34" s="294" t="s">
        <v>806</v>
      </c>
      <c r="E34" s="294">
        <v>-34766.96983530553</v>
      </c>
      <c r="F34" s="294">
        <v>-38005.50889684399</v>
      </c>
      <c r="G34" s="295"/>
      <c r="H34" s="295"/>
    </row>
    <row r="35" spans="1:8" ht="12.75">
      <c r="A35" s="293">
        <v>29</v>
      </c>
      <c r="D35" s="294" t="s">
        <v>805</v>
      </c>
      <c r="E35" s="295">
        <v>499.5126566666666</v>
      </c>
      <c r="F35" s="295">
        <v>499.5126566666666</v>
      </c>
      <c r="G35" s="295"/>
      <c r="H35" s="295"/>
    </row>
    <row r="36" spans="1:8" ht="12.75">
      <c r="A36" s="293">
        <v>30</v>
      </c>
      <c r="C36" s="294" t="s">
        <v>182</v>
      </c>
      <c r="D36" s="294"/>
      <c r="E36" s="294">
        <f>+'cost table'!D96</f>
        <v>-17821.3925</v>
      </c>
      <c r="F36" s="294">
        <f>+'cost table'!E96</f>
        <v>-18137.16688</v>
      </c>
      <c r="G36" s="295"/>
      <c r="H36" s="295"/>
    </row>
    <row r="37" spans="1:6" ht="12.75">
      <c r="A37" s="293">
        <v>31</v>
      </c>
      <c r="B37" s="294"/>
      <c r="C37" s="294" t="s">
        <v>183</v>
      </c>
      <c r="D37" s="294"/>
      <c r="E37" s="294">
        <f>+'interest credit calculations'!C10</f>
        <v>-3417.796754691189</v>
      </c>
      <c r="F37" s="294">
        <f>+'interest credit calculations'!D10</f>
        <v>-5774.6588958380635</v>
      </c>
    </row>
    <row r="38" spans="1:6" ht="12.75">
      <c r="A38" s="293">
        <v>32</v>
      </c>
      <c r="B38" s="294"/>
      <c r="C38" s="294" t="s">
        <v>758</v>
      </c>
      <c r="D38" s="294"/>
      <c r="E38" s="294">
        <v>-11469.375955208217</v>
      </c>
      <c r="F38" s="294">
        <v>-12191.081595996058</v>
      </c>
    </row>
    <row r="39" spans="1:6" ht="12.75">
      <c r="A39" s="293">
        <v>33</v>
      </c>
      <c r="B39" s="294"/>
      <c r="C39" s="294" t="s">
        <v>798</v>
      </c>
      <c r="D39" s="294"/>
      <c r="E39" s="296">
        <v>-4335.0951722724485</v>
      </c>
      <c r="F39" s="296">
        <v>-4607.879206155341</v>
      </c>
    </row>
    <row r="40" spans="1:6" ht="12.75">
      <c r="A40" s="293">
        <v>34</v>
      </c>
      <c r="B40" s="294" t="s">
        <v>768</v>
      </c>
      <c r="C40" s="294"/>
      <c r="D40" s="294"/>
      <c r="E40" s="294">
        <f>SUM(E29:E39)</f>
        <v>202350.00283435156</v>
      </c>
      <c r="F40" s="294">
        <f>SUM(F29:F39)</f>
        <v>173849.231954954</v>
      </c>
    </row>
    <row r="41" spans="1:6" ht="12.75">
      <c r="A41" s="293">
        <v>35</v>
      </c>
      <c r="B41" s="294"/>
      <c r="C41" s="294"/>
      <c r="D41" s="294"/>
      <c r="E41" s="296"/>
      <c r="F41" s="294"/>
    </row>
    <row r="42" spans="1:6" ht="12.75">
      <c r="A42" s="293">
        <v>36</v>
      </c>
      <c r="B42" s="294" t="s">
        <v>184</v>
      </c>
      <c r="C42" s="294"/>
      <c r="D42" s="294"/>
      <c r="E42" s="294">
        <f>E40+E25</f>
        <v>2794821.3735924363</v>
      </c>
      <c r="F42" s="294">
        <f>F40+F25</f>
        <v>2925340.118856652</v>
      </c>
    </row>
    <row r="43" spans="1:6" ht="12.75">
      <c r="A43" s="293">
        <v>37</v>
      </c>
      <c r="B43" s="294"/>
      <c r="C43" s="294"/>
      <c r="D43" s="294"/>
      <c r="E43" s="294"/>
      <c r="F43" s="294"/>
    </row>
    <row r="44" spans="1:6" ht="12.75">
      <c r="A44" s="293">
        <v>38</v>
      </c>
      <c r="B44" s="294" t="s">
        <v>185</v>
      </c>
      <c r="C44" s="294"/>
      <c r="D44" s="294"/>
      <c r="E44" s="294">
        <f>E61</f>
        <v>155157.78690287287</v>
      </c>
      <c r="F44" s="294">
        <f>F61</f>
        <v>155327.1420355099</v>
      </c>
    </row>
    <row r="45" spans="1:6" ht="12.75">
      <c r="A45" s="293">
        <v>39</v>
      </c>
      <c r="B45" s="294" t="s">
        <v>186</v>
      </c>
      <c r="C45" s="294"/>
      <c r="D45" s="294"/>
      <c r="E45" s="294">
        <f>+'Modeling results'!B31</f>
        <v>129000</v>
      </c>
      <c r="F45" s="294">
        <f>+'Modeling results'!C31</f>
        <v>129000</v>
      </c>
    </row>
    <row r="46" spans="1:6" ht="12.75">
      <c r="A46" s="293">
        <v>40</v>
      </c>
      <c r="B46" s="294" t="s">
        <v>833</v>
      </c>
      <c r="C46" s="294"/>
      <c r="D46" s="294"/>
      <c r="E46" s="294">
        <f>E44+E45</f>
        <v>284157.78690287285</v>
      </c>
      <c r="F46" s="294">
        <f>F44+F45</f>
        <v>284327.1420355099</v>
      </c>
    </row>
    <row r="47" spans="1:6" ht="12.75">
      <c r="A47" s="293">
        <v>41</v>
      </c>
      <c r="B47" s="294"/>
      <c r="C47" s="294"/>
      <c r="D47" s="294"/>
      <c r="E47" s="294"/>
      <c r="F47" s="294"/>
    </row>
    <row r="48" spans="1:6" ht="12.75">
      <c r="A48" s="293">
        <v>42</v>
      </c>
      <c r="B48" s="308" t="s">
        <v>228</v>
      </c>
      <c r="C48" s="294"/>
      <c r="D48" s="294"/>
      <c r="E48" s="308">
        <f>E46+E42</f>
        <v>3078979.160495309</v>
      </c>
      <c r="F48" s="308">
        <f>F46+F42</f>
        <v>3209667.260892162</v>
      </c>
    </row>
    <row r="49" spans="5:6" ht="12.75">
      <c r="E49" s="294"/>
      <c r="F49" s="294"/>
    </row>
    <row r="50" spans="5:6" ht="12.75">
      <c r="E50" s="294"/>
      <c r="F50" s="294"/>
    </row>
    <row r="51" spans="1:6" ht="12.75">
      <c r="A51" s="354" t="s">
        <v>229</v>
      </c>
      <c r="B51" s="293" t="s">
        <v>647</v>
      </c>
      <c r="E51" s="295"/>
      <c r="F51" s="295"/>
    </row>
    <row r="52" spans="1:6" ht="12.75">
      <c r="A52" s="354"/>
      <c r="E52" s="295"/>
      <c r="F52" s="295"/>
    </row>
    <row r="53" spans="5:6" ht="12.75">
      <c r="E53" s="355"/>
      <c r="F53" s="355"/>
    </row>
    <row r="54" spans="1:6" ht="12.75">
      <c r="A54" s="481" t="s">
        <v>226</v>
      </c>
      <c r="B54" s="481"/>
      <c r="C54" s="481"/>
      <c r="D54" s="481"/>
      <c r="E54" s="481"/>
      <c r="F54" s="481"/>
    </row>
    <row r="55" spans="1:6" ht="12.75">
      <c r="A55" s="481" t="s">
        <v>230</v>
      </c>
      <c r="B55" s="481"/>
      <c r="C55" s="481"/>
      <c r="D55" s="481"/>
      <c r="E55" s="481"/>
      <c r="F55" s="481"/>
    </row>
    <row r="56" spans="1:6" ht="12.75">
      <c r="A56" s="481" t="s">
        <v>246</v>
      </c>
      <c r="B56" s="481"/>
      <c r="C56" s="481"/>
      <c r="D56" s="481"/>
      <c r="E56" s="481"/>
      <c r="F56" s="481"/>
    </row>
    <row r="57" spans="1:6" ht="12.75">
      <c r="A57" s="294"/>
      <c r="B57" s="294"/>
      <c r="C57" s="294"/>
      <c r="D57" s="294"/>
      <c r="E57" s="294"/>
      <c r="F57" s="294"/>
    </row>
    <row r="58" spans="1:6" ht="12.75">
      <c r="A58" s="294"/>
      <c r="B58" s="294"/>
      <c r="C58" s="294"/>
      <c r="D58" s="294"/>
      <c r="E58" s="342" t="s">
        <v>156</v>
      </c>
      <c r="F58" s="342" t="s">
        <v>157</v>
      </c>
    </row>
    <row r="59" spans="1:6" ht="12.75">
      <c r="A59" s="294"/>
      <c r="B59" s="294"/>
      <c r="C59" s="294"/>
      <c r="D59" s="344"/>
      <c r="E59" s="341">
        <f aca="true" t="shared" si="2" ref="E59:F59">+E6</f>
        <v>2024</v>
      </c>
      <c r="F59" s="392">
        <f t="shared" si="2"/>
        <v>2025</v>
      </c>
    </row>
    <row r="60" spans="1:6" ht="12.75">
      <c r="A60" s="294">
        <v>1</v>
      </c>
      <c r="B60" s="294" t="s">
        <v>231</v>
      </c>
      <c r="C60" s="294"/>
      <c r="D60" s="294"/>
      <c r="E60" s="294"/>
      <c r="F60" s="294"/>
    </row>
    <row r="61" spans="1:6" ht="12.75">
      <c r="A61" s="294">
        <v>2</v>
      </c>
      <c r="B61" s="294"/>
      <c r="C61" s="294" t="s">
        <v>185</v>
      </c>
      <c r="D61" s="294"/>
      <c r="E61" s="294">
        <f>IF(SUM(E63:E72)+E79+E89&gt;0,0,-(SUM(E63:E72)+E79+E89))</f>
        <v>155157.78690287287</v>
      </c>
      <c r="F61" s="294">
        <f aca="true" t="shared" si="3" ref="F61">IF(SUM(F63:F72)+F79+F89&gt;0,0,-(SUM(F63:F72)+F79+F89))</f>
        <v>155327.1420355099</v>
      </c>
    </row>
    <row r="62" spans="1:6" ht="12.75">
      <c r="A62" s="294">
        <v>3</v>
      </c>
      <c r="B62" s="294"/>
      <c r="C62" s="294" t="s">
        <v>232</v>
      </c>
      <c r="D62" s="294"/>
      <c r="E62" s="294"/>
      <c r="F62" s="294"/>
    </row>
    <row r="63" spans="1:6" ht="12.75">
      <c r="A63" s="294">
        <v>4</v>
      </c>
      <c r="B63" s="294"/>
      <c r="C63" s="294"/>
      <c r="D63" s="294" t="s">
        <v>247</v>
      </c>
      <c r="E63" s="294">
        <f>+'cost table'!D86</f>
        <v>5694.264395162258</v>
      </c>
      <c r="F63" s="294">
        <f>+'cost table'!E86</f>
        <v>4538.673773120818</v>
      </c>
    </row>
    <row r="64" spans="1:6" ht="12.75">
      <c r="A64" s="294">
        <v>5</v>
      </c>
      <c r="B64" s="294"/>
      <c r="C64" s="294"/>
      <c r="D64" s="294" t="s">
        <v>233</v>
      </c>
      <c r="E64" s="294">
        <f aca="true" t="shared" si="4" ref="E64:F64">E23+E22</f>
        <v>452190.0382536622</v>
      </c>
      <c r="F64" s="294">
        <f t="shared" si="4"/>
        <v>459666.27993634203</v>
      </c>
    </row>
    <row r="65" spans="1:6" ht="12.75">
      <c r="A65" s="294">
        <v>6</v>
      </c>
      <c r="B65" s="294"/>
      <c r="C65" s="294"/>
      <c r="D65" s="294" t="s">
        <v>775</v>
      </c>
      <c r="E65" s="294">
        <f aca="true" t="shared" si="5" ref="E65:F65">+E24</f>
        <v>40043.17800442227</v>
      </c>
      <c r="F65" s="294">
        <f t="shared" si="5"/>
        <v>41798.317985356014</v>
      </c>
    </row>
    <row r="66" spans="1:6" ht="12.75">
      <c r="A66" s="294">
        <v>7</v>
      </c>
      <c r="B66" s="294"/>
      <c r="C66" s="294"/>
      <c r="D66" s="294" t="s">
        <v>628</v>
      </c>
      <c r="E66" s="294">
        <f>+E39+E38-'cost table'!D121</f>
        <v>-15804.471127480665</v>
      </c>
      <c r="F66" s="294">
        <f>+F39+F38-'cost table'!E121</f>
        <v>-16798.9608021514</v>
      </c>
    </row>
    <row r="67" spans="1:6" ht="12.75">
      <c r="A67" s="294">
        <v>8</v>
      </c>
      <c r="B67" s="294"/>
      <c r="C67" s="294"/>
      <c r="D67" s="294" t="s">
        <v>180</v>
      </c>
      <c r="E67" s="294">
        <f aca="true" t="shared" si="6" ref="E67:F67">E30</f>
        <v>-45937</v>
      </c>
      <c r="F67" s="294">
        <f t="shared" si="6"/>
        <v>-45937</v>
      </c>
    </row>
    <row r="68" spans="1:6" ht="12.75">
      <c r="A68" s="294">
        <v>9</v>
      </c>
      <c r="B68" s="294"/>
      <c r="D68" s="294" t="s">
        <v>402</v>
      </c>
      <c r="E68" s="294">
        <f>-'Federal DS'!D16</f>
        <v>-30600</v>
      </c>
      <c r="F68" s="294">
        <f>-'Federal DS'!E16</f>
        <v>-30600</v>
      </c>
    </row>
    <row r="69" spans="1:6" ht="12.75">
      <c r="A69" s="294">
        <v>10</v>
      </c>
      <c r="B69" s="294"/>
      <c r="D69" s="294" t="s">
        <v>806</v>
      </c>
      <c r="E69" s="294">
        <f aca="true" t="shared" si="7" ref="E69:F69">E34</f>
        <v>-34766.96983530553</v>
      </c>
      <c r="F69" s="294">
        <f t="shared" si="7"/>
        <v>-38005.50889684399</v>
      </c>
    </row>
    <row r="70" spans="1:6" ht="12.75">
      <c r="A70" s="294">
        <v>11</v>
      </c>
      <c r="B70" s="294"/>
      <c r="D70" s="294" t="s">
        <v>805</v>
      </c>
      <c r="E70" s="294">
        <f aca="true" t="shared" si="8" ref="E70:F70">E35</f>
        <v>499.5126566666666</v>
      </c>
      <c r="F70" s="294">
        <f t="shared" si="8"/>
        <v>499.5126566666666</v>
      </c>
    </row>
    <row r="71" spans="1:6" ht="12.75" customHeight="1">
      <c r="A71" s="294">
        <v>12</v>
      </c>
      <c r="B71" s="294"/>
      <c r="C71" s="293" t="s">
        <v>844</v>
      </c>
      <c r="D71" s="294"/>
      <c r="E71" s="294">
        <f>-'IPR Data'!C80/1000</f>
        <v>-15100</v>
      </c>
      <c r="F71" s="294">
        <f>-'IPR Data'!D80/1000</f>
        <v>-15100</v>
      </c>
    </row>
    <row r="72" spans="1:6" ht="12.75" customHeight="1">
      <c r="A72" s="294">
        <v>13</v>
      </c>
      <c r="B72" s="294"/>
      <c r="C72" s="294" t="s">
        <v>725</v>
      </c>
      <c r="D72" s="294"/>
      <c r="E72" s="300">
        <f>+'Non-Federal DS'!G88/1000</f>
        <v>17600</v>
      </c>
      <c r="F72" s="300">
        <f>+'Non-Federal DS'!H88/1000</f>
        <v>0</v>
      </c>
    </row>
    <row r="73" spans="1:6" ht="12.75">
      <c r="A73" s="294">
        <v>14</v>
      </c>
      <c r="B73" s="294" t="s">
        <v>234</v>
      </c>
      <c r="C73" s="294"/>
      <c r="D73" s="294"/>
      <c r="E73" s="301">
        <f aca="true" t="shared" si="9" ref="E73:F73">SUM(E61:E72)</f>
        <v>528976.3392500001</v>
      </c>
      <c r="F73" s="301">
        <f t="shared" si="9"/>
        <v>515388.4566880001</v>
      </c>
    </row>
    <row r="74" spans="1:6" ht="12.75">
      <c r="A74" s="294">
        <v>15</v>
      </c>
      <c r="B74" s="294"/>
      <c r="C74" s="294"/>
      <c r="D74" s="294"/>
      <c r="E74" s="294"/>
      <c r="F74" s="294"/>
    </row>
    <row r="75" spans="1:6" ht="12.75">
      <c r="A75" s="294">
        <v>16</v>
      </c>
      <c r="B75" s="294" t="s">
        <v>487</v>
      </c>
      <c r="C75" s="294"/>
      <c r="D75" s="294"/>
      <c r="E75" s="294"/>
      <c r="F75" s="294"/>
    </row>
    <row r="76" spans="1:6" ht="12.75">
      <c r="A76" s="294">
        <v>17</v>
      </c>
      <c r="B76" s="294"/>
      <c r="C76" s="294" t="s">
        <v>235</v>
      </c>
      <c r="D76" s="294"/>
      <c r="E76" s="294"/>
      <c r="F76" s="294"/>
    </row>
    <row r="77" spans="1:6" ht="12.75">
      <c r="A77" s="294">
        <v>18</v>
      </c>
      <c r="B77" s="294"/>
      <c r="C77" s="294"/>
      <c r="D77" s="294" t="s">
        <v>236</v>
      </c>
      <c r="E77" s="294">
        <f>-(+'Fed Projections'!E6+'Fed Projections'!E9+'Fed Projections'!E8)</f>
        <v>-274444.47724764</v>
      </c>
      <c r="F77" s="294">
        <f>-(+'Fed Projections'!F6+'Fed Projections'!F9+'Fed Projections'!F8)</f>
        <v>-280650.897</v>
      </c>
    </row>
    <row r="78" spans="1:6" ht="12.75">
      <c r="A78" s="294">
        <v>19</v>
      </c>
      <c r="B78" s="294"/>
      <c r="C78" s="294"/>
      <c r="D78" s="294" t="s">
        <v>223</v>
      </c>
      <c r="E78" s="296">
        <f>-'Fed Projections'!E10</f>
        <v>-41000</v>
      </c>
      <c r="F78" s="296">
        <f>-'Fed Projections'!F10</f>
        <v>-41000</v>
      </c>
    </row>
    <row r="79" spans="1:6" ht="12.75">
      <c r="A79" s="294">
        <v>20</v>
      </c>
      <c r="B79" s="294" t="s">
        <v>404</v>
      </c>
      <c r="C79" s="294"/>
      <c r="D79" s="294"/>
      <c r="E79" s="294">
        <f>SUM(E77:E78)</f>
        <v>-315444.47724764</v>
      </c>
      <c r="F79" s="294">
        <f>SUM(F77:F78)</f>
        <v>-321650.897</v>
      </c>
    </row>
    <row r="80" spans="1:6" ht="12.75">
      <c r="A80" s="294">
        <v>21</v>
      </c>
      <c r="B80" s="294"/>
      <c r="C80" s="294"/>
      <c r="D80" s="294"/>
      <c r="E80" s="294"/>
      <c r="F80" s="294"/>
    </row>
    <row r="81" spans="1:6" ht="12.75">
      <c r="A81" s="294">
        <v>22</v>
      </c>
      <c r="B81" s="294" t="s">
        <v>237</v>
      </c>
      <c r="C81" s="294"/>
      <c r="D81" s="294"/>
      <c r="E81" s="294"/>
      <c r="F81" s="294"/>
    </row>
    <row r="82" spans="1:6" ht="12.75">
      <c r="A82" s="294">
        <v>23</v>
      </c>
      <c r="C82" s="294" t="s">
        <v>238</v>
      </c>
      <c r="D82" s="294"/>
      <c r="E82" s="294">
        <f>-E79-E84-E87-'Federal DS'!E38</f>
        <v>268256.86075</v>
      </c>
      <c r="F82" s="294">
        <f>-F79-F84-F87-'Federal DS'!F38</f>
        <v>274710.393312</v>
      </c>
    </row>
    <row r="83" spans="1:6" ht="12.75">
      <c r="A83" s="294">
        <v>24</v>
      </c>
      <c r="C83" s="294" t="s">
        <v>239</v>
      </c>
      <c r="D83" s="294"/>
      <c r="E83" s="294">
        <f>-'Federal DS'!E14</f>
        <v>-181200</v>
      </c>
      <c r="F83" s="294">
        <f>-'Federal DS'!F14</f>
        <v>-236863</v>
      </c>
    </row>
    <row r="84" spans="1:6" ht="12.75">
      <c r="A84" s="294">
        <v>25</v>
      </c>
      <c r="C84" s="294" t="s">
        <v>240</v>
      </c>
      <c r="D84" s="294"/>
      <c r="E84" s="294">
        <f>+'Fed Projections'!E8</f>
        <v>13444.47724764</v>
      </c>
      <c r="F84" s="294">
        <f>+'Fed Projections'!F8</f>
        <v>12650.897</v>
      </c>
    </row>
    <row r="85" spans="1:6" ht="12.75">
      <c r="A85" s="294">
        <v>26</v>
      </c>
      <c r="C85" s="294" t="s">
        <v>241</v>
      </c>
      <c r="D85" s="294"/>
      <c r="E85" s="294">
        <f>-'Federal DS'!E13</f>
        <v>-278799</v>
      </c>
      <c r="F85" s="294">
        <f>-'Federal DS'!F13</f>
        <v>-209137</v>
      </c>
    </row>
    <row r="86" spans="1:6" ht="12.75">
      <c r="A86" s="294">
        <v>27</v>
      </c>
      <c r="C86" s="294" t="s">
        <v>629</v>
      </c>
      <c r="D86" s="294"/>
      <c r="E86" s="294">
        <f>-'Non-Federal DS'!G46</f>
        <v>-27167.200000000008</v>
      </c>
      <c r="F86" s="294">
        <f>-'Non-Federal DS'!H46</f>
        <v>-21092.85</v>
      </c>
    </row>
    <row r="87" spans="1:6" ht="12.75">
      <c r="A87" s="294">
        <v>28</v>
      </c>
      <c r="C87" s="294" t="s">
        <v>408</v>
      </c>
      <c r="D87" s="294"/>
      <c r="E87" s="294">
        <v>0</v>
      </c>
      <c r="F87" s="294">
        <v>0</v>
      </c>
    </row>
    <row r="88" spans="1:6" ht="12.75">
      <c r="A88" s="294">
        <v>29</v>
      </c>
      <c r="C88" s="294" t="s">
        <v>242</v>
      </c>
      <c r="D88" s="294"/>
      <c r="E88" s="296">
        <f>-'Federal DS'!E15</f>
        <v>-8067</v>
      </c>
      <c r="F88" s="296">
        <f>-'Federal DS'!F15</f>
        <v>-14006</v>
      </c>
    </row>
    <row r="89" spans="1:6" ht="12.75">
      <c r="A89" s="294">
        <v>30</v>
      </c>
      <c r="B89" s="294" t="s">
        <v>243</v>
      </c>
      <c r="C89" s="294"/>
      <c r="D89" s="294"/>
      <c r="E89" s="294">
        <f aca="true" t="shared" si="10" ref="E89:F89">SUM(E82:E88)</f>
        <v>-213531.86200236002</v>
      </c>
      <c r="F89" s="294">
        <f t="shared" si="10"/>
        <v>-193737.55968800004</v>
      </c>
    </row>
    <row r="90" spans="1:6" ht="12.75">
      <c r="A90" s="294">
        <v>31</v>
      </c>
      <c r="B90" s="294"/>
      <c r="C90" s="294"/>
      <c r="D90" s="294"/>
      <c r="E90" s="294"/>
      <c r="F90" s="294"/>
    </row>
    <row r="91" spans="1:6" ht="12.75">
      <c r="A91" s="294">
        <v>32</v>
      </c>
      <c r="B91" s="294" t="s">
        <v>244</v>
      </c>
      <c r="C91" s="294"/>
      <c r="D91" s="294"/>
      <c r="E91" s="294">
        <f aca="true" t="shared" si="11" ref="E91:F91">E73+E79+E89</f>
        <v>0</v>
      </c>
      <c r="F91" s="294">
        <f t="shared" si="11"/>
        <v>0</v>
      </c>
    </row>
    <row r="92" spans="1:6" ht="12.75">
      <c r="A92" s="294">
        <v>33</v>
      </c>
      <c r="B92" s="294"/>
      <c r="C92" s="294"/>
      <c r="D92" s="294"/>
      <c r="E92" s="294"/>
      <c r="F92" s="294"/>
    </row>
    <row r="93" spans="1:6" ht="12.75">
      <c r="A93" s="294">
        <v>34</v>
      </c>
      <c r="B93" s="294" t="s">
        <v>186</v>
      </c>
      <c r="C93" s="294"/>
      <c r="D93" s="294"/>
      <c r="E93" s="294">
        <f aca="true" t="shared" si="12" ref="E93:F93">E45</f>
        <v>129000</v>
      </c>
      <c r="F93" s="294">
        <f t="shared" si="12"/>
        <v>129000</v>
      </c>
    </row>
    <row r="94" spans="1:6" ht="12.75">
      <c r="A94" s="294">
        <v>35</v>
      </c>
      <c r="B94" s="294"/>
      <c r="C94" s="294"/>
      <c r="D94" s="294"/>
      <c r="E94" s="294"/>
      <c r="F94" s="294"/>
    </row>
    <row r="95" spans="1:6" ht="12.75">
      <c r="A95" s="294">
        <v>36</v>
      </c>
      <c r="B95" s="294" t="s">
        <v>245</v>
      </c>
      <c r="C95" s="294"/>
      <c r="D95" s="294"/>
      <c r="E95" s="294">
        <f>E91+E93</f>
        <v>129000</v>
      </c>
      <c r="F95" s="294">
        <f>F91+F93</f>
        <v>129000</v>
      </c>
    </row>
    <row r="96" spans="3:6" ht="12.75">
      <c r="C96" s="294"/>
      <c r="D96" s="294"/>
      <c r="E96" s="294"/>
      <c r="F96" s="294"/>
    </row>
    <row r="97" spans="1:6" ht="12.75">
      <c r="A97" s="354" t="s">
        <v>229</v>
      </c>
      <c r="B97" s="293" t="s">
        <v>624</v>
      </c>
      <c r="C97" s="294"/>
      <c r="D97" s="294"/>
      <c r="E97" s="294"/>
      <c r="F97" s="294"/>
    </row>
    <row r="98" spans="1:6" ht="12.75">
      <c r="A98" s="294"/>
      <c r="B98" s="294" t="s">
        <v>625</v>
      </c>
      <c r="C98" s="294"/>
      <c r="D98" s="294"/>
      <c r="E98" s="294"/>
      <c r="F98" s="294"/>
    </row>
    <row r="99" spans="1:6" ht="12.75">
      <c r="A99" s="294"/>
      <c r="B99" s="294"/>
      <c r="C99" s="294"/>
      <c r="D99" s="294"/>
      <c r="E99" s="294"/>
      <c r="F99" s="294"/>
    </row>
    <row r="100" spans="5:6" ht="12.75">
      <c r="E100" s="294"/>
      <c r="F100" s="294"/>
    </row>
    <row r="101" spans="5:6" ht="12.75">
      <c r="E101" s="294"/>
      <c r="F101" s="294"/>
    </row>
    <row r="103" spans="4:6" ht="12.75">
      <c r="D103" s="481" t="s">
        <v>859</v>
      </c>
      <c r="E103" s="481"/>
      <c r="F103" s="481"/>
    </row>
    <row r="104" spans="4:6" ht="12.75">
      <c r="D104" s="482" t="s">
        <v>246</v>
      </c>
      <c r="E104" s="482"/>
      <c r="F104" s="482"/>
    </row>
    <row r="106" spans="5:6" ht="12.75">
      <c r="E106" s="393">
        <v>2024</v>
      </c>
      <c r="F106" s="393">
        <v>2025</v>
      </c>
    </row>
    <row r="107" ht="12.75">
      <c r="D107" s="393" t="s">
        <v>856</v>
      </c>
    </row>
    <row r="108" spans="3:6" ht="12.75">
      <c r="C108" s="293">
        <v>1</v>
      </c>
      <c r="D108" s="294" t="str">
        <f>+D63</f>
        <v>NON-FEDERAL INTEREST</v>
      </c>
      <c r="E108" s="294">
        <f>+E63</f>
        <v>5694.264395162258</v>
      </c>
      <c r="F108" s="294">
        <f>+F63</f>
        <v>4538.673773120818</v>
      </c>
    </row>
    <row r="109" spans="3:6" ht="12.75">
      <c r="C109" s="293">
        <v>2</v>
      </c>
      <c r="D109" s="294" t="str">
        <f aca="true" t="shared" si="13" ref="D109:F115">+D64</f>
        <v>DEPRECIATION AND AMORTIZATION</v>
      </c>
      <c r="E109" s="294">
        <f t="shared" si="13"/>
        <v>452190.0382536622</v>
      </c>
      <c r="F109" s="294">
        <f t="shared" si="13"/>
        <v>459666.27993634203</v>
      </c>
    </row>
    <row r="110" spans="3:6" ht="12.75">
      <c r="C110" s="293">
        <v>3</v>
      </c>
      <c r="D110" s="294" t="str">
        <f t="shared" si="13"/>
        <v>ACCRETION</v>
      </c>
      <c r="E110" s="294">
        <f t="shared" si="13"/>
        <v>40043.17800442227</v>
      </c>
      <c r="F110" s="294">
        <f t="shared" si="13"/>
        <v>41798.317985356014</v>
      </c>
    </row>
    <row r="111" spans="3:6" ht="12.75">
      <c r="C111" s="293">
        <v>4</v>
      </c>
      <c r="D111" s="294" t="str">
        <f t="shared" si="13"/>
        <v>NON-CASH EXPENSES</v>
      </c>
      <c r="E111" s="294">
        <f t="shared" si="13"/>
        <v>-15804.471127480665</v>
      </c>
      <c r="F111" s="294">
        <f t="shared" si="13"/>
        <v>-16798.9608021514</v>
      </c>
    </row>
    <row r="112" spans="3:6" ht="12.75">
      <c r="C112" s="293">
        <v>5</v>
      </c>
      <c r="D112" s="294" t="str">
        <f t="shared" si="13"/>
        <v>CAPITALIZATION ADJUSTMENT</v>
      </c>
      <c r="E112" s="294">
        <f t="shared" si="13"/>
        <v>-45937</v>
      </c>
      <c r="F112" s="294">
        <f t="shared" si="13"/>
        <v>-45937</v>
      </c>
    </row>
    <row r="113" spans="3:6" ht="12.75">
      <c r="C113" s="293">
        <v>6</v>
      </c>
      <c r="D113" s="294" t="str">
        <f t="shared" si="13"/>
        <v>NON-CASH REVENUES</v>
      </c>
      <c r="E113" s="294">
        <f t="shared" si="13"/>
        <v>-30600</v>
      </c>
      <c r="F113" s="294">
        <f t="shared" si="13"/>
        <v>-30600</v>
      </c>
    </row>
    <row r="114" spans="3:6" ht="12.75">
      <c r="C114" s="293">
        <v>7</v>
      </c>
      <c r="D114" s="294" t="str">
        <f t="shared" si="13"/>
        <v>AMORTIZATION OF NON-FEDERAL  PREMIUMS/DISCOUNTS</v>
      </c>
      <c r="E114" s="294">
        <f t="shared" si="13"/>
        <v>-34766.96983530553</v>
      </c>
      <c r="F114" s="294">
        <f t="shared" si="13"/>
        <v>-38005.50889684399</v>
      </c>
    </row>
    <row r="115" spans="3:6" ht="12.75">
      <c r="C115" s="293">
        <v>8</v>
      </c>
      <c r="D115" s="294" t="str">
        <f t="shared" si="13"/>
        <v>AMORTIZATION OF COST OF ISSUANCE</v>
      </c>
      <c r="E115" s="294">
        <f aca="true" t="shared" si="14" ref="E115:F115">+E70</f>
        <v>499.5126566666666</v>
      </c>
      <c r="F115" s="294">
        <f t="shared" si="14"/>
        <v>499.5126566666666</v>
      </c>
    </row>
    <row r="116" spans="3:6" ht="12.75">
      <c r="C116" s="293">
        <v>9</v>
      </c>
      <c r="D116" s="294" t="str">
        <f>+C71</f>
        <v>CASH CONTRIBUTION TO DECOMMISSIONING TRUST FUNDS</v>
      </c>
      <c r="E116" s="294">
        <f aca="true" t="shared" si="15" ref="E116:F116">+E71</f>
        <v>-15100</v>
      </c>
      <c r="F116" s="294">
        <f t="shared" si="15"/>
        <v>-15100</v>
      </c>
    </row>
    <row r="117" spans="3:6" ht="12.75">
      <c r="C117" s="293">
        <v>10</v>
      </c>
      <c r="D117" s="294" t="str">
        <f>+C72</f>
        <v>CASH FREE UP</v>
      </c>
      <c r="E117" s="296">
        <f aca="true" t="shared" si="16" ref="E117:F117">+E72</f>
        <v>17600</v>
      </c>
      <c r="F117" s="296">
        <f t="shared" si="16"/>
        <v>0</v>
      </c>
    </row>
    <row r="118" spans="3:6" ht="12.75">
      <c r="C118" s="293">
        <v>11</v>
      </c>
      <c r="D118" s="293" t="s">
        <v>865</v>
      </c>
      <c r="E118" s="294">
        <f>SUM(E108:E117)</f>
        <v>373818.5523471272</v>
      </c>
      <c r="F118" s="294">
        <f>SUM(F108:F117)</f>
        <v>360061.31465249014</v>
      </c>
    </row>
    <row r="119" ht="12.75">
      <c r="C119" s="293">
        <v>12</v>
      </c>
    </row>
    <row r="120" spans="3:4" ht="12.75">
      <c r="C120" s="293">
        <v>13</v>
      </c>
      <c r="D120" s="393" t="s">
        <v>857</v>
      </c>
    </row>
    <row r="121" spans="3:6" ht="12.75">
      <c r="C121" s="293">
        <v>14</v>
      </c>
      <c r="D121" s="294" t="str">
        <f>+C83</f>
        <v>REPAYMENT OF BONDS ISSUED TO U.S. TREASURY</v>
      </c>
      <c r="E121" s="294">
        <f>-E83</f>
        <v>181200</v>
      </c>
      <c r="F121" s="294">
        <f>-F83</f>
        <v>236863</v>
      </c>
    </row>
    <row r="122" spans="3:6" ht="12.75">
      <c r="C122" s="293">
        <v>15</v>
      </c>
      <c r="D122" s="294" t="str">
        <f>+C85</f>
        <v>REPAYMENT OF FEDERAL CONSTRUCTION APPROPRIATIONS</v>
      </c>
      <c r="E122" s="294">
        <f>-E85</f>
        <v>278799</v>
      </c>
      <c r="F122" s="294">
        <f>-F85</f>
        <v>209137</v>
      </c>
    </row>
    <row r="123" spans="3:6" ht="12.75">
      <c r="C123" s="293">
        <v>16</v>
      </c>
      <c r="D123" s="294" t="str">
        <f>+C86</f>
        <v>REPAYMENT OF NON-FEDERAL OBLIGATIONS</v>
      </c>
      <c r="E123" s="294">
        <f>-E86</f>
        <v>27167.200000000008</v>
      </c>
      <c r="F123" s="294">
        <f>-F86</f>
        <v>21092.85</v>
      </c>
    </row>
    <row r="124" spans="3:6" ht="12.75">
      <c r="C124" s="293">
        <v>17</v>
      </c>
      <c r="D124" s="294" t="str">
        <f>+C88</f>
        <v>PAYMENT OF IRRIGATION ASSISTANCE</v>
      </c>
      <c r="E124" s="294">
        <f>-E88</f>
        <v>8067</v>
      </c>
      <c r="F124" s="294">
        <f>-F88</f>
        <v>14006</v>
      </c>
    </row>
    <row r="125" spans="3:6" ht="12.75">
      <c r="C125" s="293">
        <v>18</v>
      </c>
      <c r="D125" s="293" t="s">
        <v>858</v>
      </c>
      <c r="E125" s="296">
        <f>+-E79-E82-E84</f>
        <v>33743.13925000004</v>
      </c>
      <c r="F125" s="296">
        <f>+-F79-F82-F84</f>
        <v>34289.60668800003</v>
      </c>
    </row>
    <row r="126" spans="3:6" ht="12.75">
      <c r="C126" s="293">
        <v>19</v>
      </c>
      <c r="D126" s="293" t="s">
        <v>864</v>
      </c>
      <c r="E126" s="294">
        <f>SUM(E121:E125)</f>
        <v>528976.3392500001</v>
      </c>
      <c r="F126" s="294">
        <f>SUM(F121:F125)</f>
        <v>515388.456688</v>
      </c>
    </row>
    <row r="127" ht="12.75">
      <c r="C127" s="293">
        <v>20</v>
      </c>
    </row>
    <row r="128" spans="3:6" ht="12.75">
      <c r="C128" s="293">
        <v>21</v>
      </c>
      <c r="D128" s="293" t="s">
        <v>862</v>
      </c>
      <c r="E128" s="294">
        <f>+E126-E118</f>
        <v>155157.7869028729</v>
      </c>
      <c r="F128" s="294">
        <f>+F126-F118</f>
        <v>155327.14203550987</v>
      </c>
    </row>
    <row r="130" spans="4:6" ht="25.5" customHeight="1">
      <c r="D130" s="480" t="s">
        <v>863</v>
      </c>
      <c r="E130" s="480"/>
      <c r="F130" s="480"/>
    </row>
  </sheetData>
  <mergeCells count="9">
    <mergeCell ref="D130:F130"/>
    <mergeCell ref="D103:F103"/>
    <mergeCell ref="D104:F104"/>
    <mergeCell ref="A56:F56"/>
    <mergeCell ref="A1:F1"/>
    <mergeCell ref="A2:F2"/>
    <mergeCell ref="A3:F3"/>
    <mergeCell ref="A54:F54"/>
    <mergeCell ref="A55:F55"/>
  </mergeCells>
  <printOptions/>
  <pageMargins left="0.7" right="0.7" top="0.75" bottom="0.75" header="0.3" footer="0.3"/>
  <pageSetup horizontalDpi="600" verticalDpi="600" orientation="portrait" r:id="rId3"/>
  <rowBreaks count="1" manualBreakCount="1">
    <brk id="5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pageSetUpPr fitToPage="1"/>
  </sheetPr>
  <dimension ref="A1:F84"/>
  <sheetViews>
    <sheetView workbookViewId="0" topLeftCell="A1">
      <selection activeCell="A2" sqref="A2"/>
    </sheetView>
  </sheetViews>
  <sheetFormatPr defaultColWidth="9.140625" defaultRowHeight="12.75"/>
  <cols>
    <col min="1" max="1" width="42.421875" style="3" customWidth="1"/>
    <col min="2" max="2" width="18.28125" style="126" hidden="1" customWidth="1"/>
    <col min="3" max="3" width="18.28125" style="126" customWidth="1"/>
    <col min="4" max="4" width="19.00390625" style="126" customWidth="1"/>
    <col min="5" max="16384" width="9.140625" style="3" customWidth="1"/>
  </cols>
  <sheetData>
    <row r="1" ht="18.75">
      <c r="A1" s="427" t="s">
        <v>878</v>
      </c>
    </row>
    <row r="3" spans="1:4" ht="15">
      <c r="A3" s="247" t="s">
        <v>466</v>
      </c>
      <c r="B3" s="125">
        <v>2015</v>
      </c>
      <c r="C3" s="263">
        <f>+'Income Statement Cash Flows'!E6</f>
        <v>2024</v>
      </c>
      <c r="D3" s="263">
        <f>+'Income Statement Cash Flows'!F6</f>
        <v>2025</v>
      </c>
    </row>
    <row r="4" spans="1:4" ht="15">
      <c r="A4" s="247" t="s">
        <v>467</v>
      </c>
      <c r="B4" s="125">
        <v>339863384.04</v>
      </c>
      <c r="C4" s="229">
        <v>296476712.02000004</v>
      </c>
      <c r="D4" s="229">
        <v>351132896.99</v>
      </c>
    </row>
    <row r="5" spans="1:4" ht="15">
      <c r="A5" s="247" t="s">
        <v>468</v>
      </c>
      <c r="B5" s="125">
        <v>143032999.92000002</v>
      </c>
      <c r="C5" s="229">
        <v>154364000.03</v>
      </c>
      <c r="D5" s="229">
        <v>157217999.98999998</v>
      </c>
    </row>
    <row r="6" spans="1:4" ht="15">
      <c r="A6" s="247" t="s">
        <v>469</v>
      </c>
      <c r="B6" s="125">
        <v>231878000.04</v>
      </c>
      <c r="C6" s="229">
        <v>265146000.07</v>
      </c>
      <c r="D6" s="229">
        <v>275147000.02</v>
      </c>
    </row>
    <row r="7" spans="1:4" s="398" customFormat="1" ht="15">
      <c r="A7" s="398" t="s">
        <v>148</v>
      </c>
      <c r="B7" s="428">
        <v>4932258</v>
      </c>
      <c r="C7" s="274"/>
      <c r="D7" s="274"/>
    </row>
    <row r="8" spans="1:4" ht="15">
      <c r="A8" s="3" t="s">
        <v>149</v>
      </c>
      <c r="B8" s="126">
        <v>4212645.96</v>
      </c>
      <c r="C8" s="229">
        <v>8599999.989999998</v>
      </c>
      <c r="D8" s="229">
        <v>9599999.99</v>
      </c>
    </row>
    <row r="9" spans="1:4" ht="15">
      <c r="A9" s="3" t="s">
        <v>150</v>
      </c>
      <c r="B9" s="126">
        <v>5300000.04</v>
      </c>
      <c r="C9" s="229">
        <v>5300000</v>
      </c>
      <c r="D9" s="229">
        <v>5300000.01</v>
      </c>
    </row>
    <row r="10" spans="1:4" ht="15">
      <c r="A10" s="3" t="s">
        <v>151</v>
      </c>
      <c r="B10" s="126">
        <v>10961354.04</v>
      </c>
      <c r="C10" s="229"/>
      <c r="D10" s="229"/>
    </row>
    <row r="11" spans="1:4" ht="15">
      <c r="A11" s="3" t="s">
        <v>152</v>
      </c>
      <c r="B11" s="126">
        <v>975354.96</v>
      </c>
      <c r="C11" s="229">
        <v>767827.03</v>
      </c>
      <c r="D11" s="229">
        <v>812826.02</v>
      </c>
    </row>
    <row r="12" spans="1:4" ht="15">
      <c r="A12" s="3" t="s">
        <v>153</v>
      </c>
      <c r="B12" s="126">
        <v>1079627.04</v>
      </c>
      <c r="C12" s="229">
        <v>1368484.01</v>
      </c>
      <c r="D12" s="229">
        <v>1410431</v>
      </c>
    </row>
    <row r="13" spans="1:4" s="429" customFormat="1" ht="15">
      <c r="A13" s="247" t="s">
        <v>204</v>
      </c>
      <c r="B13" s="125">
        <v>27461240.04</v>
      </c>
      <c r="C13" s="125">
        <f>SUM(C7:C12)</f>
        <v>16036311.029999997</v>
      </c>
      <c r="D13" s="125">
        <f aca="true" t="shared" si="0" ref="D13">SUM(D7:D12)</f>
        <v>17123257.02</v>
      </c>
    </row>
    <row r="14" spans="1:4" ht="15">
      <c r="A14" s="247" t="s">
        <v>773</v>
      </c>
      <c r="B14" s="125">
        <v>21497367.96</v>
      </c>
      <c r="C14" s="229">
        <v>22000000</v>
      </c>
      <c r="D14" s="229">
        <v>22000000.009999998</v>
      </c>
    </row>
    <row r="15" spans="1:4" ht="15">
      <c r="A15" s="247" t="s">
        <v>774</v>
      </c>
      <c r="B15" s="125"/>
      <c r="C15" s="229">
        <v>5749250.04</v>
      </c>
      <c r="D15" s="229">
        <v>5500000</v>
      </c>
    </row>
    <row r="16" spans="1:4" s="429" customFormat="1" ht="15">
      <c r="A16" s="247" t="s">
        <v>470</v>
      </c>
      <c r="B16" s="125"/>
      <c r="C16" s="125">
        <f>SUM(C14:C15)</f>
        <v>27749250.04</v>
      </c>
      <c r="D16" s="125">
        <f aca="true" t="shared" si="1" ref="D16">SUM(D14:D15)</f>
        <v>27500000.009999998</v>
      </c>
    </row>
    <row r="17" spans="1:4" ht="15">
      <c r="A17" s="3" t="s">
        <v>205</v>
      </c>
      <c r="B17" s="126">
        <v>999999.96</v>
      </c>
      <c r="C17" s="229">
        <v>1199999.96</v>
      </c>
      <c r="D17" s="229">
        <v>1199999.99</v>
      </c>
    </row>
    <row r="18" spans="1:4" ht="15">
      <c r="A18" s="3" t="s">
        <v>206</v>
      </c>
      <c r="B18" s="126">
        <v>467000.04</v>
      </c>
      <c r="C18" s="229">
        <v>1140999.97</v>
      </c>
      <c r="D18" s="229">
        <v>1175000.0399999996</v>
      </c>
    </row>
    <row r="19" spans="1:4" s="429" customFormat="1" ht="15">
      <c r="A19" s="247" t="s">
        <v>207</v>
      </c>
      <c r="B19" s="125">
        <v>1467000</v>
      </c>
      <c r="C19" s="125">
        <f>+C18+C17</f>
        <v>2340999.9299999997</v>
      </c>
      <c r="D19" s="125">
        <f aca="true" t="shared" si="2" ref="D19">+D18+D17</f>
        <v>2375000.0299999993</v>
      </c>
    </row>
    <row r="20" spans="1:4" ht="15">
      <c r="A20" s="3" t="s">
        <v>208</v>
      </c>
      <c r="B20" s="126">
        <v>26719640.04</v>
      </c>
      <c r="C20" s="229">
        <v>43266383.36</v>
      </c>
      <c r="D20" s="229">
        <v>38087718.980000004</v>
      </c>
    </row>
    <row r="21" spans="1:4" ht="15">
      <c r="A21" s="3" t="s">
        <v>129</v>
      </c>
      <c r="B21" s="126">
        <v>94913013.96</v>
      </c>
      <c r="C21" s="229"/>
      <c r="D21" s="229"/>
    </row>
    <row r="22" spans="1:4" ht="15">
      <c r="A22" s="3" t="s">
        <v>128</v>
      </c>
      <c r="B22" s="126">
        <v>3000000</v>
      </c>
      <c r="C22" s="229">
        <v>3099999.9799999995</v>
      </c>
      <c r="D22" s="229">
        <v>3099999.99</v>
      </c>
    </row>
    <row r="23" spans="1:4" ht="15">
      <c r="A23" s="3" t="s">
        <v>209</v>
      </c>
      <c r="B23" s="126">
        <v>24656070.96</v>
      </c>
      <c r="C23" s="229">
        <v>44321111</v>
      </c>
      <c r="D23" s="229">
        <v>47040566.01</v>
      </c>
    </row>
    <row r="24" spans="1:4" ht="15">
      <c r="A24" s="247" t="s">
        <v>210</v>
      </c>
      <c r="B24" s="125">
        <v>149288724.96</v>
      </c>
      <c r="C24" s="125">
        <f>SUM(C20:C23)</f>
        <v>90687494.34</v>
      </c>
      <c r="D24" s="125">
        <f aca="true" t="shared" si="3" ref="D24">SUM(D20:D23)</f>
        <v>88228284.98</v>
      </c>
    </row>
    <row r="25" spans="1:4" ht="15">
      <c r="A25" s="247" t="s">
        <v>146</v>
      </c>
      <c r="B25" s="125">
        <v>203900000.04</v>
      </c>
      <c r="C25" s="125">
        <v>273600000</v>
      </c>
      <c r="D25" s="125">
        <v>273600000</v>
      </c>
    </row>
    <row r="26" spans="1:4" s="429" customFormat="1" ht="15">
      <c r="A26" s="247" t="s">
        <v>130</v>
      </c>
      <c r="B26" s="125">
        <v>40330798.599999994</v>
      </c>
      <c r="C26" s="125">
        <v>25967000</v>
      </c>
      <c r="D26" s="125">
        <v>26767000.01</v>
      </c>
    </row>
    <row r="27" spans="1:4" ht="15">
      <c r="A27" s="3" t="s">
        <v>631</v>
      </c>
      <c r="B27" s="125"/>
      <c r="C27" s="229">
        <v>26044063.97</v>
      </c>
      <c r="D27" s="229">
        <v>26106368.990000002</v>
      </c>
    </row>
    <row r="28" spans="1:4" ht="15">
      <c r="A28" s="3" t="s">
        <v>132</v>
      </c>
      <c r="B28" s="126">
        <v>605000.04</v>
      </c>
      <c r="C28" s="229">
        <v>589999.9899999999</v>
      </c>
      <c r="D28" s="229">
        <v>590000</v>
      </c>
    </row>
    <row r="29" spans="1:4" ht="15">
      <c r="A29" s="3" t="s">
        <v>133</v>
      </c>
      <c r="B29" s="126">
        <v>14748219</v>
      </c>
      <c r="C29" s="229">
        <v>11800000.01</v>
      </c>
      <c r="D29" s="229">
        <v>11800000.020000001</v>
      </c>
    </row>
    <row r="30" spans="1:4" ht="15">
      <c r="A30" s="3" t="s">
        <v>211</v>
      </c>
      <c r="B30" s="126">
        <v>12999999.96</v>
      </c>
      <c r="C30" s="229"/>
      <c r="D30" s="229">
        <v>0</v>
      </c>
    </row>
    <row r="31" spans="1:4" ht="15">
      <c r="A31" s="3" t="s">
        <v>212</v>
      </c>
      <c r="B31" s="126">
        <v>5252000.04</v>
      </c>
      <c r="C31" s="229">
        <v>6005000</v>
      </c>
      <c r="D31" s="229">
        <v>6005000.02</v>
      </c>
    </row>
    <row r="32" spans="1:4" ht="15">
      <c r="A32" s="3" t="s">
        <v>131</v>
      </c>
      <c r="B32" s="126">
        <v>14691590.04</v>
      </c>
      <c r="C32" s="229">
        <v>69027249</v>
      </c>
      <c r="D32" s="229">
        <v>69027248.99000001</v>
      </c>
    </row>
    <row r="33" spans="1:4" ht="15">
      <c r="A33" s="3" t="s">
        <v>471</v>
      </c>
      <c r="B33" s="126">
        <v>1824999.96</v>
      </c>
      <c r="C33" s="229">
        <v>215000.03999999992</v>
      </c>
      <c r="D33" s="229">
        <v>215000.03999999992</v>
      </c>
    </row>
    <row r="34" spans="1:4" ht="15">
      <c r="A34" s="5" t="s">
        <v>632</v>
      </c>
      <c r="C34" s="125"/>
      <c r="D34" s="125"/>
    </row>
    <row r="35" spans="1:4" ht="15">
      <c r="A35" s="5" t="s">
        <v>633</v>
      </c>
      <c r="C35" s="125"/>
      <c r="D35" s="125"/>
    </row>
    <row r="36" spans="1:4" s="429" customFormat="1" ht="15">
      <c r="A36" s="247" t="s">
        <v>213</v>
      </c>
      <c r="B36" s="125">
        <v>50121809.04</v>
      </c>
      <c r="C36" s="125">
        <f>SUM(C27:C35)</f>
        <v>113681313.01</v>
      </c>
      <c r="D36" s="125">
        <f aca="true" t="shared" si="4" ref="D36">SUM(D27:D35)</f>
        <v>113743618.06000002</v>
      </c>
    </row>
    <row r="37" spans="1:4" ht="15">
      <c r="A37" s="3" t="s">
        <v>140</v>
      </c>
      <c r="B37" s="126">
        <v>56442399.96</v>
      </c>
      <c r="C37" s="229">
        <v>91278282</v>
      </c>
      <c r="D37" s="229">
        <v>92597799</v>
      </c>
    </row>
    <row r="38" spans="1:4" ht="15">
      <c r="A38" s="3" t="s">
        <v>214</v>
      </c>
      <c r="B38" s="126">
        <v>11664000</v>
      </c>
      <c r="C38" s="229">
        <v>14723006.03</v>
      </c>
      <c r="D38" s="229">
        <v>14809249.019999998</v>
      </c>
    </row>
    <row r="39" spans="1:4" ht="15">
      <c r="A39" s="3" t="s">
        <v>215</v>
      </c>
      <c r="B39" s="126">
        <v>94474184.04</v>
      </c>
      <c r="C39" s="229">
        <v>111350550.53999999</v>
      </c>
      <c r="D39" s="229">
        <v>108036026.99999999</v>
      </c>
    </row>
    <row r="40" spans="1:4" ht="15">
      <c r="A40" s="3" t="s">
        <v>216</v>
      </c>
      <c r="B40" s="126">
        <v>2333274.96</v>
      </c>
      <c r="C40" s="229">
        <v>3299999.9899999998</v>
      </c>
      <c r="D40" s="229">
        <v>3299999.98</v>
      </c>
    </row>
    <row r="41" spans="1:4" s="429" customFormat="1" ht="15">
      <c r="A41" s="247" t="s">
        <v>217</v>
      </c>
      <c r="B41" s="125">
        <v>164913858.96</v>
      </c>
      <c r="C41" s="125">
        <f>SUM(C37:C40)</f>
        <v>220651838.56</v>
      </c>
      <c r="D41" s="125">
        <f aca="true" t="shared" si="5" ref="D41">SUM(D37:D40)</f>
        <v>218743074.99999997</v>
      </c>
    </row>
    <row r="42" spans="1:4" ht="15">
      <c r="A42" s="3" t="s">
        <v>139</v>
      </c>
      <c r="B42" s="126">
        <v>8964806.48</v>
      </c>
      <c r="C42" s="229">
        <v>6221774.659999999</v>
      </c>
      <c r="D42" s="229">
        <v>6449606.399999999</v>
      </c>
    </row>
    <row r="43" spans="1:4" ht="15">
      <c r="A43" s="3" t="s">
        <v>218</v>
      </c>
      <c r="B43" s="126">
        <v>7624740.48</v>
      </c>
      <c r="C43" s="229">
        <v>4443390.159999999</v>
      </c>
      <c r="D43" s="229">
        <v>4571242.359999999</v>
      </c>
    </row>
    <row r="44" spans="1:4" ht="15">
      <c r="A44" s="3" t="s">
        <v>219</v>
      </c>
      <c r="B44" s="126">
        <v>9829570.8</v>
      </c>
      <c r="C44" s="229">
        <v>9504701.520000001</v>
      </c>
      <c r="D44" s="229">
        <v>9945294.51</v>
      </c>
    </row>
    <row r="45" spans="1:4" ht="15">
      <c r="A45" s="3" t="s">
        <v>136</v>
      </c>
      <c r="B45" s="126">
        <v>6935839.93</v>
      </c>
      <c r="C45" s="229">
        <v>9739172.36</v>
      </c>
      <c r="D45" s="229">
        <v>10101943.770000001</v>
      </c>
    </row>
    <row r="46" spans="1:4" ht="15">
      <c r="A46" s="3" t="s">
        <v>135</v>
      </c>
      <c r="B46" s="126">
        <v>1076959.63</v>
      </c>
      <c r="C46" s="229">
        <v>608143.26</v>
      </c>
      <c r="D46" s="229">
        <v>632184.87</v>
      </c>
    </row>
    <row r="47" spans="1:4" ht="15">
      <c r="A47" s="3" t="s">
        <v>138</v>
      </c>
      <c r="B47" s="126">
        <v>21376117.330000006</v>
      </c>
      <c r="C47" s="229"/>
      <c r="D47" s="229"/>
    </row>
    <row r="48" spans="1:4" ht="15">
      <c r="A48" s="3" t="s">
        <v>145</v>
      </c>
      <c r="B48" s="126">
        <v>18912616.709999997</v>
      </c>
      <c r="C48" s="229"/>
      <c r="D48" s="229"/>
    </row>
    <row r="49" spans="1:4" ht="15">
      <c r="A49" s="3" t="s">
        <v>144</v>
      </c>
      <c r="B49" s="126">
        <v>4151815.3900000015</v>
      </c>
      <c r="C49" s="229"/>
      <c r="D49" s="229"/>
    </row>
    <row r="50" spans="1:4" ht="15">
      <c r="A50" s="3" t="s">
        <v>134</v>
      </c>
      <c r="B50" s="126">
        <v>5727799.71</v>
      </c>
      <c r="C50" s="229">
        <v>2376129.96</v>
      </c>
      <c r="D50" s="229">
        <v>2473115.04</v>
      </c>
    </row>
    <row r="51" spans="1:4" ht="15">
      <c r="A51" s="3" t="s">
        <v>137</v>
      </c>
      <c r="B51" s="126">
        <v>6028002</v>
      </c>
      <c r="C51" s="229">
        <v>2526624.9600000004</v>
      </c>
      <c r="D51" s="229">
        <v>2526624.96</v>
      </c>
    </row>
    <row r="52" spans="1:4" ht="15">
      <c r="A52" s="3" t="s">
        <v>783</v>
      </c>
      <c r="C52" s="229"/>
      <c r="D52" s="229"/>
    </row>
    <row r="53" spans="1:4" ht="15">
      <c r="A53" s="3" t="s">
        <v>784</v>
      </c>
      <c r="C53" s="229"/>
      <c r="D53" s="229"/>
    </row>
    <row r="54" spans="1:4" ht="15">
      <c r="A54" s="3" t="s">
        <v>785</v>
      </c>
      <c r="C54" s="229">
        <v>135836.77000000002</v>
      </c>
      <c r="D54" s="229">
        <v>140116.97999999998</v>
      </c>
    </row>
    <row r="55" spans="1:4" ht="15">
      <c r="A55" s="3" t="s">
        <v>786</v>
      </c>
      <c r="C55" s="229">
        <v>13596694.280000001</v>
      </c>
      <c r="D55" s="229">
        <v>14301209.330000004</v>
      </c>
    </row>
    <row r="56" spans="1:4" ht="15">
      <c r="A56" s="3" t="s">
        <v>787</v>
      </c>
      <c r="C56" s="229">
        <v>14677716.989999998</v>
      </c>
      <c r="D56" s="229">
        <v>13370614.820000002</v>
      </c>
    </row>
    <row r="57" spans="1:4" ht="15">
      <c r="A57" s="5" t="s">
        <v>788</v>
      </c>
      <c r="C57" s="229">
        <v>11789346.640000002</v>
      </c>
      <c r="D57" s="229">
        <v>12222624.08</v>
      </c>
    </row>
    <row r="58" spans="1:4" ht="15">
      <c r="A58" s="5" t="s">
        <v>789</v>
      </c>
      <c r="C58" s="229">
        <v>6081201.83</v>
      </c>
      <c r="D58" s="229">
        <v>6206661.3100000005</v>
      </c>
    </row>
    <row r="59" spans="1:4" ht="15">
      <c r="A59" s="5" t="s">
        <v>790</v>
      </c>
      <c r="C59" s="229">
        <v>822763.2</v>
      </c>
      <c r="D59" s="229">
        <v>859589.6699999999</v>
      </c>
    </row>
    <row r="60" spans="1:4" s="429" customFormat="1" ht="15">
      <c r="A60" s="247" t="s">
        <v>220</v>
      </c>
      <c r="B60" s="125">
        <v>90628268.46</v>
      </c>
      <c r="C60" s="125">
        <f>SUM(C42:C59)</f>
        <v>82523496.59</v>
      </c>
      <c r="D60" s="125">
        <f aca="true" t="shared" si="6" ref="D60">SUM(D42:D59)</f>
        <v>83800828.10000001</v>
      </c>
    </row>
    <row r="61" spans="1:4" ht="15">
      <c r="A61" s="3" t="s">
        <v>221</v>
      </c>
      <c r="B61" s="126">
        <v>31670000.04</v>
      </c>
      <c r="C61" s="229">
        <v>32765000.01</v>
      </c>
      <c r="D61" s="229">
        <v>32764999.98</v>
      </c>
    </row>
    <row r="62" spans="1:4" ht="15">
      <c r="A62" s="3" t="s">
        <v>222</v>
      </c>
      <c r="B62" s="126">
        <v>10798745.04</v>
      </c>
      <c r="C62" s="229">
        <v>11942000</v>
      </c>
      <c r="D62" s="229">
        <v>11941999.989999998</v>
      </c>
    </row>
    <row r="63" spans="1:4" ht="15">
      <c r="A63" s="3" t="s">
        <v>223</v>
      </c>
      <c r="B63" s="126">
        <v>259999999.71999997</v>
      </c>
      <c r="C63" s="229">
        <v>269234647.2800001</v>
      </c>
      <c r="D63" s="229">
        <v>268865201.95</v>
      </c>
    </row>
    <row r="64" spans="1:4" s="429" customFormat="1" ht="15">
      <c r="A64" s="247" t="s">
        <v>224</v>
      </c>
      <c r="B64" s="125">
        <v>302468744.8</v>
      </c>
      <c r="C64" s="125">
        <f>SUM(C61:C63)</f>
        <v>313941647.2900001</v>
      </c>
      <c r="D64" s="125">
        <f aca="true" t="shared" si="7" ref="D64">SUM(D61:D63)</f>
        <v>313572201.91999996</v>
      </c>
    </row>
    <row r="65" spans="1:4" s="429" customFormat="1" ht="15">
      <c r="A65" s="247" t="s">
        <v>472</v>
      </c>
      <c r="B65" s="125">
        <v>18819000</v>
      </c>
      <c r="C65" s="125">
        <v>19309923.02</v>
      </c>
      <c r="D65" s="125">
        <v>19843871.009999998</v>
      </c>
    </row>
    <row r="66" spans="1:4" ht="15">
      <c r="A66" s="430" t="s">
        <v>634</v>
      </c>
      <c r="B66" s="125"/>
      <c r="C66" s="229">
        <v>68576156.92000002</v>
      </c>
      <c r="D66" s="229">
        <v>70670789.35</v>
      </c>
    </row>
    <row r="67" spans="1:4" ht="15">
      <c r="A67" s="430" t="s">
        <v>791</v>
      </c>
      <c r="B67" s="125"/>
      <c r="C67" s="229">
        <v>4347736.54</v>
      </c>
      <c r="D67" s="229">
        <v>4516241.76</v>
      </c>
    </row>
    <row r="68" spans="1:4" ht="15">
      <c r="A68" s="430" t="s">
        <v>792</v>
      </c>
      <c r="B68" s="125"/>
      <c r="C68" s="229"/>
      <c r="D68" s="229"/>
    </row>
    <row r="69" spans="1:4" ht="15">
      <c r="A69" s="430" t="s">
        <v>793</v>
      </c>
      <c r="B69" s="125"/>
      <c r="C69" s="229">
        <v>4573373.75</v>
      </c>
      <c r="D69" s="229">
        <v>4725426.090000001</v>
      </c>
    </row>
    <row r="70" spans="1:4" ht="15">
      <c r="A70" s="430" t="s">
        <v>794</v>
      </c>
      <c r="B70" s="125"/>
      <c r="C70" s="229"/>
      <c r="D70" s="229"/>
    </row>
    <row r="71" spans="1:4" ht="15">
      <c r="A71" s="430" t="s">
        <v>635</v>
      </c>
      <c r="B71" s="125"/>
      <c r="C71" s="229">
        <v>16085765.29</v>
      </c>
      <c r="D71" s="229">
        <v>16577098.650000004</v>
      </c>
    </row>
    <row r="72" spans="1:4" s="431" customFormat="1" ht="15">
      <c r="A72" s="259" t="s">
        <v>473</v>
      </c>
      <c r="B72" s="259">
        <v>57824914.339999996</v>
      </c>
      <c r="C72" s="125">
        <f>SUM(C66:C71)</f>
        <v>93583032.50000003</v>
      </c>
      <c r="D72" s="125">
        <f aca="true" t="shared" si="8" ref="D72">SUM(D66:D71)</f>
        <v>96489555.85000001</v>
      </c>
    </row>
    <row r="73" spans="1:4" s="431" customFormat="1" ht="15">
      <c r="A73" s="264" t="s">
        <v>636</v>
      </c>
      <c r="B73" s="259"/>
      <c r="C73" s="264"/>
      <c r="D73" s="264"/>
    </row>
    <row r="74" spans="1:4" s="431" customFormat="1" ht="15.75" thickBot="1">
      <c r="A74" s="259" t="s">
        <v>147</v>
      </c>
      <c r="B74" s="259">
        <v>1843496111.2</v>
      </c>
      <c r="C74" s="265">
        <f>C4+C5+C6+C13+C24+C25+C26+C36+C41+C60+C64+C65+C72+C73+C19+C16</f>
        <v>1996059018.43</v>
      </c>
      <c r="D74" s="265">
        <f aca="true" t="shared" si="9" ref="D74">D4+D5+D6+D13+D24+D25+D26+D36+D41+D60+D64+D65+D72+D73+D19+D16</f>
        <v>2065284588.9899995</v>
      </c>
    </row>
    <row r="75" spans="1:4" s="431" customFormat="1" ht="12.75">
      <c r="A75" s="432" t="s">
        <v>845</v>
      </c>
      <c r="C75" s="126">
        <v>1986634575.4299998</v>
      </c>
      <c r="D75" s="126">
        <v>2055929894.9799998</v>
      </c>
    </row>
    <row r="76" spans="1:4" ht="12.75">
      <c r="A76" s="398" t="s">
        <v>846</v>
      </c>
      <c r="C76" s="260">
        <f>+C75-C74</f>
        <v>-9424443.000000238</v>
      </c>
      <c r="D76" s="260">
        <f aca="true" t="shared" si="10" ref="D76">+D75-D74</f>
        <v>-9354694.009999752</v>
      </c>
    </row>
    <row r="77" spans="3:4" ht="12.75">
      <c r="C77" s="260"/>
      <c r="D77" s="260"/>
    </row>
    <row r="78" spans="3:4" ht="12.75">
      <c r="C78" s="260"/>
      <c r="D78" s="260"/>
    </row>
    <row r="80" spans="1:6" ht="12.75">
      <c r="A80" s="3" t="s">
        <v>781</v>
      </c>
      <c r="C80" s="126">
        <v>15100000</v>
      </c>
      <c r="D80" s="126">
        <f>+C80</f>
        <v>15100000</v>
      </c>
      <c r="E80" s="126"/>
      <c r="F80" s="126"/>
    </row>
    <row r="82" spans="1:4" ht="12.75">
      <c r="A82" s="3" t="s">
        <v>809</v>
      </c>
      <c r="C82" s="126">
        <v>9349.187000000002</v>
      </c>
      <c r="D82" s="126">
        <v>6051.261</v>
      </c>
    </row>
    <row r="84" ht="12.75">
      <c r="D84" s="384"/>
    </row>
  </sheetData>
  <printOptions/>
  <pageMargins left="0.25" right="0.25" top="0.75" bottom="0.75" header="0.3" footer="0.3"/>
  <pageSetup fitToHeight="1" fitToWidth="1" horizontalDpi="600" verticalDpi="600" orientation="portrait" scale="4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pageSetUpPr fitToPage="1"/>
  </sheetPr>
  <dimension ref="A1:AB113"/>
  <sheetViews>
    <sheetView zoomScale="90" zoomScaleNormal="90" workbookViewId="0" topLeftCell="A4">
      <selection activeCell="G71" sqref="G71"/>
    </sheetView>
  </sheetViews>
  <sheetFormatPr defaultColWidth="9.140625" defaultRowHeight="12.75"/>
  <cols>
    <col min="1" max="1" width="25.00390625" style="0" bestFit="1" customWidth="1"/>
    <col min="2" max="2" width="5.421875" style="0" customWidth="1"/>
    <col min="3" max="4" width="25.00390625" style="0" hidden="1" customWidth="1"/>
    <col min="5" max="5" width="18.7109375" style="0" hidden="1" customWidth="1"/>
    <col min="6" max="7" width="18.7109375" style="0" customWidth="1"/>
    <col min="8" max="8" width="15.57421875" style="0" customWidth="1"/>
    <col min="9" max="9" width="15.7109375" style="0" bestFit="1" customWidth="1"/>
    <col min="10" max="10" width="15.140625" style="0" bestFit="1" customWidth="1"/>
    <col min="11" max="14" width="14.8515625" style="0" bestFit="1" customWidth="1"/>
    <col min="15" max="15" width="16.140625" style="0" bestFit="1" customWidth="1"/>
    <col min="16" max="20" width="14.8515625" style="0" bestFit="1" customWidth="1"/>
    <col min="21" max="29" width="14.57421875" style="0" customWidth="1"/>
    <col min="30" max="30" width="13.8515625" style="0" bestFit="1" customWidth="1"/>
    <col min="31" max="43" width="9.8515625" style="0" bestFit="1" customWidth="1"/>
  </cols>
  <sheetData>
    <row r="1" spans="1:2" ht="15">
      <c r="A1" s="129" t="s">
        <v>653</v>
      </c>
      <c r="B1">
        <f>+'Federal DS'!F1</f>
        <v>0</v>
      </c>
    </row>
    <row r="2" ht="15">
      <c r="A2" s="129"/>
    </row>
    <row r="3" spans="1:28" ht="23.25">
      <c r="A3" s="194" t="s">
        <v>225</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1:28" ht="15">
      <c r="A4" s="196" t="s">
        <v>808</v>
      </c>
      <c r="B4" s="195"/>
      <c r="C4" s="195"/>
      <c r="D4" s="195"/>
      <c r="E4" s="195"/>
      <c r="F4" s="195"/>
      <c r="G4" s="195"/>
      <c r="H4" s="197"/>
      <c r="I4" s="197"/>
      <c r="J4" s="197"/>
      <c r="K4" s="197"/>
      <c r="L4" s="197"/>
      <c r="M4" s="197"/>
      <c r="N4" s="197"/>
      <c r="O4" s="197"/>
      <c r="P4" s="197"/>
      <c r="Q4" s="197"/>
      <c r="R4" s="197"/>
      <c r="S4" s="197"/>
      <c r="T4" s="197"/>
      <c r="U4" s="197"/>
      <c r="V4" s="197"/>
      <c r="W4" s="197"/>
      <c r="X4" s="197"/>
      <c r="Y4" s="197"/>
      <c r="Z4" s="197"/>
      <c r="AA4" s="197"/>
      <c r="AB4" s="197"/>
    </row>
    <row r="5" spans="1:28" ht="15">
      <c r="A5" s="196"/>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row>
    <row r="6" spans="1:28" ht="15">
      <c r="A6" s="196" t="s">
        <v>192</v>
      </c>
      <c r="B6" s="195"/>
      <c r="C6" s="195"/>
      <c r="D6" s="197"/>
      <c r="E6" s="197">
        <v>2022</v>
      </c>
      <c r="F6" s="197">
        <v>2023</v>
      </c>
      <c r="G6" s="197">
        <v>2024</v>
      </c>
      <c r="H6" s="197">
        <v>2025</v>
      </c>
      <c r="I6" s="197">
        <v>2026</v>
      </c>
      <c r="J6" s="197">
        <v>2027</v>
      </c>
      <c r="K6" s="197">
        <v>2028</v>
      </c>
      <c r="L6" s="197">
        <v>2029</v>
      </c>
      <c r="M6" s="197">
        <v>2030</v>
      </c>
      <c r="N6" s="197">
        <v>2031</v>
      </c>
      <c r="O6" s="197">
        <v>2032</v>
      </c>
      <c r="P6" s="197">
        <v>2033</v>
      </c>
      <c r="Q6" s="197">
        <v>2034</v>
      </c>
      <c r="R6" s="197">
        <v>2035</v>
      </c>
      <c r="S6" s="197">
        <v>2036</v>
      </c>
      <c r="T6" s="197">
        <v>2037</v>
      </c>
      <c r="U6" s="197">
        <v>2038</v>
      </c>
      <c r="V6" s="197">
        <v>2039</v>
      </c>
      <c r="W6" s="197">
        <v>2040</v>
      </c>
      <c r="X6" s="197">
        <v>2041</v>
      </c>
      <c r="Y6" s="197">
        <v>2042</v>
      </c>
      <c r="Z6" s="197">
        <v>2043</v>
      </c>
      <c r="AA6" s="197">
        <v>2044</v>
      </c>
      <c r="AB6" s="197">
        <v>2045</v>
      </c>
    </row>
    <row r="7" spans="1:28" ht="15">
      <c r="A7" s="196" t="s">
        <v>193</v>
      </c>
      <c r="B7" s="195"/>
      <c r="C7" s="195"/>
      <c r="D7" s="208"/>
      <c r="E7" s="208">
        <v>39338.916</v>
      </c>
      <c r="F7" s="208">
        <v>39338.916</v>
      </c>
      <c r="G7" s="208">
        <v>39574.356</v>
      </c>
      <c r="H7" s="208">
        <v>39631.21399999999</v>
      </c>
      <c r="I7" s="208">
        <v>34661.37400000001</v>
      </c>
      <c r="J7" s="208">
        <v>30660.096</v>
      </c>
      <c r="K7" s="208">
        <v>27051.089</v>
      </c>
      <c r="L7" s="208">
        <v>23731.682</v>
      </c>
      <c r="M7" s="208">
        <v>23411.872000000003</v>
      </c>
      <c r="N7" s="208">
        <v>22104.403</v>
      </c>
      <c r="O7" s="208">
        <v>20785.704</v>
      </c>
      <c r="P7" s="208">
        <v>19445.252</v>
      </c>
      <c r="Q7" s="208">
        <v>18072.666</v>
      </c>
      <c r="R7" s="208">
        <v>16437.984999999997</v>
      </c>
      <c r="S7" s="208">
        <v>14302.071999999998</v>
      </c>
      <c r="T7" s="208">
        <v>12823.048999999999</v>
      </c>
      <c r="U7" s="208">
        <v>11319.004</v>
      </c>
      <c r="V7" s="208">
        <v>9793.528000000002</v>
      </c>
      <c r="W7" s="208">
        <v>8249.222000000002</v>
      </c>
      <c r="X7" s="208">
        <v>6686.073000000001</v>
      </c>
      <c r="Y7" s="208">
        <v>4944.827</v>
      </c>
      <c r="Z7" s="208">
        <v>2853.252</v>
      </c>
      <c r="AA7" s="208">
        <v>1233.587</v>
      </c>
      <c r="AB7" s="208">
        <v>0</v>
      </c>
    </row>
    <row r="8" spans="1:28" ht="15">
      <c r="A8" s="196" t="s">
        <v>654</v>
      </c>
      <c r="B8" s="195"/>
      <c r="C8" s="195"/>
      <c r="D8" s="208"/>
      <c r="E8" s="208">
        <v>147418.77899999998</v>
      </c>
      <c r="F8" s="208">
        <v>147418.77899999998</v>
      </c>
      <c r="G8" s="208">
        <v>144099.09199999998</v>
      </c>
      <c r="H8" s="208">
        <v>140046.332</v>
      </c>
      <c r="I8" s="208">
        <v>142674.98</v>
      </c>
      <c r="J8" s="208">
        <v>145014.811</v>
      </c>
      <c r="K8" s="208">
        <v>147819.03399999996</v>
      </c>
      <c r="L8" s="208">
        <v>150247.73700000002</v>
      </c>
      <c r="M8" s="208">
        <v>152894.581</v>
      </c>
      <c r="N8" s="208">
        <v>149348.185</v>
      </c>
      <c r="O8" s="208">
        <v>140792.76999999996</v>
      </c>
      <c r="P8" s="208">
        <v>131034.863</v>
      </c>
      <c r="Q8" s="208">
        <v>120872.49199999998</v>
      </c>
      <c r="R8" s="208">
        <v>111595.372</v>
      </c>
      <c r="S8" s="208">
        <v>102240.66</v>
      </c>
      <c r="T8" s="208">
        <v>90648.06799999998</v>
      </c>
      <c r="U8" s="208">
        <v>79029.90500000001</v>
      </c>
      <c r="V8" s="208">
        <v>68251.307</v>
      </c>
      <c r="W8" s="208">
        <v>57105.143</v>
      </c>
      <c r="X8" s="208">
        <v>45112.21800000001</v>
      </c>
      <c r="Y8" s="208">
        <v>32859.25399999999</v>
      </c>
      <c r="Z8" s="208">
        <v>21605.509</v>
      </c>
      <c r="AA8" s="208">
        <v>9849.643</v>
      </c>
      <c r="AB8" s="208">
        <v>0</v>
      </c>
    </row>
    <row r="9" spans="1:28" ht="15">
      <c r="A9" s="196" t="s">
        <v>484</v>
      </c>
      <c r="B9" s="195"/>
      <c r="C9" s="195"/>
      <c r="D9" s="208"/>
      <c r="E9" s="208">
        <v>-3484.157</v>
      </c>
      <c r="F9" s="208">
        <v>-3484.157</v>
      </c>
      <c r="G9" s="208">
        <v>-2201.436</v>
      </c>
      <c r="H9" s="208">
        <v>0</v>
      </c>
      <c r="I9" s="208">
        <v>0</v>
      </c>
      <c r="J9" s="208">
        <v>0</v>
      </c>
      <c r="K9" s="208">
        <v>0</v>
      </c>
      <c r="L9" s="208">
        <v>0</v>
      </c>
      <c r="M9" s="208">
        <v>0</v>
      </c>
      <c r="N9" s="208">
        <v>0</v>
      </c>
      <c r="O9" s="208">
        <v>0</v>
      </c>
      <c r="P9" s="208">
        <v>0</v>
      </c>
      <c r="Q9" s="208">
        <v>0</v>
      </c>
      <c r="R9" s="208">
        <v>0</v>
      </c>
      <c r="S9" s="208">
        <v>0</v>
      </c>
      <c r="T9" s="208">
        <v>0</v>
      </c>
      <c r="U9" s="208">
        <v>0</v>
      </c>
      <c r="V9" s="208">
        <v>0</v>
      </c>
      <c r="W9" s="208">
        <v>0</v>
      </c>
      <c r="X9" s="208">
        <v>0</v>
      </c>
      <c r="Y9" s="208">
        <v>0</v>
      </c>
      <c r="Z9" s="208">
        <v>0</v>
      </c>
      <c r="AA9" s="208">
        <v>0</v>
      </c>
      <c r="AB9" s="208">
        <v>0</v>
      </c>
    </row>
    <row r="10" spans="1:28" ht="15">
      <c r="A10" s="196" t="s">
        <v>483</v>
      </c>
      <c r="B10" s="195"/>
      <c r="C10" s="195"/>
      <c r="D10" s="208"/>
      <c r="E10" s="208">
        <v>-1068.38</v>
      </c>
      <c r="F10" s="208">
        <v>-1068.38</v>
      </c>
      <c r="G10" s="208">
        <v>-802.328</v>
      </c>
      <c r="H10" s="208">
        <v>0</v>
      </c>
      <c r="I10" s="208">
        <v>0</v>
      </c>
      <c r="J10" s="208">
        <v>0</v>
      </c>
      <c r="K10" s="208">
        <v>0</v>
      </c>
      <c r="L10" s="208">
        <v>0</v>
      </c>
      <c r="M10" s="208">
        <v>0</v>
      </c>
      <c r="N10" s="208">
        <v>0</v>
      </c>
      <c r="O10" s="208">
        <v>0</v>
      </c>
      <c r="P10" s="208">
        <v>0</v>
      </c>
      <c r="Q10" s="208">
        <v>0</v>
      </c>
      <c r="R10" s="208">
        <v>0</v>
      </c>
      <c r="S10" s="208">
        <v>0</v>
      </c>
      <c r="T10" s="208">
        <v>0</v>
      </c>
      <c r="U10" s="208">
        <v>0</v>
      </c>
      <c r="V10" s="208">
        <v>0</v>
      </c>
      <c r="W10" s="208">
        <v>0</v>
      </c>
      <c r="X10" s="208">
        <v>0</v>
      </c>
      <c r="Y10" s="208">
        <v>0</v>
      </c>
      <c r="Z10" s="208">
        <v>0</v>
      </c>
      <c r="AA10" s="208">
        <v>0</v>
      </c>
      <c r="AB10" s="208">
        <v>0</v>
      </c>
    </row>
    <row r="11" spans="1:28" ht="15">
      <c r="A11" s="196" t="s">
        <v>755</v>
      </c>
      <c r="B11" s="195"/>
      <c r="C11" s="195"/>
      <c r="D11" s="208"/>
      <c r="E11" s="208">
        <f aca="true" t="shared" si="0" ref="E11">-E87/1000</f>
        <v>-77926.48609130514</v>
      </c>
      <c r="F11" s="208">
        <f>-F87/1000</f>
        <v>-70299</v>
      </c>
      <c r="G11" s="208">
        <f aca="true" t="shared" si="1" ref="G11:AB11">-G87/1000</f>
        <v>0</v>
      </c>
      <c r="H11" s="208">
        <f t="shared" si="1"/>
        <v>0</v>
      </c>
      <c r="I11" s="208">
        <f t="shared" si="1"/>
        <v>0</v>
      </c>
      <c r="J11" s="208">
        <f t="shared" si="1"/>
        <v>0</v>
      </c>
      <c r="K11" s="208">
        <f t="shared" si="1"/>
        <v>0</v>
      </c>
      <c r="L11" s="208">
        <f t="shared" si="1"/>
        <v>0</v>
      </c>
      <c r="M11" s="208">
        <f t="shared" si="1"/>
        <v>0</v>
      </c>
      <c r="N11" s="208">
        <f t="shared" si="1"/>
        <v>0</v>
      </c>
      <c r="O11" s="208">
        <f t="shared" si="1"/>
        <v>0</v>
      </c>
      <c r="P11" s="208">
        <f t="shared" si="1"/>
        <v>0</v>
      </c>
      <c r="Q11" s="208">
        <f t="shared" si="1"/>
        <v>0</v>
      </c>
      <c r="R11" s="208">
        <f t="shared" si="1"/>
        <v>0</v>
      </c>
      <c r="S11" s="208">
        <f t="shared" si="1"/>
        <v>0</v>
      </c>
      <c r="T11" s="208">
        <f t="shared" si="1"/>
        <v>0</v>
      </c>
      <c r="U11" s="208">
        <f t="shared" si="1"/>
        <v>0</v>
      </c>
      <c r="V11" s="208">
        <f t="shared" si="1"/>
        <v>0</v>
      </c>
      <c r="W11" s="208">
        <f t="shared" si="1"/>
        <v>0</v>
      </c>
      <c r="X11" s="208">
        <f t="shared" si="1"/>
        <v>0</v>
      </c>
      <c r="Y11" s="208">
        <f t="shared" si="1"/>
        <v>0</v>
      </c>
      <c r="Z11" s="208">
        <f t="shared" si="1"/>
        <v>0</v>
      </c>
      <c r="AA11" s="208">
        <f t="shared" si="1"/>
        <v>0</v>
      </c>
      <c r="AB11" s="208">
        <f t="shared" si="1"/>
        <v>0</v>
      </c>
    </row>
    <row r="12" spans="1:28" ht="15">
      <c r="A12" s="196" t="s">
        <v>482</v>
      </c>
      <c r="B12" s="195"/>
      <c r="C12" s="195"/>
      <c r="D12" s="208"/>
      <c r="E12" s="208">
        <f aca="true" t="shared" si="2" ref="E12">SUM(E8:E11)</f>
        <v>64939.75590869483</v>
      </c>
      <c r="F12" s="208">
        <f aca="true" t="shared" si="3" ref="F12:AB12">SUM(F8:F11)</f>
        <v>72567.24199999997</v>
      </c>
      <c r="G12" s="208">
        <f t="shared" si="3"/>
        <v>141095.32799999998</v>
      </c>
      <c r="H12" s="208">
        <f t="shared" si="3"/>
        <v>140046.332</v>
      </c>
      <c r="I12" s="208">
        <f t="shared" si="3"/>
        <v>142674.98</v>
      </c>
      <c r="J12" s="208">
        <f t="shared" si="3"/>
        <v>145014.811</v>
      </c>
      <c r="K12" s="208">
        <f t="shared" si="3"/>
        <v>147819.03399999996</v>
      </c>
      <c r="L12" s="208">
        <f t="shared" si="3"/>
        <v>150247.73700000002</v>
      </c>
      <c r="M12" s="208">
        <f t="shared" si="3"/>
        <v>152894.581</v>
      </c>
      <c r="N12" s="208">
        <f t="shared" si="3"/>
        <v>149348.185</v>
      </c>
      <c r="O12" s="208">
        <f t="shared" si="3"/>
        <v>140792.76999999996</v>
      </c>
      <c r="P12" s="208">
        <f t="shared" si="3"/>
        <v>131034.863</v>
      </c>
      <c r="Q12" s="208">
        <f t="shared" si="3"/>
        <v>120872.49199999998</v>
      </c>
      <c r="R12" s="208">
        <f t="shared" si="3"/>
        <v>111595.372</v>
      </c>
      <c r="S12" s="208">
        <f t="shared" si="3"/>
        <v>102240.66</v>
      </c>
      <c r="T12" s="208">
        <f t="shared" si="3"/>
        <v>90648.06799999998</v>
      </c>
      <c r="U12" s="208">
        <f t="shared" si="3"/>
        <v>79029.90500000001</v>
      </c>
      <c r="V12" s="208">
        <f t="shared" si="3"/>
        <v>68251.307</v>
      </c>
      <c r="W12" s="208">
        <f t="shared" si="3"/>
        <v>57105.143</v>
      </c>
      <c r="X12" s="208">
        <f t="shared" si="3"/>
        <v>45112.21800000001</v>
      </c>
      <c r="Y12" s="208">
        <f t="shared" si="3"/>
        <v>32859.25399999999</v>
      </c>
      <c r="Z12" s="208">
        <f t="shared" si="3"/>
        <v>21605.509</v>
      </c>
      <c r="AA12" s="208">
        <f t="shared" si="3"/>
        <v>9849.643</v>
      </c>
      <c r="AB12" s="208">
        <f t="shared" si="3"/>
        <v>0</v>
      </c>
    </row>
    <row r="13" spans="1:28" ht="15">
      <c r="A13" s="196" t="s">
        <v>197</v>
      </c>
      <c r="B13" s="195"/>
      <c r="C13" s="195"/>
      <c r="D13" s="208"/>
      <c r="E13" s="208">
        <v>46882.593</v>
      </c>
      <c r="F13" s="208">
        <v>46882.593</v>
      </c>
      <c r="G13" s="208">
        <v>45426.39600000001</v>
      </c>
      <c r="H13" s="208">
        <v>43901.28</v>
      </c>
      <c r="I13" s="208">
        <v>41209.426999999996</v>
      </c>
      <c r="J13" s="208">
        <v>37391.834</v>
      </c>
      <c r="K13" s="208">
        <v>33823.501000000004</v>
      </c>
      <c r="L13" s="208">
        <v>27009.746</v>
      </c>
      <c r="M13" s="208">
        <v>26640.734000000004</v>
      </c>
      <c r="N13" s="208">
        <v>25132.346</v>
      </c>
      <c r="O13" s="208">
        <v>23612.773999999998</v>
      </c>
      <c r="P13" s="208">
        <v>22072.871</v>
      </c>
      <c r="Q13" s="208">
        <v>20500.915999999997</v>
      </c>
      <c r="R13" s="208">
        <v>18658.78</v>
      </c>
      <c r="S13" s="208">
        <v>16303.838</v>
      </c>
      <c r="T13" s="208">
        <v>14614.124</v>
      </c>
      <c r="U13" s="208">
        <v>12893.239000000001</v>
      </c>
      <c r="V13" s="208">
        <v>11145.545000000002</v>
      </c>
      <c r="W13" s="208">
        <v>9376.118999999999</v>
      </c>
      <c r="X13" s="208">
        <v>7584.9490000000005</v>
      </c>
      <c r="Y13" s="208">
        <v>5608.614</v>
      </c>
      <c r="Z13" s="208">
        <v>3270.3709999999996</v>
      </c>
      <c r="AA13" s="208">
        <v>1413.9740000000002</v>
      </c>
      <c r="AB13" s="208">
        <v>0</v>
      </c>
    </row>
    <row r="14" spans="1:28" ht="15">
      <c r="A14" s="196" t="s">
        <v>195</v>
      </c>
      <c r="B14" s="195"/>
      <c r="C14" s="195"/>
      <c r="D14" s="208"/>
      <c r="E14" s="208">
        <v>195.323</v>
      </c>
      <c r="F14" s="208">
        <v>195.323</v>
      </c>
      <c r="G14" s="208">
        <v>107.753</v>
      </c>
      <c r="H14" s="208">
        <v>15.767</v>
      </c>
      <c r="I14" s="208">
        <v>0</v>
      </c>
      <c r="J14" s="208">
        <v>0</v>
      </c>
      <c r="K14" s="208">
        <v>0</v>
      </c>
      <c r="L14" s="208">
        <v>0</v>
      </c>
      <c r="M14" s="208">
        <v>0</v>
      </c>
      <c r="N14" s="208">
        <v>0</v>
      </c>
      <c r="O14" s="208">
        <v>0</v>
      </c>
      <c r="P14" s="208">
        <v>0</v>
      </c>
      <c r="Q14" s="208">
        <v>0</v>
      </c>
      <c r="R14" s="208">
        <v>0</v>
      </c>
      <c r="S14" s="208">
        <v>0</v>
      </c>
      <c r="T14" s="208">
        <v>0</v>
      </c>
      <c r="U14" s="208">
        <v>0</v>
      </c>
      <c r="V14" s="208">
        <v>0</v>
      </c>
      <c r="W14" s="208">
        <v>0</v>
      </c>
      <c r="X14" s="208">
        <v>0</v>
      </c>
      <c r="Y14" s="208">
        <v>0</v>
      </c>
      <c r="Z14" s="208">
        <v>0</v>
      </c>
      <c r="AA14" s="208">
        <v>0</v>
      </c>
      <c r="AB14" s="208">
        <v>0</v>
      </c>
    </row>
    <row r="15" spans="1:28" ht="15">
      <c r="A15" s="196" t="s">
        <v>196</v>
      </c>
      <c r="B15" s="195"/>
      <c r="C15" s="195"/>
      <c r="D15" s="208"/>
      <c r="E15" s="208">
        <v>2867.719</v>
      </c>
      <c r="F15" s="208">
        <v>2867.719</v>
      </c>
      <c r="G15" s="208">
        <v>2646.023</v>
      </c>
      <c r="H15" s="208">
        <v>2401.748</v>
      </c>
      <c r="I15" s="208">
        <v>2144.562</v>
      </c>
      <c r="J15" s="208">
        <v>1873.991</v>
      </c>
      <c r="K15" s="208">
        <v>1588.987</v>
      </c>
      <c r="L15" s="208">
        <v>1289.285</v>
      </c>
      <c r="M15" s="208">
        <v>973.84</v>
      </c>
      <c r="N15" s="208">
        <v>641.6</v>
      </c>
      <c r="O15" s="208">
        <v>189.969</v>
      </c>
      <c r="P15" s="208">
        <v>0</v>
      </c>
      <c r="Q15" s="208">
        <v>0</v>
      </c>
      <c r="R15" s="208">
        <v>0</v>
      </c>
      <c r="S15" s="208">
        <v>0</v>
      </c>
      <c r="T15" s="208">
        <v>0</v>
      </c>
      <c r="U15" s="208">
        <v>0</v>
      </c>
      <c r="V15" s="208">
        <v>0</v>
      </c>
      <c r="W15" s="208">
        <v>0</v>
      </c>
      <c r="X15" s="208">
        <v>0</v>
      </c>
      <c r="Y15" s="208">
        <v>0</v>
      </c>
      <c r="Z15" s="208">
        <v>0</v>
      </c>
      <c r="AA15" s="208">
        <v>0</v>
      </c>
      <c r="AB15" s="208">
        <v>0</v>
      </c>
    </row>
    <row r="16" spans="1:28" ht="15">
      <c r="A16" s="196" t="s">
        <v>828</v>
      </c>
      <c r="B16" s="195"/>
      <c r="C16" s="195"/>
      <c r="D16" s="208"/>
      <c r="E16" s="208">
        <f>+E7+E12+E13+E14+E15-E11</f>
        <v>232150.793</v>
      </c>
      <c r="F16" s="208">
        <f aca="true" t="shared" si="4" ref="F16:AB16">+F7+F12+F13+F14+F15-F11</f>
        <v>232150.79299999998</v>
      </c>
      <c r="G16" s="208">
        <f t="shared" si="4"/>
        <v>228849.85599999997</v>
      </c>
      <c r="H16" s="208">
        <f t="shared" si="4"/>
        <v>225996.34099999996</v>
      </c>
      <c r="I16" s="208">
        <f t="shared" si="4"/>
        <v>220690.34300000002</v>
      </c>
      <c r="J16" s="208">
        <f t="shared" si="4"/>
        <v>214940.732</v>
      </c>
      <c r="K16" s="208">
        <f t="shared" si="4"/>
        <v>210282.61099999995</v>
      </c>
      <c r="L16" s="208">
        <f t="shared" si="4"/>
        <v>202278.45000000004</v>
      </c>
      <c r="M16" s="208">
        <f t="shared" si="4"/>
        <v>203921.027</v>
      </c>
      <c r="N16" s="208">
        <f t="shared" si="4"/>
        <v>197226.53399999999</v>
      </c>
      <c r="O16" s="208">
        <f t="shared" si="4"/>
        <v>185381.21699999998</v>
      </c>
      <c r="P16" s="208">
        <f t="shared" si="4"/>
        <v>172552.98599999998</v>
      </c>
      <c r="Q16" s="208">
        <f t="shared" si="4"/>
        <v>159446.074</v>
      </c>
      <c r="R16" s="208">
        <f t="shared" si="4"/>
        <v>146692.137</v>
      </c>
      <c r="S16" s="208">
        <f t="shared" si="4"/>
        <v>132846.57</v>
      </c>
      <c r="T16" s="208">
        <f t="shared" si="4"/>
        <v>118085.24099999998</v>
      </c>
      <c r="U16" s="208">
        <f t="shared" si="4"/>
        <v>103242.14800000002</v>
      </c>
      <c r="V16" s="208">
        <f t="shared" si="4"/>
        <v>89190.38</v>
      </c>
      <c r="W16" s="208">
        <f t="shared" si="4"/>
        <v>74730.484</v>
      </c>
      <c r="X16" s="208">
        <f t="shared" si="4"/>
        <v>59383.24000000001</v>
      </c>
      <c r="Y16" s="208">
        <f t="shared" si="4"/>
        <v>43412.69499999999</v>
      </c>
      <c r="Z16" s="208">
        <f t="shared" si="4"/>
        <v>27729.131999999998</v>
      </c>
      <c r="AA16" s="208">
        <f t="shared" si="4"/>
        <v>12497.204</v>
      </c>
      <c r="AB16" s="208">
        <f t="shared" si="4"/>
        <v>0</v>
      </c>
    </row>
    <row r="17" spans="1:28" ht="15">
      <c r="A17" s="196" t="s">
        <v>829</v>
      </c>
      <c r="B17" s="195"/>
      <c r="C17" s="195"/>
      <c r="D17" s="208"/>
      <c r="E17" s="285">
        <f>E16+E11</f>
        <v>154224.30690869485</v>
      </c>
      <c r="F17" s="285">
        <f>F16+F11</f>
        <v>161851.79299999998</v>
      </c>
      <c r="G17" s="285">
        <f aca="true" t="shared" si="5" ref="G17:AB17">G16+G11</f>
        <v>228849.85599999997</v>
      </c>
      <c r="H17" s="285">
        <f t="shared" si="5"/>
        <v>225996.34099999996</v>
      </c>
      <c r="I17" s="285">
        <f t="shared" si="5"/>
        <v>220690.34300000002</v>
      </c>
      <c r="J17" s="285">
        <f t="shared" si="5"/>
        <v>214940.732</v>
      </c>
      <c r="K17" s="285">
        <f t="shared" si="5"/>
        <v>210282.61099999995</v>
      </c>
      <c r="L17" s="285">
        <f t="shared" si="5"/>
        <v>202278.45000000004</v>
      </c>
      <c r="M17" s="285">
        <f t="shared" si="5"/>
        <v>203921.027</v>
      </c>
      <c r="N17" s="285">
        <f t="shared" si="5"/>
        <v>197226.53399999999</v>
      </c>
      <c r="O17" s="285">
        <f t="shared" si="5"/>
        <v>185381.21699999998</v>
      </c>
      <c r="P17" s="285">
        <f t="shared" si="5"/>
        <v>172552.98599999998</v>
      </c>
      <c r="Q17" s="285">
        <f t="shared" si="5"/>
        <v>159446.074</v>
      </c>
      <c r="R17" s="285">
        <f t="shared" si="5"/>
        <v>146692.137</v>
      </c>
      <c r="S17" s="285">
        <f t="shared" si="5"/>
        <v>132846.57</v>
      </c>
      <c r="T17" s="285">
        <f t="shared" si="5"/>
        <v>118085.24099999998</v>
      </c>
      <c r="U17" s="285">
        <f t="shared" si="5"/>
        <v>103242.14800000002</v>
      </c>
      <c r="V17" s="285">
        <f t="shared" si="5"/>
        <v>89190.38</v>
      </c>
      <c r="W17" s="285">
        <f t="shared" si="5"/>
        <v>74730.484</v>
      </c>
      <c r="X17" s="285">
        <f t="shared" si="5"/>
        <v>59383.24000000001</v>
      </c>
      <c r="Y17" s="285">
        <f t="shared" si="5"/>
        <v>43412.69499999999</v>
      </c>
      <c r="Z17" s="285">
        <f t="shared" si="5"/>
        <v>27729.131999999998</v>
      </c>
      <c r="AA17" s="285">
        <f t="shared" si="5"/>
        <v>12497.204</v>
      </c>
      <c r="AB17" s="285">
        <f t="shared" si="5"/>
        <v>0</v>
      </c>
    </row>
    <row r="18" spans="1:28" ht="14.25">
      <c r="A18" s="233" t="s">
        <v>766</v>
      </c>
      <c r="B18" s="195"/>
      <c r="C18" s="195"/>
      <c r="D18" s="208"/>
      <c r="E18" s="208">
        <v>0</v>
      </c>
      <c r="F18" s="208">
        <v>0</v>
      </c>
      <c r="G18" s="208">
        <v>0</v>
      </c>
      <c r="H18" s="208">
        <v>0</v>
      </c>
      <c r="I18" s="208">
        <v>0</v>
      </c>
      <c r="J18" s="208">
        <v>0</v>
      </c>
      <c r="K18" s="208">
        <v>0</v>
      </c>
      <c r="L18" s="208">
        <v>0</v>
      </c>
      <c r="M18" s="208">
        <v>0</v>
      </c>
      <c r="N18" s="208">
        <v>0</v>
      </c>
      <c r="O18" s="208">
        <v>0</v>
      </c>
      <c r="P18" s="208">
        <v>0</v>
      </c>
      <c r="Q18" s="208">
        <v>0</v>
      </c>
      <c r="R18" s="208">
        <v>0</v>
      </c>
      <c r="S18" s="208">
        <v>0</v>
      </c>
      <c r="T18" s="208">
        <v>0</v>
      </c>
      <c r="U18" s="208">
        <v>0</v>
      </c>
      <c r="V18" s="208">
        <v>0</v>
      </c>
      <c r="W18" s="208">
        <v>0</v>
      </c>
      <c r="X18" s="208">
        <v>0</v>
      </c>
      <c r="Y18" s="208">
        <v>0</v>
      </c>
      <c r="Z18" s="208">
        <v>0</v>
      </c>
      <c r="AA18" s="208">
        <v>0</v>
      </c>
      <c r="AB18" s="208">
        <v>0</v>
      </c>
    </row>
    <row r="19" spans="1:28" ht="15">
      <c r="A19" s="196"/>
      <c r="B19" s="195"/>
      <c r="C19" s="195"/>
      <c r="D19" s="195"/>
      <c r="E19" s="195"/>
      <c r="F19" s="195"/>
      <c r="G19" s="195"/>
      <c r="H19" s="195"/>
      <c r="I19" s="228"/>
      <c r="J19" s="195"/>
      <c r="K19" s="195"/>
      <c r="L19" s="195"/>
      <c r="M19" s="195"/>
      <c r="N19" s="195"/>
      <c r="O19" s="195"/>
      <c r="P19" s="195"/>
      <c r="Q19" s="195"/>
      <c r="R19" s="195"/>
      <c r="S19" s="195"/>
      <c r="T19" s="195"/>
      <c r="U19" s="195"/>
      <c r="V19" s="195"/>
      <c r="W19" s="195"/>
      <c r="X19" s="195"/>
      <c r="Y19" s="195"/>
      <c r="Z19" s="195"/>
      <c r="AA19" s="195"/>
      <c r="AB19" s="195"/>
    </row>
    <row r="20" spans="1:28" ht="15" hidden="1">
      <c r="A20" s="196"/>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row>
    <row r="21" spans="1:28" ht="15" hidden="1">
      <c r="A21" s="204" t="s">
        <v>681</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row>
    <row r="22" spans="1:28" ht="15" hidden="1">
      <c r="A22" s="20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row>
    <row r="23" spans="1:28" ht="15" hidden="1">
      <c r="A23" s="204" t="s">
        <v>192</v>
      </c>
      <c r="B23" s="205"/>
      <c r="C23" s="205"/>
      <c r="D23" s="205"/>
      <c r="E23" s="205"/>
      <c r="F23" s="205"/>
      <c r="G23" s="205"/>
      <c r="H23" s="206">
        <v>2020</v>
      </c>
      <c r="I23" s="206">
        <v>2021</v>
      </c>
      <c r="J23" s="206">
        <v>2022</v>
      </c>
      <c r="K23" s="206">
        <v>2023</v>
      </c>
      <c r="L23" s="206">
        <v>2024</v>
      </c>
      <c r="M23" s="206">
        <v>2025</v>
      </c>
      <c r="N23" s="206">
        <v>2026</v>
      </c>
      <c r="O23" s="206">
        <v>2027</v>
      </c>
      <c r="P23" s="206">
        <v>2028</v>
      </c>
      <c r="Q23" s="206">
        <v>2029</v>
      </c>
      <c r="R23" s="206">
        <v>2030</v>
      </c>
      <c r="S23" s="206">
        <v>2031</v>
      </c>
      <c r="T23" s="206">
        <v>2032</v>
      </c>
      <c r="U23" s="206">
        <v>2033</v>
      </c>
      <c r="V23" s="206">
        <v>2034</v>
      </c>
      <c r="W23" s="206">
        <v>2035</v>
      </c>
      <c r="X23" s="206">
        <v>2036</v>
      </c>
      <c r="Y23" s="206">
        <v>2037</v>
      </c>
      <c r="Z23" s="206">
        <v>2038</v>
      </c>
      <c r="AA23" s="206">
        <v>2039</v>
      </c>
      <c r="AB23" s="206">
        <v>2040</v>
      </c>
    </row>
    <row r="24" spans="1:28" ht="15" hidden="1">
      <c r="A24" s="204" t="s">
        <v>193</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row>
    <row r="25" spans="1:28" ht="15" hidden="1">
      <c r="A25" s="204" t="s">
        <v>194</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row>
    <row r="26" spans="1:28" ht="15" hidden="1">
      <c r="A26" s="204" t="s">
        <v>484</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row>
    <row r="27" spans="1:28" ht="15" hidden="1">
      <c r="A27" s="204" t="s">
        <v>483</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row>
    <row r="28" spans="1:28" ht="15" hidden="1">
      <c r="A28" s="204" t="s">
        <v>482</v>
      </c>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row>
    <row r="29" spans="1:28" ht="15" hidden="1">
      <c r="A29" s="204" t="s">
        <v>197</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row>
    <row r="30" spans="1:28" ht="21.75" customHeight="1" hidden="1">
      <c r="A30" s="204" t="s">
        <v>195</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row>
    <row r="31" spans="1:28" ht="15.75" customHeight="1" hidden="1">
      <c r="A31" s="204" t="s">
        <v>196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32" spans="1:28" ht="15.75" customHeight="1" hidden="1">
      <c r="A32" s="204" t="s">
        <v>147</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row>
    <row r="33" ht="15" hidden="1">
      <c r="A33" s="129"/>
    </row>
    <row r="34" ht="15">
      <c r="A34" s="129"/>
    </row>
    <row r="35" spans="1:28" ht="23.25">
      <c r="A35" s="198" t="s">
        <v>440</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row>
    <row r="36" spans="1:28" ht="15">
      <c r="A36" s="200" t="s">
        <v>808</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row>
    <row r="37" spans="1:28" ht="15">
      <c r="A37" s="200"/>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row>
    <row r="38" spans="1:28" ht="15">
      <c r="A38" s="200" t="s">
        <v>192</v>
      </c>
      <c r="B38" s="199"/>
      <c r="C38" s="199"/>
      <c r="D38" s="197"/>
      <c r="E38" s="197">
        <f>+E6</f>
        <v>2022</v>
      </c>
      <c r="F38" s="197">
        <f>+F6</f>
        <v>2023</v>
      </c>
      <c r="G38" s="197">
        <f>+G6</f>
        <v>2024</v>
      </c>
      <c r="H38" s="197">
        <f aca="true" t="shared" si="6" ref="H38:AB38">+H6</f>
        <v>2025</v>
      </c>
      <c r="I38" s="197">
        <f t="shared" si="6"/>
        <v>2026</v>
      </c>
      <c r="J38" s="197">
        <f t="shared" si="6"/>
        <v>2027</v>
      </c>
      <c r="K38" s="197">
        <f t="shared" si="6"/>
        <v>2028</v>
      </c>
      <c r="L38" s="197">
        <f t="shared" si="6"/>
        <v>2029</v>
      </c>
      <c r="M38" s="197">
        <f t="shared" si="6"/>
        <v>2030</v>
      </c>
      <c r="N38" s="197">
        <f t="shared" si="6"/>
        <v>2031</v>
      </c>
      <c r="O38" s="197">
        <f t="shared" si="6"/>
        <v>2032</v>
      </c>
      <c r="P38" s="197">
        <f t="shared" si="6"/>
        <v>2033</v>
      </c>
      <c r="Q38" s="197">
        <f t="shared" si="6"/>
        <v>2034</v>
      </c>
      <c r="R38" s="197">
        <f t="shared" si="6"/>
        <v>2035</v>
      </c>
      <c r="S38" s="197">
        <f t="shared" si="6"/>
        <v>2036</v>
      </c>
      <c r="T38" s="197">
        <f t="shared" si="6"/>
        <v>2037</v>
      </c>
      <c r="U38" s="197">
        <f t="shared" si="6"/>
        <v>2038</v>
      </c>
      <c r="V38" s="197">
        <f t="shared" si="6"/>
        <v>2039</v>
      </c>
      <c r="W38" s="197">
        <f t="shared" si="6"/>
        <v>2040</v>
      </c>
      <c r="X38" s="197">
        <f t="shared" si="6"/>
        <v>2041</v>
      </c>
      <c r="Y38" s="197">
        <f t="shared" si="6"/>
        <v>2042</v>
      </c>
      <c r="Z38" s="197">
        <f t="shared" si="6"/>
        <v>2043</v>
      </c>
      <c r="AA38" s="197">
        <f t="shared" si="6"/>
        <v>2044</v>
      </c>
      <c r="AB38" s="197">
        <f t="shared" si="6"/>
        <v>2045</v>
      </c>
    </row>
    <row r="39" spans="1:28" s="4" customFormat="1" ht="15">
      <c r="A39" s="200" t="s">
        <v>193</v>
      </c>
      <c r="B39" s="209"/>
      <c r="C39" s="209"/>
      <c r="D39" s="209"/>
      <c r="E39" s="209">
        <v>0</v>
      </c>
      <c r="F39" s="209">
        <v>0</v>
      </c>
      <c r="G39" s="209">
        <v>365</v>
      </c>
      <c r="H39" s="209">
        <v>-2961.25</v>
      </c>
      <c r="I39" s="209">
        <v>-12168.75</v>
      </c>
      <c r="J39" s="209">
        <v>-1100</v>
      </c>
      <c r="K39" s="209">
        <v>-3300</v>
      </c>
      <c r="L39" s="209">
        <v>13420.64875</v>
      </c>
      <c r="M39" s="209">
        <v>53682.594999999994</v>
      </c>
      <c r="N39" s="209">
        <v>53682.594999999994</v>
      </c>
      <c r="O39" s="209">
        <v>53682.594999999994</v>
      </c>
      <c r="P39" s="209">
        <v>53682.594999999994</v>
      </c>
      <c r="Q39" s="209">
        <v>58231.344999999994</v>
      </c>
      <c r="R39" s="209">
        <v>67328.845</v>
      </c>
      <c r="S39" s="209">
        <v>53682.594999999994</v>
      </c>
      <c r="T39" s="209">
        <v>53682.594999999994</v>
      </c>
      <c r="U39" s="209">
        <v>53682.594999999994</v>
      </c>
      <c r="V39" s="209">
        <v>53682.594999999994</v>
      </c>
      <c r="W39" s="209">
        <v>53682.594999999994</v>
      </c>
      <c r="X39" s="209">
        <v>57745.094999999994</v>
      </c>
      <c r="Y39" s="209">
        <v>65870.095</v>
      </c>
      <c r="Z39" s="209">
        <v>53682.594999999994</v>
      </c>
      <c r="AA39" s="209">
        <v>40261.94625</v>
      </c>
      <c r="AB39" s="209">
        <v>0</v>
      </c>
    </row>
    <row r="40" spans="1:28" s="4" customFormat="1" ht="15">
      <c r="A40" s="200" t="s">
        <v>654</v>
      </c>
      <c r="B40" s="209"/>
      <c r="C40" s="209"/>
      <c r="D40" s="209"/>
      <c r="E40" s="209">
        <v>14797.500000000004</v>
      </c>
      <c r="F40" s="209">
        <v>14797.500000000004</v>
      </c>
      <c r="G40" s="209">
        <v>20081.250000000007</v>
      </c>
      <c r="H40" s="209">
        <v>18160</v>
      </c>
      <c r="I40" s="209">
        <v>16486.25</v>
      </c>
      <c r="J40" s="209">
        <v>10411.25</v>
      </c>
      <c r="K40" s="209">
        <v>952.5</v>
      </c>
      <c r="L40" s="209">
        <v>29999.63575</v>
      </c>
      <c r="M40" s="209">
        <v>161894.056</v>
      </c>
      <c r="N40" s="209">
        <v>311511.817</v>
      </c>
      <c r="O40" s="209">
        <v>330680.39025</v>
      </c>
      <c r="P40" s="209">
        <v>329340.9355</v>
      </c>
      <c r="Q40" s="209">
        <v>328849.54099999997</v>
      </c>
      <c r="R40" s="209">
        <v>318710.50549999997</v>
      </c>
      <c r="S40" s="209">
        <v>355471.19700000004</v>
      </c>
      <c r="T40" s="209">
        <v>365609.97624999995</v>
      </c>
      <c r="U40" s="209">
        <v>375599.96275000006</v>
      </c>
      <c r="V40" s="209">
        <v>384770.6105</v>
      </c>
      <c r="W40" s="209">
        <v>394297.7955</v>
      </c>
      <c r="X40" s="209">
        <v>396402.87575</v>
      </c>
      <c r="Y40" s="209">
        <v>390808.62149999995</v>
      </c>
      <c r="Z40" s="209">
        <v>433857.10349999997</v>
      </c>
      <c r="AA40" s="209">
        <v>470465.57574999996</v>
      </c>
      <c r="AB40" s="209">
        <v>489036.0925</v>
      </c>
    </row>
    <row r="41" spans="1:28" s="4" customFormat="1" ht="15">
      <c r="A41" s="200" t="s">
        <v>481</v>
      </c>
      <c r="B41" s="209"/>
      <c r="C41" s="209"/>
      <c r="D41" s="209"/>
      <c r="E41" s="209">
        <v>-81000</v>
      </c>
      <c r="F41" s="209"/>
      <c r="G41" s="209"/>
      <c r="H41" s="209"/>
      <c r="I41" s="209"/>
      <c r="J41" s="209"/>
      <c r="K41" s="209"/>
      <c r="L41" s="209"/>
      <c r="M41" s="209"/>
      <c r="N41" s="209"/>
      <c r="O41" s="209"/>
      <c r="P41" s="209"/>
      <c r="Q41" s="209"/>
      <c r="R41" s="209"/>
      <c r="S41" s="209"/>
      <c r="T41" s="209"/>
      <c r="U41" s="209"/>
      <c r="V41" s="209"/>
      <c r="W41" s="209"/>
      <c r="X41" s="209"/>
      <c r="Y41" s="209"/>
      <c r="Z41" s="209"/>
      <c r="AA41" s="209"/>
      <c r="AB41" s="209"/>
    </row>
    <row r="42" spans="1:28" s="4" customFormat="1" ht="15">
      <c r="A42" s="200" t="s">
        <v>482</v>
      </c>
      <c r="B42" s="209"/>
      <c r="C42" s="209"/>
      <c r="D42" s="209"/>
      <c r="E42" s="209">
        <f aca="true" t="shared" si="7" ref="E42:AB42">SUM(E40:E41)</f>
        <v>-66202.5</v>
      </c>
      <c r="F42" s="209">
        <f t="shared" si="7"/>
        <v>14797.500000000004</v>
      </c>
      <c r="G42" s="209">
        <f t="shared" si="7"/>
        <v>20081.250000000007</v>
      </c>
      <c r="H42" s="209">
        <f t="shared" si="7"/>
        <v>18160</v>
      </c>
      <c r="I42" s="209">
        <f t="shared" si="7"/>
        <v>16486.25</v>
      </c>
      <c r="J42" s="209">
        <f t="shared" si="7"/>
        <v>10411.25</v>
      </c>
      <c r="K42" s="209">
        <f t="shared" si="7"/>
        <v>952.5</v>
      </c>
      <c r="L42" s="209">
        <f t="shared" si="7"/>
        <v>29999.63575</v>
      </c>
      <c r="M42" s="209">
        <f t="shared" si="7"/>
        <v>161894.056</v>
      </c>
      <c r="N42" s="209">
        <f t="shared" si="7"/>
        <v>311511.817</v>
      </c>
      <c r="O42" s="209">
        <f t="shared" si="7"/>
        <v>330680.39025</v>
      </c>
      <c r="P42" s="209">
        <f t="shared" si="7"/>
        <v>329340.9355</v>
      </c>
      <c r="Q42" s="209">
        <f t="shared" si="7"/>
        <v>328849.54099999997</v>
      </c>
      <c r="R42" s="209">
        <f t="shared" si="7"/>
        <v>318710.50549999997</v>
      </c>
      <c r="S42" s="209">
        <f t="shared" si="7"/>
        <v>355471.19700000004</v>
      </c>
      <c r="T42" s="209">
        <f t="shared" si="7"/>
        <v>365609.97624999995</v>
      </c>
      <c r="U42" s="209">
        <f t="shared" si="7"/>
        <v>375599.96275000006</v>
      </c>
      <c r="V42" s="209">
        <f t="shared" si="7"/>
        <v>384770.6105</v>
      </c>
      <c r="W42" s="209">
        <f t="shared" si="7"/>
        <v>394297.7955</v>
      </c>
      <c r="X42" s="209">
        <f t="shared" si="7"/>
        <v>396402.87575</v>
      </c>
      <c r="Y42" s="209">
        <f t="shared" si="7"/>
        <v>390808.62149999995</v>
      </c>
      <c r="Z42" s="209">
        <f t="shared" si="7"/>
        <v>433857.10349999997</v>
      </c>
      <c r="AA42" s="209">
        <f t="shared" si="7"/>
        <v>470465.57574999996</v>
      </c>
      <c r="AB42" s="209">
        <f t="shared" si="7"/>
        <v>489036.0925</v>
      </c>
    </row>
    <row r="43" spans="1:28" s="4" customFormat="1" ht="15">
      <c r="A43" s="200" t="s">
        <v>197</v>
      </c>
      <c r="B43" s="209"/>
      <c r="C43" s="209"/>
      <c r="D43" s="209"/>
      <c r="E43" s="209">
        <v>0</v>
      </c>
      <c r="F43" s="209">
        <v>0</v>
      </c>
      <c r="G43" s="209">
        <v>226.25</v>
      </c>
      <c r="H43" s="209">
        <v>678.75</v>
      </c>
      <c r="I43" s="209">
        <v>1017.5</v>
      </c>
      <c r="J43" s="209">
        <v>3052.5</v>
      </c>
      <c r="K43" s="209">
        <v>0</v>
      </c>
      <c r="L43" s="209">
        <v>15593.07875</v>
      </c>
      <c r="M43" s="209">
        <v>62372.315</v>
      </c>
      <c r="N43" s="209">
        <v>62372.315</v>
      </c>
      <c r="O43" s="209">
        <v>62372.315</v>
      </c>
      <c r="P43" s="209">
        <v>62372.315</v>
      </c>
      <c r="Q43" s="209">
        <v>67012.315</v>
      </c>
      <c r="R43" s="209">
        <v>76292.315</v>
      </c>
      <c r="S43" s="209">
        <v>62372.315</v>
      </c>
      <c r="T43" s="209">
        <v>62372.315</v>
      </c>
      <c r="U43" s="209">
        <v>62372.315</v>
      </c>
      <c r="V43" s="209">
        <v>62372.315</v>
      </c>
      <c r="W43" s="209">
        <v>62372.315</v>
      </c>
      <c r="X43" s="209">
        <v>66541.065</v>
      </c>
      <c r="Y43" s="209">
        <v>74878.565</v>
      </c>
      <c r="Z43" s="209">
        <v>62372.315</v>
      </c>
      <c r="AA43" s="209">
        <v>46779.23625</v>
      </c>
      <c r="AB43" s="209">
        <v>0</v>
      </c>
    </row>
    <row r="44" spans="1:28" s="4" customFormat="1" ht="15">
      <c r="A44" s="200" t="s">
        <v>195</v>
      </c>
      <c r="B44" s="209"/>
      <c r="C44" s="209"/>
      <c r="D44" s="209"/>
      <c r="E44" s="209">
        <v>1751.4</v>
      </c>
      <c r="F44" s="209">
        <v>1751.4</v>
      </c>
      <c r="G44" s="209">
        <v>1839.7</v>
      </c>
      <c r="H44" s="209">
        <v>315.35</v>
      </c>
      <c r="I44" s="209">
        <v>0</v>
      </c>
      <c r="J44" s="209">
        <v>0</v>
      </c>
      <c r="K44" s="209">
        <v>0</v>
      </c>
      <c r="L44" s="209">
        <v>0</v>
      </c>
      <c r="M44" s="209">
        <v>0</v>
      </c>
      <c r="N44" s="209">
        <v>0</v>
      </c>
      <c r="O44" s="209">
        <v>0</v>
      </c>
      <c r="P44" s="209">
        <v>0</v>
      </c>
      <c r="Q44" s="209">
        <v>0</v>
      </c>
      <c r="R44" s="209">
        <v>0</v>
      </c>
      <c r="S44" s="209">
        <v>0</v>
      </c>
      <c r="T44" s="209">
        <v>0</v>
      </c>
      <c r="U44" s="209">
        <v>0</v>
      </c>
      <c r="V44" s="209">
        <v>0</v>
      </c>
      <c r="W44" s="209">
        <v>0</v>
      </c>
      <c r="X44" s="209">
        <v>0</v>
      </c>
      <c r="Y44" s="209">
        <v>0</v>
      </c>
      <c r="Z44" s="209">
        <v>0</v>
      </c>
      <c r="AA44" s="209">
        <v>0</v>
      </c>
      <c r="AB44" s="209">
        <v>0</v>
      </c>
    </row>
    <row r="45" spans="1:28" s="4" customFormat="1" ht="15">
      <c r="A45" s="200" t="s">
        <v>196</v>
      </c>
      <c r="B45" s="209"/>
      <c r="C45" s="209"/>
      <c r="D45" s="209"/>
      <c r="E45" s="209">
        <v>4435</v>
      </c>
      <c r="F45" s="209">
        <v>4435</v>
      </c>
      <c r="G45" s="209">
        <v>4655</v>
      </c>
      <c r="H45" s="209">
        <v>4900</v>
      </c>
      <c r="I45" s="209">
        <v>5155</v>
      </c>
      <c r="J45" s="209">
        <v>5430</v>
      </c>
      <c r="K45" s="209">
        <v>5710</v>
      </c>
      <c r="L45" s="209">
        <v>6010</v>
      </c>
      <c r="M45" s="209">
        <v>6330</v>
      </c>
      <c r="N45" s="209">
        <v>10217.5</v>
      </c>
      <c r="O45" s="209">
        <v>3557.5</v>
      </c>
      <c r="P45" s="209">
        <v>0</v>
      </c>
      <c r="Q45" s="209">
        <v>0</v>
      </c>
      <c r="R45" s="209">
        <v>0</v>
      </c>
      <c r="S45" s="209">
        <v>0</v>
      </c>
      <c r="T45" s="209">
        <v>0</v>
      </c>
      <c r="U45" s="209">
        <v>0</v>
      </c>
      <c r="V45" s="209">
        <v>0</v>
      </c>
      <c r="W45" s="209">
        <v>0</v>
      </c>
      <c r="X45" s="209">
        <v>0</v>
      </c>
      <c r="Y45" s="209">
        <v>0</v>
      </c>
      <c r="Z45" s="209">
        <v>0</v>
      </c>
      <c r="AA45" s="209">
        <v>0</v>
      </c>
      <c r="AB45" s="209">
        <v>0</v>
      </c>
    </row>
    <row r="46" spans="1:28" s="4" customFormat="1" ht="15">
      <c r="A46" s="200" t="s">
        <v>702</v>
      </c>
      <c r="B46" s="209"/>
      <c r="C46" s="209"/>
      <c r="D46" s="209"/>
      <c r="E46" s="209">
        <f>+E39+E42+E43+E44+E45</f>
        <v>-60016.1</v>
      </c>
      <c r="F46" s="209">
        <f>+F39+F42+F43+F44+F45</f>
        <v>20983.900000000005</v>
      </c>
      <c r="G46" s="209">
        <f>+G39+G42+G43+G44+G45</f>
        <v>27167.200000000008</v>
      </c>
      <c r="H46" s="209">
        <f aca="true" t="shared" si="8" ref="H46:AB46">+H39+H42+H43+H44+H45</f>
        <v>21092.85</v>
      </c>
      <c r="I46" s="209">
        <f t="shared" si="8"/>
        <v>10490</v>
      </c>
      <c r="J46" s="209">
        <f t="shared" si="8"/>
        <v>17793.75</v>
      </c>
      <c r="K46" s="209">
        <f t="shared" si="8"/>
        <v>3362.5</v>
      </c>
      <c r="L46" s="209">
        <f t="shared" si="8"/>
        <v>65023.36325</v>
      </c>
      <c r="M46" s="209">
        <f t="shared" si="8"/>
        <v>284278.966</v>
      </c>
      <c r="N46" s="209">
        <f t="shared" si="8"/>
        <v>437784.22699999996</v>
      </c>
      <c r="O46" s="209">
        <f t="shared" si="8"/>
        <v>450292.80025</v>
      </c>
      <c r="P46" s="209">
        <f t="shared" si="8"/>
        <v>445395.8455</v>
      </c>
      <c r="Q46" s="209">
        <f t="shared" si="8"/>
        <v>454093.20099999994</v>
      </c>
      <c r="R46" s="209">
        <f t="shared" si="8"/>
        <v>462331.66549999994</v>
      </c>
      <c r="S46" s="209">
        <f t="shared" si="8"/>
        <v>471526.107</v>
      </c>
      <c r="T46" s="209">
        <f t="shared" si="8"/>
        <v>481664.8862499999</v>
      </c>
      <c r="U46" s="209">
        <f t="shared" si="8"/>
        <v>491654.87275000004</v>
      </c>
      <c r="V46" s="209">
        <f t="shared" si="8"/>
        <v>500825.5205</v>
      </c>
      <c r="W46" s="209">
        <f t="shared" si="8"/>
        <v>510352.7055</v>
      </c>
      <c r="X46" s="209">
        <f t="shared" si="8"/>
        <v>520689.03575</v>
      </c>
      <c r="Y46" s="209">
        <f t="shared" si="8"/>
        <v>531557.2815</v>
      </c>
      <c r="Z46" s="209">
        <f t="shared" si="8"/>
        <v>549912.0134999999</v>
      </c>
      <c r="AA46" s="209">
        <f t="shared" si="8"/>
        <v>557506.75825</v>
      </c>
      <c r="AB46" s="209">
        <f t="shared" si="8"/>
        <v>489036.0925</v>
      </c>
    </row>
    <row r="47" spans="1:28" s="5" customFormat="1" ht="15">
      <c r="A47" s="254" t="s">
        <v>778</v>
      </c>
      <c r="D47" s="152"/>
      <c r="E47" s="152" t="e">
        <f>+#REF!-E41</f>
        <v>#REF!</v>
      </c>
      <c r="F47" s="152">
        <f aca="true" t="shared" si="9" ref="F47:AB47">+F46-F41</f>
        <v>20983.900000000005</v>
      </c>
      <c r="G47" s="152">
        <f t="shared" si="9"/>
        <v>27167.200000000008</v>
      </c>
      <c r="H47" s="152">
        <f t="shared" si="9"/>
        <v>21092.85</v>
      </c>
      <c r="I47" s="152">
        <f t="shared" si="9"/>
        <v>10490</v>
      </c>
      <c r="J47" s="152">
        <f t="shared" si="9"/>
        <v>17793.75</v>
      </c>
      <c r="K47" s="152">
        <f t="shared" si="9"/>
        <v>3362.5</v>
      </c>
      <c r="L47" s="152">
        <f t="shared" si="9"/>
        <v>65023.36325</v>
      </c>
      <c r="M47" s="152">
        <f t="shared" si="9"/>
        <v>284278.966</v>
      </c>
      <c r="N47" s="152">
        <f t="shared" si="9"/>
        <v>437784.22699999996</v>
      </c>
      <c r="O47" s="152">
        <f t="shared" si="9"/>
        <v>450292.80025</v>
      </c>
      <c r="P47" s="152">
        <f t="shared" si="9"/>
        <v>445395.8455</v>
      </c>
      <c r="Q47" s="152">
        <f t="shared" si="9"/>
        <v>454093.20099999994</v>
      </c>
      <c r="R47" s="152">
        <f t="shared" si="9"/>
        <v>462331.66549999994</v>
      </c>
      <c r="S47" s="152">
        <f t="shared" si="9"/>
        <v>471526.107</v>
      </c>
      <c r="T47" s="152">
        <f t="shared" si="9"/>
        <v>481664.8862499999</v>
      </c>
      <c r="U47" s="152">
        <f t="shared" si="9"/>
        <v>491654.87275000004</v>
      </c>
      <c r="V47" s="152">
        <f t="shared" si="9"/>
        <v>500825.5205</v>
      </c>
      <c r="W47" s="152">
        <f t="shared" si="9"/>
        <v>510352.7055</v>
      </c>
      <c r="X47" s="152">
        <f t="shared" si="9"/>
        <v>520689.03575</v>
      </c>
      <c r="Y47" s="152">
        <f t="shared" si="9"/>
        <v>531557.2815</v>
      </c>
      <c r="Z47" s="152">
        <f t="shared" si="9"/>
        <v>549912.0134999999</v>
      </c>
      <c r="AA47" s="152">
        <f t="shared" si="9"/>
        <v>557506.75825</v>
      </c>
      <c r="AB47" s="152">
        <f t="shared" si="9"/>
        <v>489036.0925</v>
      </c>
    </row>
    <row r="48" spans="1:28" s="252" customFormat="1" ht="14.25">
      <c r="A48" s="255" t="s">
        <v>779</v>
      </c>
      <c r="D48" s="152"/>
      <c r="E48" s="152" t="e">
        <v>#REF!</v>
      </c>
      <c r="F48" s="152">
        <v>0</v>
      </c>
      <c r="G48" s="152">
        <v>0</v>
      </c>
      <c r="H48" s="152">
        <v>0</v>
      </c>
      <c r="I48" s="152">
        <v>0</v>
      </c>
      <c r="J48" s="152">
        <v>0</v>
      </c>
      <c r="K48" s="152">
        <v>0</v>
      </c>
      <c r="L48" s="152">
        <v>0</v>
      </c>
      <c r="M48" s="152">
        <v>0</v>
      </c>
      <c r="N48" s="152">
        <v>0</v>
      </c>
      <c r="O48" s="152">
        <v>0</v>
      </c>
      <c r="P48" s="152">
        <v>0</v>
      </c>
      <c r="Q48" s="152">
        <v>0</v>
      </c>
      <c r="R48" s="152">
        <v>0</v>
      </c>
      <c r="S48" s="152">
        <v>0</v>
      </c>
      <c r="T48" s="152">
        <v>0</v>
      </c>
      <c r="U48" s="152">
        <v>0</v>
      </c>
      <c r="V48" s="152">
        <v>0</v>
      </c>
      <c r="W48" s="152">
        <v>0</v>
      </c>
      <c r="X48" s="152">
        <v>0</v>
      </c>
      <c r="Y48" s="152">
        <v>0</v>
      </c>
      <c r="Z48" s="152">
        <v>0</v>
      </c>
      <c r="AA48" s="152">
        <v>0</v>
      </c>
      <c r="AB48" s="152">
        <v>0</v>
      </c>
    </row>
    <row r="49" spans="1:28" s="5" customFormat="1" ht="15">
      <c r="A49" s="254"/>
      <c r="F49" s="152"/>
      <c r="G49" s="152"/>
      <c r="H49" s="152"/>
      <c r="I49" s="152"/>
      <c r="J49" s="152"/>
      <c r="K49" s="152"/>
      <c r="L49" s="152"/>
      <c r="M49" s="152"/>
      <c r="N49" s="152"/>
      <c r="O49" s="152"/>
      <c r="P49" s="152"/>
      <c r="Q49" s="152"/>
      <c r="R49" s="152"/>
      <c r="S49" s="152"/>
      <c r="T49" s="152"/>
      <c r="U49" s="152"/>
      <c r="V49" s="152"/>
      <c r="W49" s="152"/>
      <c r="X49" s="152"/>
      <c r="Y49" s="152"/>
      <c r="Z49" s="152"/>
      <c r="AA49" s="152"/>
      <c r="AB49" s="152"/>
    </row>
    <row r="50" s="5" customFormat="1" ht="15">
      <c r="A50" s="254"/>
    </row>
    <row r="51" spans="1:28" s="5" customFormat="1" ht="15" hidden="1">
      <c r="A51" s="254" t="s">
        <v>192</v>
      </c>
      <c r="D51" s="101"/>
      <c r="E51" s="101">
        <v>2021</v>
      </c>
      <c r="F51" s="101">
        <v>2022</v>
      </c>
      <c r="G51" s="101">
        <v>2023</v>
      </c>
      <c r="H51" s="101">
        <v>2024</v>
      </c>
      <c r="I51" s="101">
        <v>2025</v>
      </c>
      <c r="J51" s="101">
        <v>2026</v>
      </c>
      <c r="K51" s="101">
        <v>2027</v>
      </c>
      <c r="L51" s="101">
        <v>2028</v>
      </c>
      <c r="M51" s="101">
        <v>2029</v>
      </c>
      <c r="N51" s="101">
        <v>2030</v>
      </c>
      <c r="O51" s="101">
        <v>2031</v>
      </c>
      <c r="P51" s="101">
        <v>2032</v>
      </c>
      <c r="Q51" s="101">
        <v>2033</v>
      </c>
      <c r="R51" s="101">
        <v>2034</v>
      </c>
      <c r="S51" s="101">
        <v>2035</v>
      </c>
      <c r="T51" s="101">
        <v>2036</v>
      </c>
      <c r="U51" s="101">
        <v>2037</v>
      </c>
      <c r="V51" s="101">
        <v>2038</v>
      </c>
      <c r="W51" s="101">
        <v>2039</v>
      </c>
      <c r="X51" s="101">
        <v>2040</v>
      </c>
      <c r="Y51" s="101">
        <v>2041</v>
      </c>
      <c r="Z51" s="101">
        <v>2042</v>
      </c>
      <c r="AA51" s="101">
        <v>2043</v>
      </c>
      <c r="AB51" s="101">
        <v>2044</v>
      </c>
    </row>
    <row r="52" s="5" customFormat="1" ht="15" hidden="1">
      <c r="A52" s="254" t="s">
        <v>193</v>
      </c>
    </row>
    <row r="53" s="5" customFormat="1" ht="15" hidden="1">
      <c r="A53" s="254" t="s">
        <v>194</v>
      </c>
    </row>
    <row r="54" s="5" customFormat="1" ht="15" hidden="1">
      <c r="A54" s="254" t="s">
        <v>481</v>
      </c>
    </row>
    <row r="55" s="5" customFormat="1" ht="15" hidden="1">
      <c r="A55" s="254" t="s">
        <v>482</v>
      </c>
    </row>
    <row r="56" s="5" customFormat="1" ht="15" hidden="1">
      <c r="A56" s="254" t="s">
        <v>197</v>
      </c>
    </row>
    <row r="57" s="5" customFormat="1" ht="15" hidden="1">
      <c r="A57" s="254" t="s">
        <v>195</v>
      </c>
    </row>
    <row r="58" s="5" customFormat="1" ht="15" hidden="1">
      <c r="A58" s="254" t="s">
        <v>196</v>
      </c>
    </row>
    <row r="59" s="5" customFormat="1" ht="15" hidden="1">
      <c r="A59" s="254" t="s">
        <v>147</v>
      </c>
    </row>
    <row r="60" s="5" customFormat="1" ht="15" hidden="1">
      <c r="A60" s="254"/>
    </row>
    <row r="61" spans="1:28" ht="15" hidden="1">
      <c r="A61" s="129"/>
      <c r="H61" s="12" t="e">
        <f>+#REF!+H16-#REF!</f>
        <v>#REF!</v>
      </c>
      <c r="I61" s="12" t="e">
        <f>+#REF!+I16-#REF!</f>
        <v>#REF!</v>
      </c>
      <c r="J61" s="12" t="e">
        <f>+#REF!+J16-#REF!</f>
        <v>#REF!</v>
      </c>
      <c r="K61" s="12" t="e">
        <f>+#REF!+K16-#REF!</f>
        <v>#REF!</v>
      </c>
      <c r="L61" s="12" t="e">
        <f>+#REF!+L16-#REF!</f>
        <v>#REF!</v>
      </c>
      <c r="M61" s="12" t="e">
        <f>+#REF!+M16-#REF!</f>
        <v>#REF!</v>
      </c>
      <c r="N61" s="12" t="e">
        <f>+#REF!+N16-#REF!</f>
        <v>#REF!</v>
      </c>
      <c r="O61" s="12" t="e">
        <f>+#REF!+O16-#REF!</f>
        <v>#REF!</v>
      </c>
      <c r="P61" s="12" t="e">
        <f>+#REF!+P16-#REF!</f>
        <v>#REF!</v>
      </c>
      <c r="Q61" s="12" t="e">
        <f>+#REF!+Q16-#REF!</f>
        <v>#REF!</v>
      </c>
      <c r="R61" s="12" t="e">
        <f>+#REF!+R16-#REF!</f>
        <v>#REF!</v>
      </c>
      <c r="S61" s="12" t="e">
        <f>+#REF!+S16-#REF!</f>
        <v>#REF!</v>
      </c>
      <c r="T61" s="12" t="e">
        <f>+#REF!+T16-#REF!</f>
        <v>#REF!</v>
      </c>
      <c r="U61" s="12" t="e">
        <f>+#REF!+U16-#REF!</f>
        <v>#REF!</v>
      </c>
      <c r="V61" s="12" t="e">
        <f>+#REF!+V16-#REF!</f>
        <v>#REF!</v>
      </c>
      <c r="W61" s="12" t="e">
        <f>+#REF!+W16-#REF!</f>
        <v>#REF!</v>
      </c>
      <c r="X61" s="12" t="e">
        <f>+#REF!+X16-#REF!</f>
        <v>#REF!</v>
      </c>
      <c r="Y61" s="12" t="e">
        <f>+#REF!+Y16-#REF!</f>
        <v>#REF!</v>
      </c>
      <c r="Z61" s="12" t="e">
        <f>+#REF!+Z16-#REF!</f>
        <v>#REF!</v>
      </c>
      <c r="AA61" s="12" t="e">
        <f>+#REF!+AA16-#REF!</f>
        <v>#REF!</v>
      </c>
      <c r="AB61" s="12" t="e">
        <f>+#REF!+AB16-#REF!</f>
        <v>#REF!</v>
      </c>
    </row>
    <row r="62" ht="15" hidden="1">
      <c r="A62" s="129"/>
    </row>
    <row r="63" ht="15" hidden="1">
      <c r="A63" s="129"/>
    </row>
    <row r="64" ht="15" hidden="1">
      <c r="A64" s="129"/>
    </row>
    <row r="65" ht="15">
      <c r="A65" s="129" t="s">
        <v>745</v>
      </c>
    </row>
    <row r="66" spans="1:28" ht="15">
      <c r="A66" s="200" t="s">
        <v>192</v>
      </c>
      <c r="B66" s="199"/>
      <c r="C66" s="199"/>
      <c r="D66" s="197"/>
      <c r="E66" s="197">
        <f aca="true" t="shared" si="10" ref="E66:AB66">+E38</f>
        <v>2022</v>
      </c>
      <c r="F66" s="197">
        <f t="shared" si="10"/>
        <v>2023</v>
      </c>
      <c r="G66" s="197">
        <f t="shared" si="10"/>
        <v>2024</v>
      </c>
      <c r="H66" s="197">
        <f t="shared" si="10"/>
        <v>2025</v>
      </c>
      <c r="I66" s="197">
        <f t="shared" si="10"/>
        <v>2026</v>
      </c>
      <c r="J66" s="197">
        <f t="shared" si="10"/>
        <v>2027</v>
      </c>
      <c r="K66" s="197">
        <f t="shared" si="10"/>
        <v>2028</v>
      </c>
      <c r="L66" s="197">
        <f t="shared" si="10"/>
        <v>2029</v>
      </c>
      <c r="M66" s="197">
        <f t="shared" si="10"/>
        <v>2030</v>
      </c>
      <c r="N66" s="197">
        <f t="shared" si="10"/>
        <v>2031</v>
      </c>
      <c r="O66" s="197">
        <f t="shared" si="10"/>
        <v>2032</v>
      </c>
      <c r="P66" s="197">
        <f t="shared" si="10"/>
        <v>2033</v>
      </c>
      <c r="Q66" s="197">
        <f t="shared" si="10"/>
        <v>2034</v>
      </c>
      <c r="R66" s="197">
        <f t="shared" si="10"/>
        <v>2035</v>
      </c>
      <c r="S66" s="197">
        <f t="shared" si="10"/>
        <v>2036</v>
      </c>
      <c r="T66" s="197">
        <f t="shared" si="10"/>
        <v>2037</v>
      </c>
      <c r="U66" s="197">
        <f t="shared" si="10"/>
        <v>2038</v>
      </c>
      <c r="V66" s="197">
        <f t="shared" si="10"/>
        <v>2039</v>
      </c>
      <c r="W66" s="197">
        <f t="shared" si="10"/>
        <v>2040</v>
      </c>
      <c r="X66" s="197">
        <f t="shared" si="10"/>
        <v>2041</v>
      </c>
      <c r="Y66" s="197">
        <f t="shared" si="10"/>
        <v>2042</v>
      </c>
      <c r="Z66" s="197">
        <f t="shared" si="10"/>
        <v>2043</v>
      </c>
      <c r="AA66" s="197">
        <f t="shared" si="10"/>
        <v>2044</v>
      </c>
      <c r="AB66" s="197">
        <f t="shared" si="10"/>
        <v>2045</v>
      </c>
    </row>
    <row r="67" spans="1:28" s="4" customFormat="1" ht="14.25" customHeight="1">
      <c r="A67" s="200" t="s">
        <v>193</v>
      </c>
      <c r="E67" s="4">
        <v>0</v>
      </c>
      <c r="F67" s="4">
        <v>0</v>
      </c>
      <c r="G67" s="4">
        <v>0</v>
      </c>
      <c r="H67" s="4">
        <v>1460</v>
      </c>
      <c r="I67" s="4">
        <v>-16225</v>
      </c>
      <c r="J67" s="4">
        <v>0</v>
      </c>
      <c r="K67" s="4">
        <v>-4400</v>
      </c>
      <c r="L67" s="4">
        <v>0</v>
      </c>
      <c r="M67" s="4">
        <v>53682.595</v>
      </c>
      <c r="N67" s="4">
        <v>53682.595</v>
      </c>
      <c r="O67" s="4">
        <v>53682.595</v>
      </c>
      <c r="P67" s="4">
        <v>53682.595</v>
      </c>
      <c r="Q67" s="4">
        <v>53682.595</v>
      </c>
      <c r="R67" s="4">
        <v>71877.595</v>
      </c>
      <c r="S67" s="4">
        <v>53682.595</v>
      </c>
      <c r="T67" s="4">
        <v>53682.595</v>
      </c>
      <c r="U67" s="4">
        <v>53682.595</v>
      </c>
      <c r="V67" s="4">
        <v>53682.595</v>
      </c>
      <c r="W67" s="4">
        <v>53682.595</v>
      </c>
      <c r="X67" s="4">
        <v>53682.595</v>
      </c>
      <c r="Y67" s="4">
        <v>69932.595</v>
      </c>
      <c r="Z67" s="4">
        <v>53682.595</v>
      </c>
      <c r="AA67" s="4">
        <v>53682.595</v>
      </c>
      <c r="AB67" s="4">
        <v>0</v>
      </c>
    </row>
    <row r="68" spans="1:28" s="4" customFormat="1" ht="15">
      <c r="A68" s="200" t="s">
        <v>654</v>
      </c>
      <c r="E68" s="4">
        <v>12850</v>
      </c>
      <c r="F68" s="4">
        <v>12850</v>
      </c>
      <c r="G68" s="4">
        <v>20640.000000000007</v>
      </c>
      <c r="H68" s="4">
        <v>18405</v>
      </c>
      <c r="I68" s="4">
        <v>17425</v>
      </c>
      <c r="J68" s="4">
        <v>13670</v>
      </c>
      <c r="K68" s="4">
        <v>635</v>
      </c>
      <c r="L68" s="4">
        <v>1905</v>
      </c>
      <c r="M68" s="4">
        <v>114283.54299999999</v>
      </c>
      <c r="N68" s="4">
        <v>304725.59500000003</v>
      </c>
      <c r="O68" s="4">
        <v>331870.483</v>
      </c>
      <c r="P68" s="4">
        <v>327110.112</v>
      </c>
      <c r="Q68" s="4">
        <v>336033.40599999996</v>
      </c>
      <c r="R68" s="4">
        <v>307297.946</v>
      </c>
      <c r="S68" s="4">
        <v>352948.184</v>
      </c>
      <c r="T68" s="4">
        <v>363040.236</v>
      </c>
      <c r="U68" s="4">
        <v>373319.197</v>
      </c>
      <c r="V68" s="4">
        <v>382442.26</v>
      </c>
      <c r="W68" s="4">
        <v>391755.662</v>
      </c>
      <c r="X68" s="4">
        <v>401924.196</v>
      </c>
      <c r="Y68" s="4">
        <v>379838.915</v>
      </c>
      <c r="Z68" s="4">
        <v>423717.741</v>
      </c>
      <c r="AA68" s="4">
        <v>464275.191</v>
      </c>
      <c r="AB68" s="4">
        <v>489036.73</v>
      </c>
    </row>
    <row r="69" s="4" customFormat="1" ht="15">
      <c r="A69" s="200" t="s">
        <v>481</v>
      </c>
    </row>
    <row r="70" s="4" customFormat="1" ht="15">
      <c r="A70" s="200" t="s">
        <v>482</v>
      </c>
    </row>
    <row r="71" spans="1:28" s="4" customFormat="1" ht="15">
      <c r="A71" s="200" t="s">
        <v>197</v>
      </c>
      <c r="E71" s="4">
        <v>0</v>
      </c>
      <c r="F71" s="4">
        <v>0</v>
      </c>
      <c r="G71" s="4">
        <v>0</v>
      </c>
      <c r="H71" s="4">
        <v>905</v>
      </c>
      <c r="I71" s="4">
        <v>0</v>
      </c>
      <c r="J71" s="4">
        <v>4070</v>
      </c>
      <c r="K71" s="4">
        <v>0</v>
      </c>
      <c r="L71" s="4">
        <v>0</v>
      </c>
      <c r="M71" s="4">
        <v>62372.315</v>
      </c>
      <c r="N71" s="4">
        <v>62372.315</v>
      </c>
      <c r="O71" s="4">
        <v>62372.315</v>
      </c>
      <c r="P71" s="4">
        <v>62372.315</v>
      </c>
      <c r="Q71" s="4">
        <v>62372.315</v>
      </c>
      <c r="R71" s="4">
        <v>80932.315</v>
      </c>
      <c r="S71" s="4">
        <v>62372.315</v>
      </c>
      <c r="T71" s="4">
        <v>62372.315</v>
      </c>
      <c r="U71" s="4">
        <v>62372.315</v>
      </c>
      <c r="V71" s="4">
        <v>62372.315</v>
      </c>
      <c r="W71" s="4">
        <v>62372.315</v>
      </c>
      <c r="X71" s="4">
        <v>62372.315</v>
      </c>
      <c r="Y71" s="4">
        <v>79047.315</v>
      </c>
      <c r="Z71" s="4">
        <v>62372.315</v>
      </c>
      <c r="AA71" s="4">
        <v>62372.315</v>
      </c>
      <c r="AB71" s="4">
        <v>0</v>
      </c>
    </row>
    <row r="72" spans="1:28" s="4" customFormat="1" ht="15">
      <c r="A72" s="200" t="s">
        <v>195</v>
      </c>
      <c r="E72" s="4">
        <v>1685</v>
      </c>
      <c r="F72" s="4">
        <v>1685</v>
      </c>
      <c r="G72" s="4">
        <v>1765</v>
      </c>
      <c r="H72" s="4">
        <v>1855</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row>
    <row r="73" spans="1:28" s="4" customFormat="1" ht="15">
      <c r="A73" s="200" t="s">
        <v>196</v>
      </c>
      <c r="E73" s="4">
        <v>4220</v>
      </c>
      <c r="F73" s="4">
        <v>4220</v>
      </c>
      <c r="G73" s="4">
        <v>4435</v>
      </c>
      <c r="H73" s="4">
        <v>4655</v>
      </c>
      <c r="I73" s="4">
        <v>4900</v>
      </c>
      <c r="J73" s="4">
        <v>5155</v>
      </c>
      <c r="K73" s="4">
        <v>5430</v>
      </c>
      <c r="L73" s="4">
        <v>5710</v>
      </c>
      <c r="M73" s="4">
        <v>6010</v>
      </c>
      <c r="N73" s="4">
        <v>6330</v>
      </c>
      <c r="O73" s="4">
        <v>13775</v>
      </c>
      <c r="P73" s="4">
        <v>0</v>
      </c>
      <c r="Q73" s="4">
        <v>0</v>
      </c>
      <c r="R73" s="4">
        <v>0</v>
      </c>
      <c r="S73" s="4">
        <v>0</v>
      </c>
      <c r="T73" s="4">
        <v>0</v>
      </c>
      <c r="U73" s="4">
        <v>0</v>
      </c>
      <c r="V73" s="4">
        <v>0</v>
      </c>
      <c r="W73" s="4">
        <v>0</v>
      </c>
      <c r="X73" s="4">
        <v>0</v>
      </c>
      <c r="Y73" s="4">
        <v>0</v>
      </c>
      <c r="Z73" s="4">
        <v>0</v>
      </c>
      <c r="AA73" s="4">
        <v>0</v>
      </c>
      <c r="AB73" s="4">
        <v>0</v>
      </c>
    </row>
    <row r="74" s="4" customFormat="1" ht="15">
      <c r="A74" s="200" t="s">
        <v>746</v>
      </c>
    </row>
    <row r="75" spans="1:28" s="4" customFormat="1" ht="15">
      <c r="A75" s="200" t="s">
        <v>147</v>
      </c>
      <c r="E75" s="4">
        <f aca="true" t="shared" si="11" ref="E75:AB75">SUM(E67:E74)</f>
        <v>18755</v>
      </c>
      <c r="F75" s="4">
        <f t="shared" si="11"/>
        <v>18755</v>
      </c>
      <c r="G75" s="4">
        <f t="shared" si="11"/>
        <v>26840.000000000007</v>
      </c>
      <c r="H75" s="4">
        <f t="shared" si="11"/>
        <v>27280</v>
      </c>
      <c r="I75" s="4">
        <f t="shared" si="11"/>
        <v>6100</v>
      </c>
      <c r="J75" s="4">
        <f t="shared" si="11"/>
        <v>22895</v>
      </c>
      <c r="K75" s="4">
        <f t="shared" si="11"/>
        <v>1665</v>
      </c>
      <c r="L75" s="4">
        <f t="shared" si="11"/>
        <v>7615</v>
      </c>
      <c r="M75" s="4">
        <f t="shared" si="11"/>
        <v>236348.45299999998</v>
      </c>
      <c r="N75" s="4">
        <f t="shared" si="11"/>
        <v>427110.50500000006</v>
      </c>
      <c r="O75" s="4">
        <f t="shared" si="11"/>
        <v>461700.393</v>
      </c>
      <c r="P75" s="4">
        <f t="shared" si="11"/>
        <v>443165.02200000006</v>
      </c>
      <c r="Q75" s="4">
        <f t="shared" si="11"/>
        <v>452088.31599999993</v>
      </c>
      <c r="R75" s="4">
        <f t="shared" si="11"/>
        <v>460107.85599999997</v>
      </c>
      <c r="S75" s="4">
        <f t="shared" si="11"/>
        <v>469003.094</v>
      </c>
      <c r="T75" s="4">
        <f t="shared" si="11"/>
        <v>479095.146</v>
      </c>
      <c r="U75" s="4">
        <f t="shared" si="11"/>
        <v>489374.107</v>
      </c>
      <c r="V75" s="4">
        <f t="shared" si="11"/>
        <v>498497.17</v>
      </c>
      <c r="W75" s="4">
        <f t="shared" si="11"/>
        <v>507810.572</v>
      </c>
      <c r="X75" s="4">
        <f t="shared" si="11"/>
        <v>517979.10599999997</v>
      </c>
      <c r="Y75" s="4">
        <f t="shared" si="11"/>
        <v>528818.825</v>
      </c>
      <c r="Z75" s="4">
        <f t="shared" si="11"/>
        <v>539772.6510000001</v>
      </c>
      <c r="AA75" s="4">
        <f t="shared" si="11"/>
        <v>580330.101</v>
      </c>
      <c r="AB75" s="4">
        <f t="shared" si="11"/>
        <v>489036.73</v>
      </c>
    </row>
    <row r="76" spans="1:28" s="257" customFormat="1" ht="14.25">
      <c r="A76" s="256" t="s">
        <v>780</v>
      </c>
      <c r="D76" s="258"/>
      <c r="E76" s="258">
        <v>0</v>
      </c>
      <c r="F76" s="258">
        <v>0</v>
      </c>
      <c r="G76" s="258">
        <v>0</v>
      </c>
      <c r="H76" s="258">
        <v>0</v>
      </c>
      <c r="I76" s="258">
        <v>0</v>
      </c>
      <c r="J76" s="258">
        <v>0</v>
      </c>
      <c r="K76" s="258">
        <v>0</v>
      </c>
      <c r="L76" s="258">
        <v>0</v>
      </c>
      <c r="M76" s="258">
        <v>-1.4551915228366852E-11</v>
      </c>
      <c r="N76" s="258">
        <v>2.9103830456733704E-11</v>
      </c>
      <c r="O76" s="258">
        <v>-2.9103830456733704E-11</v>
      </c>
      <c r="P76" s="258">
        <v>2.9103830456733704E-11</v>
      </c>
      <c r="Q76" s="258">
        <v>-2.9103830456733704E-11</v>
      </c>
      <c r="R76" s="258">
        <v>-2.9103830456733704E-11</v>
      </c>
      <c r="S76" s="258">
        <v>-2.9103830456733704E-11</v>
      </c>
      <c r="T76" s="258">
        <v>2.9103830456733704E-11</v>
      </c>
      <c r="U76" s="258">
        <v>2.9103830456733704E-11</v>
      </c>
      <c r="V76" s="258">
        <v>-2.9103830456733704E-11</v>
      </c>
      <c r="W76" s="258">
        <v>-2.9103830456733704E-11</v>
      </c>
      <c r="X76" s="258">
        <v>-2.9103830456733704E-11</v>
      </c>
      <c r="Y76" s="258">
        <v>-2.9103830456733704E-11</v>
      </c>
      <c r="Z76" s="258">
        <v>8.731149137020111E-11</v>
      </c>
      <c r="AA76" s="258">
        <v>2.9103830456733704E-11</v>
      </c>
      <c r="AB76" s="258">
        <v>0</v>
      </c>
    </row>
    <row r="77" ht="15">
      <c r="A77" s="200"/>
    </row>
    <row r="78" ht="15">
      <c r="A78" s="207"/>
    </row>
    <row r="81" spans="1:28" ht="15">
      <c r="A81" t="s">
        <v>797</v>
      </c>
      <c r="D81" s="4"/>
      <c r="E81" s="279">
        <f>+E95</f>
        <v>123214</v>
      </c>
      <c r="F81" s="279">
        <f aca="true" t="shared" si="12" ref="F81:Z81">+F95</f>
        <v>87302.7875</v>
      </c>
      <c r="G81" s="279">
        <f t="shared" si="12"/>
        <v>184159.74298125002</v>
      </c>
      <c r="H81" s="279">
        <f t="shared" si="12"/>
        <v>104146.26161393752</v>
      </c>
      <c r="I81" s="279">
        <f t="shared" si="12"/>
        <v>126211.58505070956</v>
      </c>
      <c r="J81" s="279">
        <f t="shared" si="12"/>
        <v>76416.86040793396</v>
      </c>
      <c r="K81" s="279">
        <f t="shared" si="12"/>
        <v>138241.73692709455</v>
      </c>
      <c r="L81" s="279">
        <f t="shared" si="12"/>
        <v>109267.62555196433</v>
      </c>
      <c r="M81" s="279">
        <f t="shared" si="12"/>
        <v>217677.99528341452</v>
      </c>
      <c r="N81" s="279">
        <f t="shared" si="12"/>
        <v>100995.29744197267</v>
      </c>
      <c r="O81" s="279">
        <f t="shared" si="12"/>
        <v>143294.0976177689</v>
      </c>
      <c r="P81" s="279">
        <f t="shared" si="12"/>
        <v>115617.11313553447</v>
      </c>
      <c r="Q81" s="279">
        <f t="shared" si="12"/>
        <v>120033.20874676167</v>
      </c>
      <c r="R81" s="279">
        <f t="shared" si="12"/>
        <v>115701.64468221212</v>
      </c>
      <c r="S81" s="279">
        <f t="shared" si="12"/>
        <v>107745.08440414396</v>
      </c>
      <c r="T81" s="279">
        <f t="shared" si="12"/>
        <v>120868.58708211192</v>
      </c>
      <c r="U81" s="279">
        <f t="shared" si="12"/>
        <v>78433.10386853748</v>
      </c>
      <c r="V81" s="279">
        <f t="shared" si="12"/>
        <v>64637.70477173561</v>
      </c>
      <c r="W81" s="279">
        <f t="shared" si="12"/>
        <v>52609.26931480906</v>
      </c>
      <c r="X81" s="279">
        <f t="shared" si="12"/>
        <v>36313.571976659776</v>
      </c>
      <c r="Y81" s="279">
        <f t="shared" si="12"/>
        <v>23494.605636323937</v>
      </c>
      <c r="Z81" s="279">
        <f t="shared" si="12"/>
        <v>30000</v>
      </c>
      <c r="AA81" s="280">
        <v>0</v>
      </c>
      <c r="AB81" s="273">
        <f aca="true" t="shared" si="13" ref="AB81">AB68*(1+$G$3)^(AB66-$G$4)</f>
        <v>489036.73</v>
      </c>
    </row>
    <row r="83" ht="12.75">
      <c r="A83" s="35" t="s">
        <v>767</v>
      </c>
    </row>
    <row r="85" spans="5:28" ht="12.75">
      <c r="E85">
        <f>+E66</f>
        <v>2022</v>
      </c>
      <c r="F85">
        <f aca="true" t="shared" si="14" ref="F85:AB85">+F66</f>
        <v>2023</v>
      </c>
      <c r="G85">
        <f t="shared" si="14"/>
        <v>2024</v>
      </c>
      <c r="H85">
        <f t="shared" si="14"/>
        <v>2025</v>
      </c>
      <c r="I85">
        <f t="shared" si="14"/>
        <v>2026</v>
      </c>
      <c r="J85">
        <f t="shared" si="14"/>
        <v>2027</v>
      </c>
      <c r="K85">
        <f t="shared" si="14"/>
        <v>2028</v>
      </c>
      <c r="L85">
        <f t="shared" si="14"/>
        <v>2029</v>
      </c>
      <c r="M85">
        <f t="shared" si="14"/>
        <v>2030</v>
      </c>
      <c r="N85">
        <f t="shared" si="14"/>
        <v>2031</v>
      </c>
      <c r="O85">
        <f t="shared" si="14"/>
        <v>2032</v>
      </c>
      <c r="P85">
        <f t="shared" si="14"/>
        <v>2033</v>
      </c>
      <c r="Q85">
        <f t="shared" si="14"/>
        <v>2034</v>
      </c>
      <c r="R85">
        <f t="shared" si="14"/>
        <v>2035</v>
      </c>
      <c r="S85">
        <f t="shared" si="14"/>
        <v>2036</v>
      </c>
      <c r="T85">
        <f t="shared" si="14"/>
        <v>2037</v>
      </c>
      <c r="U85">
        <f t="shared" si="14"/>
        <v>2038</v>
      </c>
      <c r="V85">
        <f t="shared" si="14"/>
        <v>2039</v>
      </c>
      <c r="W85">
        <f t="shared" si="14"/>
        <v>2040</v>
      </c>
      <c r="X85">
        <f t="shared" si="14"/>
        <v>2041</v>
      </c>
      <c r="Y85">
        <f t="shared" si="14"/>
        <v>2042</v>
      </c>
      <c r="Z85">
        <f t="shared" si="14"/>
        <v>2043</v>
      </c>
      <c r="AA85">
        <f t="shared" si="14"/>
        <v>2044</v>
      </c>
      <c r="AB85">
        <f t="shared" si="14"/>
        <v>2045</v>
      </c>
    </row>
    <row r="86" spans="1:18" ht="12.75">
      <c r="A86" s="35" t="s">
        <v>752</v>
      </c>
      <c r="C86" s="4"/>
      <c r="D86" s="4"/>
      <c r="E86" s="4">
        <v>49500000</v>
      </c>
      <c r="F86" s="226">
        <v>0</v>
      </c>
      <c r="G86" s="226">
        <v>0</v>
      </c>
      <c r="H86" s="226">
        <v>0</v>
      </c>
      <c r="I86" s="226">
        <v>0</v>
      </c>
      <c r="J86" s="226">
        <v>0</v>
      </c>
      <c r="K86" s="226">
        <v>0</v>
      </c>
      <c r="L86" s="226">
        <v>0</v>
      </c>
      <c r="M86" s="4">
        <v>0</v>
      </c>
      <c r="N86" s="4"/>
      <c r="O86" s="4"/>
      <c r="P86" s="4">
        <v>0</v>
      </c>
      <c r="Q86" s="4">
        <v>0</v>
      </c>
      <c r="R86" s="4"/>
    </row>
    <row r="87" spans="1:18" ht="12.75">
      <c r="A87" t="s">
        <v>753</v>
      </c>
      <c r="C87" s="4"/>
      <c r="D87" s="4"/>
      <c r="E87" s="4">
        <v>77926486.09130514</v>
      </c>
      <c r="F87" s="226">
        <v>70299000</v>
      </c>
      <c r="G87" s="226"/>
      <c r="H87" s="226"/>
      <c r="I87" s="226"/>
      <c r="J87" s="226"/>
      <c r="K87" s="226"/>
      <c r="L87" s="226"/>
      <c r="M87" s="4"/>
      <c r="N87" s="4"/>
      <c r="O87" s="4"/>
      <c r="P87" s="4">
        <v>0</v>
      </c>
      <c r="Q87" s="4">
        <v>0</v>
      </c>
      <c r="R87" s="4"/>
    </row>
    <row r="88" spans="1:18" ht="25.5">
      <c r="A88" s="227" t="s">
        <v>754</v>
      </c>
      <c r="C88" s="4"/>
      <c r="D88" s="4"/>
      <c r="E88" s="4">
        <v>15980000</v>
      </c>
      <c r="F88" s="226">
        <v>16775000</v>
      </c>
      <c r="G88" s="226">
        <v>17600000</v>
      </c>
      <c r="H88" s="226">
        <v>0</v>
      </c>
      <c r="I88" s="226">
        <v>0</v>
      </c>
      <c r="J88" s="226">
        <v>0</v>
      </c>
      <c r="K88" s="226">
        <v>0</v>
      </c>
      <c r="L88" s="226">
        <v>0</v>
      </c>
      <c r="M88" s="4">
        <v>0</v>
      </c>
      <c r="N88" s="4"/>
      <c r="O88" s="4"/>
      <c r="P88" s="4">
        <v>0</v>
      </c>
      <c r="Q88" s="4">
        <v>0</v>
      </c>
      <c r="R88" s="4"/>
    </row>
    <row r="89" spans="1:18" ht="12.75">
      <c r="A89" t="s">
        <v>147</v>
      </c>
      <c r="C89" s="12"/>
      <c r="D89" s="12"/>
      <c r="E89" s="12">
        <v>143406486.09130514</v>
      </c>
      <c r="F89" s="12">
        <f>+F88+F87+F86</f>
        <v>87074000</v>
      </c>
      <c r="G89" s="12">
        <f>+G88+G87+G86</f>
        <v>17600000</v>
      </c>
      <c r="H89" s="12">
        <v>0</v>
      </c>
      <c r="I89" s="12">
        <v>0</v>
      </c>
      <c r="J89" s="12">
        <v>0</v>
      </c>
      <c r="K89" s="12">
        <v>0</v>
      </c>
      <c r="L89" s="12">
        <v>0</v>
      </c>
      <c r="M89" s="12">
        <v>0</v>
      </c>
      <c r="N89" s="12"/>
      <c r="O89" s="12"/>
      <c r="P89" s="12">
        <v>0</v>
      </c>
      <c r="Q89" s="12">
        <v>0</v>
      </c>
      <c r="R89" s="12"/>
    </row>
    <row r="91" spans="15:16" ht="12.75">
      <c r="O91">
        <v>2028</v>
      </c>
      <c r="P91" s="12"/>
    </row>
    <row r="92" spans="1:10" ht="12.75">
      <c r="A92" s="35"/>
      <c r="D92" s="4"/>
      <c r="E92" s="4"/>
      <c r="F92" s="4"/>
      <c r="G92" s="4"/>
      <c r="H92" s="4"/>
      <c r="I92" s="4"/>
      <c r="J92" s="4"/>
    </row>
    <row r="95" spans="1:27" ht="12.75">
      <c r="A95" s="35" t="s">
        <v>830</v>
      </c>
      <c r="E95" s="4">
        <v>123214</v>
      </c>
      <c r="F95" s="4">
        <v>87302.7875</v>
      </c>
      <c r="G95" s="4">
        <v>184159.74298125002</v>
      </c>
      <c r="H95" s="4">
        <v>104146.26161393752</v>
      </c>
      <c r="I95" s="4">
        <v>126211.58505070956</v>
      </c>
      <c r="J95" s="4">
        <v>76416.86040793396</v>
      </c>
      <c r="K95" s="4">
        <v>138241.73692709455</v>
      </c>
      <c r="L95" s="4">
        <v>109267.62555196433</v>
      </c>
      <c r="M95" s="4">
        <v>217677.99528341452</v>
      </c>
      <c r="N95" s="4">
        <v>100995.29744197267</v>
      </c>
      <c r="O95" s="4">
        <v>143294.0976177689</v>
      </c>
      <c r="P95" s="4">
        <v>115617.11313553447</v>
      </c>
      <c r="Q95" s="4">
        <v>120033.20874676167</v>
      </c>
      <c r="R95" s="4">
        <v>115701.64468221212</v>
      </c>
      <c r="S95" s="4">
        <v>107745.08440414396</v>
      </c>
      <c r="T95" s="4">
        <v>120868.58708211192</v>
      </c>
      <c r="U95" s="4">
        <v>78433.10386853748</v>
      </c>
      <c r="V95" s="4">
        <v>64637.70477173561</v>
      </c>
      <c r="W95" s="4">
        <v>52609.26931480906</v>
      </c>
      <c r="X95" s="4">
        <v>36313.571976659776</v>
      </c>
      <c r="Y95" s="4">
        <v>23494.605636323937</v>
      </c>
      <c r="Z95" s="4">
        <v>30000</v>
      </c>
      <c r="AA95" s="12">
        <f aca="true" t="shared" si="15" ref="AA95">+AA81+AA87/1000+AA88/1000</f>
        <v>0</v>
      </c>
    </row>
    <row r="100" spans="8:9" ht="12.75">
      <c r="H100" s="12">
        <f>-H86</f>
        <v>0</v>
      </c>
      <c r="I100">
        <f>+H100/1000</f>
        <v>0</v>
      </c>
    </row>
    <row r="101" spans="8:9" ht="12.75">
      <c r="H101" s="12">
        <f>-I86</f>
        <v>0</v>
      </c>
      <c r="I101">
        <f aca="true" t="shared" si="16" ref="I101:I102">+H101/1000</f>
        <v>0</v>
      </c>
    </row>
    <row r="102" spans="8:13" ht="12.75">
      <c r="H102" s="12">
        <f>-J86</f>
        <v>0</v>
      </c>
      <c r="I102">
        <f t="shared" si="16"/>
        <v>0</v>
      </c>
      <c r="M102" s="4"/>
    </row>
    <row r="103" ht="12.75">
      <c r="M103" s="4"/>
    </row>
    <row r="104" ht="12.75">
      <c r="M104" s="4"/>
    </row>
    <row r="105" ht="12.75">
      <c r="M105" s="4"/>
    </row>
    <row r="106" ht="12.75">
      <c r="M106" s="4"/>
    </row>
    <row r="107" ht="12.75">
      <c r="M107" s="4"/>
    </row>
    <row r="108" ht="12.75">
      <c r="M108" s="4"/>
    </row>
    <row r="109" spans="1:13" ht="12.75">
      <c r="A109" s="35" t="s">
        <v>814</v>
      </c>
      <c r="M109" s="4"/>
    </row>
    <row r="110" spans="1:13" ht="12.75">
      <c r="A110" s="35" t="s">
        <v>738</v>
      </c>
      <c r="E110">
        <v>7561.5887</v>
      </c>
      <c r="F110" s="19">
        <v>7490.78532</v>
      </c>
      <c r="G110" s="19"/>
      <c r="M110" s="4"/>
    </row>
    <row r="111" spans="1:13" ht="12.75">
      <c r="A111" s="35" t="s">
        <v>815</v>
      </c>
      <c r="E111">
        <v>168.60468</v>
      </c>
      <c r="F111" s="19">
        <v>168.60468</v>
      </c>
      <c r="G111" s="19"/>
      <c r="M111" s="4"/>
    </row>
    <row r="112" spans="5:13" ht="12.75">
      <c r="E112">
        <v>825</v>
      </c>
      <c r="F112">
        <v>-17600</v>
      </c>
      <c r="H112" t="e">
        <f>+#REF!-'Non-Federal DS'!H88/1000</f>
        <v>#REF!</v>
      </c>
      <c r="M112" s="4"/>
    </row>
    <row r="113" ht="12.75">
      <c r="M113" s="4"/>
    </row>
  </sheetData>
  <printOptions/>
  <pageMargins left="0.75" right="0.75" top="1" bottom="1" header="0.5" footer="0.5"/>
  <pageSetup fitToHeight="1" fitToWidth="1" horizontalDpi="600" verticalDpi="600" orientation="landscape" scale="10"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B1:BC47"/>
  <sheetViews>
    <sheetView workbookViewId="0" topLeftCell="A1">
      <selection activeCell="G16" sqref="G16"/>
    </sheetView>
  </sheetViews>
  <sheetFormatPr defaultColWidth="9.140625" defaultRowHeight="12.75"/>
  <cols>
    <col min="1" max="1" width="9.140625" style="5" customWidth="1"/>
    <col min="2" max="2" width="20.28125" style="5" customWidth="1"/>
    <col min="3" max="3" width="13.140625" style="5" hidden="1" customWidth="1"/>
    <col min="4" max="4" width="11.8515625" style="5" bestFit="1" customWidth="1"/>
    <col min="5" max="27" width="11.28125" style="5" bestFit="1" customWidth="1"/>
    <col min="28" max="30" width="9.57421875" style="5" bestFit="1" customWidth="1"/>
    <col min="31" max="16384" width="9.140625" style="5" customWidth="1"/>
  </cols>
  <sheetData>
    <row r="1" spans="2:6" ht="42.75" customHeight="1">
      <c r="B1" s="181" t="s">
        <v>671</v>
      </c>
      <c r="C1" s="181"/>
      <c r="F1" s="181"/>
    </row>
    <row r="2" spans="3:55" ht="12.75">
      <c r="C2" s="101">
        <v>2022</v>
      </c>
      <c r="D2" s="101">
        <v>2023</v>
      </c>
      <c r="E2" s="101">
        <v>2024</v>
      </c>
      <c r="F2" s="101">
        <v>2025</v>
      </c>
      <c r="G2" s="101">
        <v>2026</v>
      </c>
      <c r="H2" s="101">
        <v>2027</v>
      </c>
      <c r="I2" s="101">
        <v>2028</v>
      </c>
      <c r="J2" s="101">
        <v>2029</v>
      </c>
      <c r="K2" s="101">
        <v>2030</v>
      </c>
      <c r="L2" s="101">
        <v>2031</v>
      </c>
      <c r="M2" s="101">
        <v>2032</v>
      </c>
      <c r="N2" s="101">
        <v>2033</v>
      </c>
      <c r="O2" s="101">
        <v>2034</v>
      </c>
      <c r="P2" s="101">
        <v>2035</v>
      </c>
      <c r="Q2" s="101">
        <v>2036</v>
      </c>
      <c r="R2" s="101">
        <v>2037</v>
      </c>
      <c r="S2" s="101">
        <v>2038</v>
      </c>
      <c r="T2" s="101">
        <v>2039</v>
      </c>
      <c r="U2" s="101">
        <v>2040</v>
      </c>
      <c r="V2" s="101">
        <v>2041</v>
      </c>
      <c r="W2" s="101">
        <v>2042</v>
      </c>
      <c r="X2" s="101">
        <v>2043</v>
      </c>
      <c r="Y2" s="101">
        <v>2044</v>
      </c>
      <c r="Z2" s="101">
        <v>2045</v>
      </c>
      <c r="AA2" s="101">
        <v>2046</v>
      </c>
      <c r="AB2" s="101">
        <v>2047</v>
      </c>
      <c r="AC2" s="101">
        <v>2048</v>
      </c>
      <c r="AD2" s="101">
        <v>2049</v>
      </c>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row>
    <row r="3" spans="2:10" ht="12.75">
      <c r="B3" s="101" t="s">
        <v>225</v>
      </c>
      <c r="C3" s="101"/>
      <c r="D3" s="168" t="s">
        <v>646</v>
      </c>
      <c r="E3" s="152"/>
      <c r="F3" s="152"/>
      <c r="G3" s="152"/>
      <c r="H3" s="152"/>
      <c r="I3" s="152"/>
      <c r="J3" s="152"/>
    </row>
    <row r="4" spans="2:55" s="170" customFormat="1" ht="12.75">
      <c r="B4" s="170" t="s">
        <v>437</v>
      </c>
      <c r="C4" s="90">
        <v>49822</v>
      </c>
      <c r="D4" s="90">
        <v>49822</v>
      </c>
      <c r="E4" s="90">
        <v>39728</v>
      </c>
      <c r="F4" s="90">
        <v>43660</v>
      </c>
      <c r="G4" s="90">
        <v>47848</v>
      </c>
      <c r="H4" s="90">
        <v>43532</v>
      </c>
      <c r="I4" s="90">
        <v>40612</v>
      </c>
      <c r="J4" s="90">
        <v>37454</v>
      </c>
      <c r="K4" s="90">
        <v>33303</v>
      </c>
      <c r="L4" s="90">
        <v>32985</v>
      </c>
      <c r="M4" s="90">
        <v>40727</v>
      </c>
      <c r="N4" s="90">
        <v>47784</v>
      </c>
      <c r="O4" s="90">
        <v>54586</v>
      </c>
      <c r="P4" s="90">
        <v>60603</v>
      </c>
      <c r="Q4" s="90">
        <v>66631</v>
      </c>
      <c r="R4" s="90">
        <v>72832</v>
      </c>
      <c r="S4" s="90">
        <v>79204</v>
      </c>
      <c r="T4" s="90">
        <v>84904</v>
      </c>
      <c r="U4" s="90">
        <v>90332</v>
      </c>
      <c r="V4" s="90">
        <v>96309</v>
      </c>
      <c r="W4" s="90">
        <v>103699</v>
      </c>
      <c r="X4" s="90">
        <v>109364</v>
      </c>
      <c r="Y4" s="90">
        <v>115039</v>
      </c>
      <c r="Z4" s="90">
        <v>122898</v>
      </c>
      <c r="AA4" s="90">
        <v>126681</v>
      </c>
      <c r="AB4" s="90">
        <v>131216</v>
      </c>
      <c r="AC4" s="90">
        <v>135728</v>
      </c>
      <c r="AD4" s="90">
        <v>139730</v>
      </c>
      <c r="AE4" s="90"/>
      <c r="AF4" s="90"/>
      <c r="AG4" s="90"/>
      <c r="AH4" s="90"/>
      <c r="AI4" s="90"/>
      <c r="AJ4" s="90"/>
      <c r="AK4" s="90"/>
      <c r="AL4" s="90"/>
      <c r="AM4" s="90"/>
      <c r="AN4" s="90"/>
      <c r="AO4" s="90"/>
      <c r="AP4" s="90"/>
      <c r="AQ4" s="90"/>
      <c r="AR4" s="90"/>
      <c r="AS4" s="90"/>
      <c r="AT4" s="90"/>
      <c r="AU4" s="90"/>
      <c r="AV4" s="90"/>
      <c r="AW4" s="90"/>
      <c r="AX4" s="90"/>
      <c r="AY4" s="90"/>
      <c r="AZ4" s="90"/>
      <c r="BA4" s="90"/>
      <c r="BB4" s="90"/>
      <c r="BC4" s="90"/>
    </row>
    <row r="5" spans="2:55" s="170" customFormat="1" ht="12.75">
      <c r="B5" s="170" t="s">
        <v>438</v>
      </c>
      <c r="C5" s="90">
        <v>41193</v>
      </c>
      <c r="D5" s="90">
        <v>41193</v>
      </c>
      <c r="E5" s="90">
        <v>34236</v>
      </c>
      <c r="F5" s="90">
        <v>23203</v>
      </c>
      <c r="G5" s="90">
        <v>16165</v>
      </c>
      <c r="H5" s="90">
        <v>17883</v>
      </c>
      <c r="I5" s="90">
        <v>16325</v>
      </c>
      <c r="J5" s="90">
        <v>11315</v>
      </c>
      <c r="K5" s="90">
        <v>10672</v>
      </c>
      <c r="L5" s="90">
        <v>19043</v>
      </c>
      <c r="M5" s="90">
        <v>19804</v>
      </c>
      <c r="N5" s="90">
        <v>21508</v>
      </c>
      <c r="O5" s="90">
        <v>22281</v>
      </c>
      <c r="P5" s="90">
        <v>23054</v>
      </c>
      <c r="Q5" s="90">
        <v>23826</v>
      </c>
      <c r="R5" s="90">
        <v>24599</v>
      </c>
      <c r="S5" s="90">
        <v>25372</v>
      </c>
      <c r="T5" s="90">
        <v>26145</v>
      </c>
      <c r="U5" s="90">
        <v>26918</v>
      </c>
      <c r="V5" s="90">
        <v>27691</v>
      </c>
      <c r="W5" s="90">
        <v>28464</v>
      </c>
      <c r="X5" s="90">
        <v>29236</v>
      </c>
      <c r="Y5" s="90">
        <v>30009</v>
      </c>
      <c r="Z5" s="90">
        <v>30782</v>
      </c>
      <c r="AA5" s="90">
        <v>30782</v>
      </c>
      <c r="AB5" s="90">
        <v>30782</v>
      </c>
      <c r="AC5" s="90">
        <v>30782</v>
      </c>
      <c r="AD5" s="90">
        <v>30782</v>
      </c>
      <c r="AE5" s="90"/>
      <c r="AF5" s="90"/>
      <c r="AG5" s="90"/>
      <c r="AH5" s="90"/>
      <c r="AI5" s="90"/>
      <c r="AJ5" s="90"/>
      <c r="AK5" s="90"/>
      <c r="AL5" s="90"/>
      <c r="AM5" s="90"/>
      <c r="AN5" s="90"/>
      <c r="AO5" s="90"/>
      <c r="AP5" s="90"/>
      <c r="AQ5" s="90"/>
      <c r="AR5" s="90"/>
      <c r="AS5" s="90"/>
      <c r="AT5" s="90"/>
      <c r="AU5" s="90"/>
      <c r="AV5" s="90"/>
      <c r="AW5" s="90"/>
      <c r="AX5" s="90"/>
      <c r="AY5" s="90"/>
      <c r="AZ5" s="90"/>
      <c r="BA5" s="90"/>
      <c r="BB5" s="90"/>
      <c r="BC5" s="90"/>
    </row>
    <row r="6" spans="2:30" s="170" customFormat="1" ht="12.75">
      <c r="B6" s="182" t="s">
        <v>564</v>
      </c>
      <c r="C6" s="4">
        <v>7853.97357060828</v>
      </c>
      <c r="D6" s="4">
        <v>6798.60662309995</v>
      </c>
      <c r="E6" s="4">
        <v>5694.264395162258</v>
      </c>
      <c r="F6" s="4">
        <v>4538.673773120818</v>
      </c>
      <c r="G6" s="4">
        <v>3329.456124045985</v>
      </c>
      <c r="H6" s="4">
        <v>2064.1223967866927</v>
      </c>
      <c r="I6" s="4">
        <v>740.067995528412</v>
      </c>
      <c r="J6" s="4"/>
      <c r="K6" s="18"/>
      <c r="L6" s="18"/>
      <c r="M6" s="18"/>
      <c r="N6" s="18"/>
      <c r="O6" s="18"/>
      <c r="P6" s="18"/>
      <c r="Q6" s="18"/>
      <c r="R6" s="18"/>
      <c r="S6" s="18"/>
      <c r="T6" s="18"/>
      <c r="U6" s="18"/>
      <c r="V6" s="18"/>
      <c r="W6" s="18"/>
      <c r="X6" s="18"/>
      <c r="Y6" s="18"/>
      <c r="Z6" s="18"/>
      <c r="AA6" s="18"/>
      <c r="AB6" s="18"/>
      <c r="AC6" s="18"/>
      <c r="AD6" s="18"/>
    </row>
    <row r="7" spans="2:30" s="170" customFormat="1" ht="12.75">
      <c r="B7" s="170" t="s">
        <v>439</v>
      </c>
      <c r="C7" s="170">
        <v>0</v>
      </c>
      <c r="D7" s="170">
        <v>0</v>
      </c>
      <c r="E7" s="170">
        <v>0</v>
      </c>
      <c r="F7" s="170">
        <v>0</v>
      </c>
      <c r="G7" s="170">
        <v>0</v>
      </c>
      <c r="H7" s="170">
        <v>0</v>
      </c>
      <c r="I7" s="170">
        <v>0</v>
      </c>
      <c r="J7" s="170">
        <v>0</v>
      </c>
      <c r="K7" s="170">
        <v>0</v>
      </c>
      <c r="L7" s="170">
        <v>0</v>
      </c>
      <c r="M7" s="170">
        <v>0</v>
      </c>
      <c r="N7" s="170">
        <v>0</v>
      </c>
      <c r="O7" s="170">
        <v>0</v>
      </c>
      <c r="P7" s="170">
        <v>0</v>
      </c>
      <c r="Q7" s="170">
        <v>0</v>
      </c>
      <c r="R7" s="170">
        <v>0</v>
      </c>
      <c r="S7" s="170">
        <v>0</v>
      </c>
      <c r="T7" s="170">
        <v>0</v>
      </c>
      <c r="U7" s="170">
        <v>0</v>
      </c>
      <c r="V7" s="170">
        <v>0</v>
      </c>
      <c r="W7" s="170">
        <v>0</v>
      </c>
      <c r="X7" s="170">
        <v>0</v>
      </c>
      <c r="Y7" s="170">
        <v>0</v>
      </c>
      <c r="Z7" s="170">
        <v>0</v>
      </c>
      <c r="AA7" s="170">
        <v>0</v>
      </c>
      <c r="AB7" s="170">
        <v>0</v>
      </c>
      <c r="AC7" s="170">
        <v>0</v>
      </c>
      <c r="AD7" s="170">
        <v>0</v>
      </c>
    </row>
    <row r="8" spans="2:30" s="170" customFormat="1" ht="12.75">
      <c r="B8" s="182" t="s">
        <v>738</v>
      </c>
      <c r="C8" s="170">
        <v>57099</v>
      </c>
      <c r="D8" s="170">
        <v>57099</v>
      </c>
      <c r="E8" s="170">
        <v>11090</v>
      </c>
      <c r="F8" s="170">
        <v>605</v>
      </c>
      <c r="G8" s="170">
        <v>-1989</v>
      </c>
      <c r="H8" s="170">
        <v>-1276</v>
      </c>
      <c r="I8" s="170">
        <v>-367</v>
      </c>
      <c r="J8" s="170">
        <v>0</v>
      </c>
      <c r="K8" s="170">
        <v>0</v>
      </c>
      <c r="L8" s="170">
        <v>0</v>
      </c>
      <c r="M8" s="170">
        <v>0</v>
      </c>
      <c r="N8" s="170">
        <v>0</v>
      </c>
      <c r="O8" s="170">
        <v>0</v>
      </c>
      <c r="P8" s="170">
        <v>0</v>
      </c>
      <c r="Q8" s="170">
        <v>0</v>
      </c>
      <c r="R8" s="170">
        <v>0</v>
      </c>
      <c r="S8" s="170">
        <v>0</v>
      </c>
      <c r="T8" s="170">
        <v>0</v>
      </c>
      <c r="U8" s="170">
        <v>0</v>
      </c>
      <c r="V8" s="170">
        <v>0</v>
      </c>
      <c r="W8" s="170">
        <v>0</v>
      </c>
      <c r="X8" s="170">
        <v>0</v>
      </c>
      <c r="Y8" s="170">
        <v>0</v>
      </c>
      <c r="Z8" s="170">
        <v>0</v>
      </c>
      <c r="AA8" s="170">
        <v>0</v>
      </c>
      <c r="AB8" s="170">
        <v>0</v>
      </c>
      <c r="AC8" s="170">
        <v>0</v>
      </c>
      <c r="AD8" s="170">
        <v>0</v>
      </c>
    </row>
    <row r="9" s="170" customFormat="1" ht="12.75"/>
    <row r="10" spans="2:30" s="170" customFormat="1" ht="12.75">
      <c r="B10" s="102" t="s">
        <v>441</v>
      </c>
      <c r="C10" s="170">
        <v>198</v>
      </c>
      <c r="D10" s="170">
        <v>198</v>
      </c>
      <c r="E10" s="170">
        <v>421</v>
      </c>
      <c r="F10" s="170">
        <v>855</v>
      </c>
      <c r="G10" s="170">
        <v>1381</v>
      </c>
      <c r="H10" s="170">
        <v>1698</v>
      </c>
      <c r="I10" s="170">
        <v>2385</v>
      </c>
      <c r="J10" s="170">
        <v>1942</v>
      </c>
      <c r="K10" s="170">
        <v>1927</v>
      </c>
      <c r="L10" s="170">
        <v>701</v>
      </c>
      <c r="M10" s="170">
        <v>760</v>
      </c>
      <c r="N10" s="170">
        <v>856</v>
      </c>
      <c r="O10" s="170">
        <v>910</v>
      </c>
      <c r="P10" s="170">
        <v>960</v>
      </c>
      <c r="Q10" s="170">
        <v>1015</v>
      </c>
      <c r="R10" s="170">
        <v>1073</v>
      </c>
      <c r="S10" s="170">
        <v>1127</v>
      </c>
      <c r="T10" s="170">
        <v>1178</v>
      </c>
      <c r="U10" s="170">
        <v>1228</v>
      </c>
      <c r="V10" s="170">
        <v>1279</v>
      </c>
      <c r="W10" s="170">
        <v>1332</v>
      </c>
      <c r="X10" s="170">
        <v>1351</v>
      </c>
      <c r="Y10" s="170">
        <v>1400</v>
      </c>
      <c r="Z10" s="170">
        <v>1694</v>
      </c>
      <c r="AA10" s="170">
        <v>1683</v>
      </c>
      <c r="AB10" s="170">
        <v>1678</v>
      </c>
      <c r="AC10" s="170">
        <v>1671</v>
      </c>
      <c r="AD10" s="170">
        <v>1663</v>
      </c>
    </row>
    <row r="11" spans="2:30" s="250" customFormat="1" ht="12.75">
      <c r="B11" s="251" t="s">
        <v>777</v>
      </c>
      <c r="C11" s="250">
        <v>1.364000000001397</v>
      </c>
      <c r="D11" s="250">
        <v>1.364000000001397</v>
      </c>
      <c r="E11" s="250">
        <v>-0.3289999999979045</v>
      </c>
      <c r="F11" s="250">
        <v>-0.8999999999941792</v>
      </c>
      <c r="G11" s="250">
        <v>0.11499999999796273</v>
      </c>
      <c r="H11" s="250">
        <v>-2.529999999998836</v>
      </c>
      <c r="I11" s="250">
        <v>-5.0899999999965075</v>
      </c>
      <c r="J11" s="250">
        <v>-0.10599999999976717</v>
      </c>
      <c r="K11" s="250">
        <v>-2.75800000000163</v>
      </c>
      <c r="L11" s="250">
        <v>-2.2920000000012806</v>
      </c>
      <c r="M11" s="250">
        <v>-1.6970000000001164</v>
      </c>
      <c r="N11" s="250">
        <v>-1.297999999995227</v>
      </c>
      <c r="O11" s="250">
        <v>-3.25</v>
      </c>
      <c r="P11" s="250">
        <v>-2.0979999999981374</v>
      </c>
      <c r="Q11" s="250">
        <v>-2.0720000000001164</v>
      </c>
      <c r="R11" s="250">
        <v>-2.8549999999959255</v>
      </c>
      <c r="S11" s="250">
        <v>-1.1539999999949941</v>
      </c>
      <c r="T11" s="250">
        <v>-2.687000000005355</v>
      </c>
      <c r="U11" s="250">
        <v>-0.8249999999970896</v>
      </c>
      <c r="V11" s="250">
        <v>-3.2510000000038417</v>
      </c>
      <c r="W11" s="250">
        <v>0.625</v>
      </c>
      <c r="X11" s="250">
        <v>-3.559000000008382</v>
      </c>
      <c r="Y11" s="250">
        <v>-2.1749999999883585</v>
      </c>
      <c r="Z11" s="250">
        <v>-2.25099999998929</v>
      </c>
      <c r="AA11" s="250">
        <v>-2.1639999999897555</v>
      </c>
      <c r="AB11" s="250">
        <v>-2.2919999999867287</v>
      </c>
      <c r="AC11" s="250">
        <v>-3.1900000000023283</v>
      </c>
      <c r="AD11" s="250">
        <v>-2.081000000005588</v>
      </c>
    </row>
    <row r="12" s="170" customFormat="1" ht="12.75">
      <c r="B12" s="102" t="s">
        <v>440</v>
      </c>
    </row>
    <row r="13" spans="2:30" s="170" customFormat="1" ht="12.75">
      <c r="B13" s="170" t="s">
        <v>438</v>
      </c>
      <c r="C13" s="170">
        <v>167999</v>
      </c>
      <c r="D13" s="170">
        <v>167999</v>
      </c>
      <c r="E13" s="170">
        <v>278799</v>
      </c>
      <c r="F13" s="170">
        <v>209137</v>
      </c>
      <c r="G13" s="170">
        <v>0</v>
      </c>
      <c r="H13" s="170">
        <v>51524</v>
      </c>
      <c r="I13" s="170">
        <v>161459</v>
      </c>
      <c r="J13" s="170">
        <v>20689</v>
      </c>
      <c r="K13" s="170">
        <v>17591</v>
      </c>
      <c r="L13" s="170">
        <v>0</v>
      </c>
      <c r="M13" s="170">
        <v>0</v>
      </c>
      <c r="N13" s="170">
        <v>0</v>
      </c>
      <c r="O13" s="170">
        <v>0</v>
      </c>
      <c r="P13" s="170">
        <v>0</v>
      </c>
      <c r="Q13" s="170">
        <v>0</v>
      </c>
      <c r="R13" s="170">
        <v>0</v>
      </c>
      <c r="S13" s="170">
        <v>0</v>
      </c>
      <c r="T13" s="170">
        <v>0</v>
      </c>
      <c r="U13" s="170">
        <v>0</v>
      </c>
      <c r="V13" s="170">
        <v>0</v>
      </c>
      <c r="W13" s="170">
        <v>0</v>
      </c>
      <c r="X13" s="170">
        <v>0</v>
      </c>
      <c r="Y13" s="170">
        <v>0</v>
      </c>
      <c r="Z13" s="170">
        <v>0</v>
      </c>
      <c r="AA13" s="170">
        <v>0</v>
      </c>
      <c r="AB13" s="170">
        <v>0</v>
      </c>
      <c r="AC13" s="170">
        <v>0</v>
      </c>
      <c r="AD13" s="170">
        <v>0</v>
      </c>
    </row>
    <row r="14" spans="2:30" s="170" customFormat="1" ht="12.75">
      <c r="B14" s="170" t="s">
        <v>437</v>
      </c>
      <c r="C14" s="170">
        <v>357000</v>
      </c>
      <c r="D14" s="170">
        <v>357000</v>
      </c>
      <c r="E14" s="170">
        <v>181200</v>
      </c>
      <c r="F14" s="170">
        <v>236863</v>
      </c>
      <c r="G14" s="170">
        <v>477024</v>
      </c>
      <c r="H14" s="170">
        <v>376751</v>
      </c>
      <c r="I14" s="170">
        <v>453050</v>
      </c>
      <c r="J14" s="170">
        <v>457311</v>
      </c>
      <c r="K14" s="170">
        <v>476409</v>
      </c>
      <c r="L14" s="170">
        <v>146840</v>
      </c>
      <c r="M14" s="170">
        <v>163300</v>
      </c>
      <c r="N14" s="170">
        <v>180790</v>
      </c>
      <c r="O14" s="170">
        <v>195199</v>
      </c>
      <c r="P14" s="170">
        <v>198034</v>
      </c>
      <c r="Q14" s="170">
        <v>188166</v>
      </c>
      <c r="R14" s="170">
        <v>212630</v>
      </c>
      <c r="S14" s="170">
        <v>238661</v>
      </c>
      <c r="T14" s="170">
        <v>235292</v>
      </c>
      <c r="U14" s="170">
        <v>260034</v>
      </c>
      <c r="V14" s="170">
        <v>196235</v>
      </c>
      <c r="W14" s="170">
        <v>278281</v>
      </c>
      <c r="X14" s="170">
        <v>281095</v>
      </c>
      <c r="Y14" s="170">
        <v>290971</v>
      </c>
      <c r="Z14" s="170">
        <v>351590</v>
      </c>
      <c r="AA14" s="170">
        <v>359807</v>
      </c>
      <c r="AB14" s="170">
        <v>355266</v>
      </c>
      <c r="AC14" s="170">
        <v>350748</v>
      </c>
      <c r="AD14" s="170">
        <v>346738</v>
      </c>
    </row>
    <row r="15" spans="2:30" s="170" customFormat="1" ht="12.75">
      <c r="B15" s="170" t="s">
        <v>177</v>
      </c>
      <c r="C15" s="170">
        <v>13210</v>
      </c>
      <c r="D15" s="170">
        <v>13210</v>
      </c>
      <c r="E15" s="170">
        <v>8067</v>
      </c>
      <c r="F15" s="170">
        <v>14006</v>
      </c>
      <c r="G15" s="170">
        <v>20317</v>
      </c>
      <c r="H15" s="170">
        <v>6265</v>
      </c>
      <c r="I15" s="170">
        <v>11447</v>
      </c>
      <c r="J15" s="170">
        <v>4065</v>
      </c>
      <c r="K15" s="170">
        <v>1996</v>
      </c>
      <c r="L15" s="170">
        <v>10916</v>
      </c>
      <c r="M15" s="170">
        <v>0</v>
      </c>
      <c r="N15" s="170">
        <v>4347</v>
      </c>
      <c r="O15" s="170">
        <v>0</v>
      </c>
      <c r="P15" s="170">
        <v>8051</v>
      </c>
      <c r="Q15" s="170">
        <v>28920</v>
      </c>
      <c r="R15" s="170">
        <v>15883</v>
      </c>
      <c r="S15" s="170">
        <v>0</v>
      </c>
      <c r="T15" s="170">
        <v>13975</v>
      </c>
      <c r="U15" s="170">
        <v>0</v>
      </c>
      <c r="V15" s="170">
        <v>73659</v>
      </c>
      <c r="W15" s="170">
        <v>0</v>
      </c>
      <c r="X15" s="170">
        <v>0</v>
      </c>
      <c r="Y15" s="170">
        <v>0</v>
      </c>
      <c r="Z15" s="170">
        <v>12011</v>
      </c>
      <c r="AA15" s="170">
        <v>0</v>
      </c>
      <c r="AB15" s="170">
        <v>0</v>
      </c>
      <c r="AC15" s="170">
        <v>0</v>
      </c>
      <c r="AD15" s="170">
        <v>0</v>
      </c>
    </row>
    <row r="16" spans="2:30" s="170" customFormat="1" ht="12.75">
      <c r="B16" s="170" t="s">
        <v>465</v>
      </c>
      <c r="C16" s="170">
        <v>30600</v>
      </c>
      <c r="D16" s="170">
        <v>30600</v>
      </c>
      <c r="E16" s="170">
        <v>30600</v>
      </c>
      <c r="F16" s="170">
        <v>30600</v>
      </c>
      <c r="G16" s="170">
        <v>30600</v>
      </c>
      <c r="H16" s="170">
        <v>30600</v>
      </c>
      <c r="I16" s="170">
        <v>30600</v>
      </c>
      <c r="J16" s="170">
        <v>0</v>
      </c>
      <c r="M16" s="170">
        <f aca="true" t="shared" si="0" ref="M16:AD16">+N16</f>
        <v>0</v>
      </c>
      <c r="N16" s="170">
        <f t="shared" si="0"/>
        <v>0</v>
      </c>
      <c r="O16" s="170">
        <f t="shared" si="0"/>
        <v>0</v>
      </c>
      <c r="P16" s="170">
        <f t="shared" si="0"/>
        <v>0</v>
      </c>
      <c r="Q16" s="170">
        <f t="shared" si="0"/>
        <v>0</v>
      </c>
      <c r="R16" s="170">
        <f t="shared" si="0"/>
        <v>0</v>
      </c>
      <c r="S16" s="170">
        <f t="shared" si="0"/>
        <v>0</v>
      </c>
      <c r="T16" s="170">
        <f t="shared" si="0"/>
        <v>0</v>
      </c>
      <c r="U16" s="170">
        <f t="shared" si="0"/>
        <v>0</v>
      </c>
      <c r="V16" s="170">
        <f t="shared" si="0"/>
        <v>0</v>
      </c>
      <c r="W16" s="170">
        <f t="shared" si="0"/>
        <v>0</v>
      </c>
      <c r="X16" s="170">
        <f t="shared" si="0"/>
        <v>0</v>
      </c>
      <c r="Y16" s="170">
        <f t="shared" si="0"/>
        <v>0</v>
      </c>
      <c r="Z16" s="170">
        <f t="shared" si="0"/>
        <v>0</v>
      </c>
      <c r="AA16" s="170">
        <f t="shared" si="0"/>
        <v>0</v>
      </c>
      <c r="AB16" s="170">
        <f t="shared" si="0"/>
        <v>0</v>
      </c>
      <c r="AC16" s="170">
        <f t="shared" si="0"/>
        <v>0</v>
      </c>
      <c r="AD16" s="170">
        <f t="shared" si="0"/>
        <v>0</v>
      </c>
    </row>
    <row r="17" spans="2:27" s="170" customFormat="1" ht="12.75">
      <c r="B17" s="170" t="s">
        <v>439</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row>
    <row r="18" spans="2:30" s="252" customFormat="1" ht="12.75">
      <c r="B18" s="251" t="s">
        <v>777</v>
      </c>
      <c r="C18" s="253">
        <v>-0.984000000054948</v>
      </c>
      <c r="D18" s="253">
        <v>-0.984000000054948</v>
      </c>
      <c r="E18" s="253">
        <v>-1.467000000004191</v>
      </c>
      <c r="F18" s="253">
        <v>-0.04899999999906868</v>
      </c>
      <c r="G18" s="253">
        <v>-0.521999999997206</v>
      </c>
      <c r="H18" s="253">
        <v>-1.0719999999855645</v>
      </c>
      <c r="I18" s="253">
        <v>0.08400000003166497</v>
      </c>
      <c r="J18" s="253">
        <v>0.3649999999906868</v>
      </c>
      <c r="K18" s="253">
        <v>0.2669999999925494</v>
      </c>
      <c r="L18" s="253">
        <v>-0.8440000000118744</v>
      </c>
      <c r="M18" s="253">
        <v>0.015000000013969839</v>
      </c>
      <c r="N18" s="253">
        <v>-0.33699999999953434</v>
      </c>
      <c r="O18" s="253">
        <v>0.39100000000325963</v>
      </c>
      <c r="P18" s="253">
        <v>-0.1959999999962747</v>
      </c>
      <c r="Q18" s="253">
        <v>-0.20100000000093132</v>
      </c>
      <c r="R18" s="253">
        <v>-0.03700000001117587</v>
      </c>
      <c r="S18" s="253">
        <v>-0.08900000000721775</v>
      </c>
      <c r="T18" s="253">
        <v>-0.6410000000032596</v>
      </c>
      <c r="U18" s="253">
        <v>0.3919999999925494</v>
      </c>
      <c r="V18" s="253">
        <v>0.25300000002607703</v>
      </c>
      <c r="W18" s="253">
        <v>0.0650000000023283</v>
      </c>
      <c r="X18" s="253">
        <v>-0.5700000000069849</v>
      </c>
      <c r="Y18" s="253">
        <v>0.11400000000139698</v>
      </c>
      <c r="Z18" s="253">
        <v>0.31900000001769513</v>
      </c>
      <c r="AA18" s="253">
        <v>-0.6979999999748543</v>
      </c>
      <c r="AB18" s="253">
        <v>0.5729999999748543</v>
      </c>
      <c r="AC18" s="253">
        <v>0.30599999998230487</v>
      </c>
      <c r="AD18" s="253">
        <v>-0.01799999998183921</v>
      </c>
    </row>
    <row r="19" spans="2:6" ht="20.25" hidden="1">
      <c r="B19" s="185" t="s">
        <v>670</v>
      </c>
      <c r="C19" s="185"/>
      <c r="D19" s="185" t="s">
        <v>747</v>
      </c>
      <c r="F19" s="185"/>
    </row>
    <row r="20" ht="12.75" hidden="1"/>
    <row r="21" spans="3:30" s="101" customFormat="1" ht="12.75" hidden="1">
      <c r="C21" s="101">
        <v>2021</v>
      </c>
      <c r="D21" s="101">
        <v>2022</v>
      </c>
      <c r="E21" s="101">
        <v>2023</v>
      </c>
      <c r="F21" s="101">
        <v>2024</v>
      </c>
      <c r="G21" s="101">
        <v>2025</v>
      </c>
      <c r="H21" s="101">
        <v>2026</v>
      </c>
      <c r="I21" s="101">
        <v>2027</v>
      </c>
      <c r="J21" s="101">
        <v>2028</v>
      </c>
      <c r="K21" s="101">
        <v>2029</v>
      </c>
      <c r="L21" s="101">
        <v>2030</v>
      </c>
      <c r="M21" s="101">
        <v>2031</v>
      </c>
      <c r="N21" s="101">
        <v>2032</v>
      </c>
      <c r="O21" s="101">
        <v>2033</v>
      </c>
      <c r="P21" s="101">
        <v>2034</v>
      </c>
      <c r="Q21" s="101">
        <v>2035</v>
      </c>
      <c r="R21" s="101">
        <v>2036</v>
      </c>
      <c r="S21" s="101">
        <v>2037</v>
      </c>
      <c r="T21" s="101">
        <v>2038</v>
      </c>
      <c r="U21" s="101">
        <v>2039</v>
      </c>
      <c r="V21" s="101">
        <v>2040</v>
      </c>
      <c r="W21" s="101">
        <v>2041</v>
      </c>
      <c r="X21" s="101">
        <v>2042</v>
      </c>
      <c r="Y21" s="101">
        <v>2043</v>
      </c>
      <c r="Z21" s="101">
        <v>2044</v>
      </c>
      <c r="AA21" s="101">
        <v>2045</v>
      </c>
      <c r="AB21" s="101">
        <v>2046</v>
      </c>
      <c r="AC21" s="101">
        <v>2045</v>
      </c>
      <c r="AD21" s="101">
        <v>2046</v>
      </c>
    </row>
    <row r="22" spans="2:5" ht="12.75" hidden="1">
      <c r="B22" s="101" t="s">
        <v>225</v>
      </c>
      <c r="C22" s="101"/>
      <c r="D22" s="168"/>
      <c r="E22" s="152"/>
    </row>
    <row r="23" spans="2:30" ht="12.75" hidden="1">
      <c r="B23" s="170" t="s">
        <v>437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row>
    <row r="24" spans="2:30" ht="12.75" hidden="1">
      <c r="B24" s="170" t="s">
        <v>438</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row>
    <row r="25" spans="2:30" ht="12.75" hidden="1">
      <c r="B25" s="182" t="s">
        <v>564</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row>
    <row r="26" spans="2:30" ht="12.75" hidden="1">
      <c r="B26" s="170" t="s">
        <v>439</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row>
    <row r="27" spans="2:30" ht="12.75" hidden="1">
      <c r="B27" s="17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row>
    <row r="28" spans="2:30" ht="12.75" hidden="1">
      <c r="B28" s="102" t="s">
        <v>441</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row>
    <row r="29" spans="2:30" ht="12.75" hidden="1">
      <c r="B29" s="17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row>
    <row r="30" spans="2:30" ht="12.75" hidden="1">
      <c r="B30" s="102" t="s">
        <v>440</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0" ht="12.75" hidden="1">
      <c r="B31" s="170" t="s">
        <v>438</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0" ht="12.75" hidden="1">
      <c r="B32" s="170" t="s">
        <v>437</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row>
    <row r="33" spans="2:30" ht="12.75" hidden="1">
      <c r="B33" s="170" t="s">
        <v>177</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row>
    <row r="34" spans="2:30" ht="12.75" hidden="1">
      <c r="B34" s="170" t="s">
        <v>465</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row>
    <row r="35" spans="2:31" s="119" customFormat="1" ht="12.75" hidden="1">
      <c r="B35" s="170" t="s">
        <v>439</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150"/>
    </row>
    <row r="36" spans="2:55" s="119" customFormat="1" ht="12.75" hidden="1">
      <c r="B36" s="149" t="s">
        <v>442</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row>
    <row r="37" spans="4:5" ht="12.75">
      <c r="D37" s="152"/>
      <c r="E37" s="152"/>
    </row>
    <row r="38" spans="2:27" ht="12.75">
      <c r="B38" s="183" t="s">
        <v>110</v>
      </c>
      <c r="C38" s="183">
        <v>40000</v>
      </c>
      <c r="D38" s="170">
        <v>40000</v>
      </c>
      <c r="E38" s="170">
        <v>33743.13925</v>
      </c>
      <c r="F38" s="170">
        <v>34289.606688</v>
      </c>
      <c r="G38" s="170">
        <v>33692.50975</v>
      </c>
      <c r="H38" s="170">
        <v>33004.781578</v>
      </c>
      <c r="I38" s="170">
        <v>33555.93725</v>
      </c>
      <c r="J38" s="170">
        <v>34243.539002112644</v>
      </c>
      <c r="K38" s="170">
        <v>34950.25394709316</v>
      </c>
      <c r="L38" s="170">
        <v>35649.22713805291</v>
      </c>
      <c r="M38" s="170">
        <v>36349.6613285006</v>
      </c>
      <c r="N38" s="170">
        <v>37060.03522963984</v>
      </c>
      <c r="O38" s="170">
        <v>37861.88758543302</v>
      </c>
      <c r="P38" s="170">
        <v>38685.11091138684</v>
      </c>
      <c r="Q38" s="170">
        <v>39526.98562677094</v>
      </c>
      <c r="R38" s="170">
        <v>40388.892790830054</v>
      </c>
      <c r="S38" s="170">
        <v>41271.647710613135</v>
      </c>
      <c r="T38" s="170">
        <v>42175.3099389829</v>
      </c>
      <c r="U38" s="170">
        <v>43103.0669720196</v>
      </c>
      <c r="V38" s="170">
        <v>44048.281501381796</v>
      </c>
      <c r="W38" s="170">
        <v>45019.7262309166</v>
      </c>
      <c r="X38" s="170">
        <v>46019.49969007186</v>
      </c>
      <c r="Y38" s="170">
        <v>47044.025871234444</v>
      </c>
      <c r="Z38" s="170"/>
      <c r="AA38" s="170"/>
    </row>
    <row r="40" ht="12.75">
      <c r="C40" s="152"/>
    </row>
    <row r="46" spans="2:5" ht="12.75">
      <c r="B46" s="173"/>
      <c r="C46" s="173"/>
      <c r="D46" s="101"/>
      <c r="E46" s="101"/>
    </row>
    <row r="47" spans="2:5" ht="12.75">
      <c r="B47" s="173"/>
      <c r="C47" s="173"/>
      <c r="D47" s="184"/>
      <c r="E47" s="184"/>
    </row>
  </sheetData>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H31"/>
  <sheetViews>
    <sheetView workbookViewId="0" topLeftCell="A1">
      <selection activeCell="E1" sqref="E1:E1048576"/>
    </sheetView>
  </sheetViews>
  <sheetFormatPr defaultColWidth="9.140625" defaultRowHeight="12.75"/>
  <cols>
    <col min="1" max="1" width="34.00390625" style="5" customWidth="1"/>
    <col min="2" max="3" width="14.00390625" style="5" bestFit="1" customWidth="1"/>
    <col min="4" max="4" width="10.28125" style="5" bestFit="1" customWidth="1"/>
    <col min="5" max="6" width="9.140625" style="5" customWidth="1"/>
    <col min="7" max="8" width="15.00390625" style="5" bestFit="1" customWidth="1"/>
    <col min="9" max="16384" width="9.140625" style="5" customWidth="1"/>
  </cols>
  <sheetData>
    <row r="1" spans="2:4" ht="12.75">
      <c r="B1" s="104">
        <v>2024</v>
      </c>
      <c r="C1" s="104">
        <v>2025</v>
      </c>
      <c r="D1" s="104" t="s">
        <v>565</v>
      </c>
    </row>
    <row r="2" spans="1:7" ht="12.75">
      <c r="A2" s="5" t="s">
        <v>436</v>
      </c>
      <c r="B2" s="110">
        <v>2956126</v>
      </c>
      <c r="C2" s="110">
        <v>2898053</v>
      </c>
      <c r="E2" s="171"/>
      <c r="G2" s="171"/>
    </row>
    <row r="3" spans="2:7" ht="12.75">
      <c r="B3" s="154"/>
      <c r="C3" s="154"/>
      <c r="G3" s="171"/>
    </row>
    <row r="4" spans="1:3" ht="12.75">
      <c r="A4" s="5" t="s">
        <v>435</v>
      </c>
      <c r="B4" s="110">
        <v>3121402.3417528835</v>
      </c>
      <c r="C4" s="110">
        <v>3167817.4043121454</v>
      </c>
    </row>
    <row r="5" spans="2:3" ht="12.75">
      <c r="B5" s="18"/>
      <c r="C5" s="18"/>
    </row>
    <row r="6" spans="1:8" ht="12.75">
      <c r="A6" s="171" t="s">
        <v>643</v>
      </c>
      <c r="B6" s="18">
        <v>274777</v>
      </c>
      <c r="C6" s="18">
        <v>274820</v>
      </c>
      <c r="G6" s="381"/>
      <c r="H6" s="381"/>
    </row>
    <row r="7" spans="1:3" ht="12.75">
      <c r="A7" s="171" t="s">
        <v>644</v>
      </c>
      <c r="B7" s="18"/>
      <c r="C7" s="18"/>
    </row>
    <row r="8" spans="1:3" ht="12.75">
      <c r="A8" s="171" t="s">
        <v>642</v>
      </c>
      <c r="B8" s="18">
        <f>+B6</f>
        <v>274777</v>
      </c>
      <c r="C8" s="18">
        <f>+C6</f>
        <v>274820</v>
      </c>
    </row>
    <row r="9" spans="2:3" ht="12.75">
      <c r="B9" s="18"/>
      <c r="C9" s="18"/>
    </row>
    <row r="10" spans="2:3" ht="12.75">
      <c r="B10" s="18"/>
      <c r="C10" s="18"/>
    </row>
    <row r="11" spans="1:4" ht="12.75">
      <c r="A11" s="5" t="s">
        <v>434</v>
      </c>
      <c r="B11" s="433">
        <v>0</v>
      </c>
      <c r="C11" s="433">
        <v>0</v>
      </c>
      <c r="D11" s="152"/>
    </row>
    <row r="12" spans="1:5" ht="12.75">
      <c r="A12" s="5" t="s">
        <v>433</v>
      </c>
      <c r="B12" s="18">
        <v>80601</v>
      </c>
      <c r="C12" s="18">
        <v>70802</v>
      </c>
      <c r="D12" s="152"/>
      <c r="E12" s="171"/>
    </row>
    <row r="13" spans="1:5" ht="12.75">
      <c r="A13" s="5" t="s">
        <v>618</v>
      </c>
      <c r="B13" s="433"/>
      <c r="C13" s="433"/>
      <c r="D13" s="152"/>
      <c r="E13" s="434"/>
    </row>
    <row r="14" spans="1:8" ht="15">
      <c r="A14" s="171" t="s">
        <v>621</v>
      </c>
      <c r="B14" s="278">
        <v>111870</v>
      </c>
      <c r="C14" s="278">
        <v>200414</v>
      </c>
      <c r="D14" s="18"/>
      <c r="E14" s="171"/>
      <c r="F14" s="186"/>
      <c r="H14" s="186"/>
    </row>
    <row r="15" spans="1:8" ht="12.75">
      <c r="A15" s="171" t="s">
        <v>147</v>
      </c>
      <c r="B15" s="18">
        <f>+B14+B13+B12+B11</f>
        <v>192471</v>
      </c>
      <c r="C15" s="18">
        <f>+C14+C13+C12+C11</f>
        <v>271216</v>
      </c>
      <c r="F15" s="186"/>
      <c r="H15" s="186"/>
    </row>
    <row r="16" spans="2:3" ht="12.75">
      <c r="B16" s="18"/>
      <c r="C16" s="18"/>
    </row>
    <row r="17" spans="1:4" ht="12.75">
      <c r="A17" s="5" t="s">
        <v>432</v>
      </c>
      <c r="B17" s="182">
        <f>+B19-B18</f>
        <v>62920.517</v>
      </c>
      <c r="C17" s="182">
        <f>+C19-C18</f>
        <v>62005.517</v>
      </c>
      <c r="D17" s="171"/>
    </row>
    <row r="18" spans="1:3" ht="12.75">
      <c r="A18" s="5" t="s">
        <v>619</v>
      </c>
      <c r="B18" s="18">
        <v>32028.483</v>
      </c>
      <c r="C18" s="18">
        <v>32028.483</v>
      </c>
    </row>
    <row r="19" spans="1:5" ht="12.75">
      <c r="A19" s="3"/>
      <c r="B19" s="126">
        <v>94949</v>
      </c>
      <c r="C19" s="126">
        <v>94034</v>
      </c>
      <c r="D19" s="3"/>
      <c r="E19" s="171"/>
    </row>
    <row r="20" spans="1:4" ht="15.75">
      <c r="A20" s="3"/>
      <c r="B20" s="435"/>
      <c r="C20" s="435"/>
      <c r="D20" s="3"/>
    </row>
    <row r="21" spans="1:4" ht="12.75">
      <c r="A21" s="3"/>
      <c r="B21" s="126"/>
      <c r="C21" s="126"/>
      <c r="D21" s="3"/>
    </row>
    <row r="22" spans="1:4" ht="12.75">
      <c r="A22" s="3" t="s">
        <v>620</v>
      </c>
      <c r="B22" s="126">
        <v>8804</v>
      </c>
      <c r="C22" s="126">
        <v>8929</v>
      </c>
      <c r="D22" s="3"/>
    </row>
    <row r="23" spans="2:3" ht="12.75">
      <c r="B23" s="18"/>
      <c r="C23" s="18"/>
    </row>
    <row r="24" spans="2:3" ht="12.75">
      <c r="B24" s="18">
        <v>23342000</v>
      </c>
      <c r="C24" s="18">
        <v>27328000</v>
      </c>
    </row>
    <row r="25" spans="2:3" ht="12.75">
      <c r="B25" s="18"/>
      <c r="C25" s="18"/>
    </row>
    <row r="26" spans="2:3" ht="12.75">
      <c r="B26" s="18"/>
      <c r="C26" s="18"/>
    </row>
    <row r="27" spans="2:3" ht="12.75">
      <c r="B27" s="18"/>
      <c r="C27" s="18"/>
    </row>
    <row r="28" spans="1:3" ht="12.75">
      <c r="A28" s="5" t="s">
        <v>641</v>
      </c>
      <c r="B28" s="18">
        <v>19894</v>
      </c>
      <c r="C28" s="18">
        <v>20194</v>
      </c>
    </row>
    <row r="29" spans="2:3" ht="12.75">
      <c r="B29" s="18"/>
      <c r="C29" s="18"/>
    </row>
    <row r="30" spans="2:3" ht="12.75">
      <c r="B30" s="18"/>
      <c r="C30" s="18"/>
    </row>
    <row r="31" spans="1:3" ht="12.75">
      <c r="A31" s="171" t="s">
        <v>649</v>
      </c>
      <c r="B31" s="18">
        <v>129000</v>
      </c>
      <c r="C31" s="18">
        <v>129000</v>
      </c>
    </row>
    <row r="46" ht="12" customHeight="1"/>
  </sheetData>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O59"/>
  <sheetViews>
    <sheetView workbookViewId="0" topLeftCell="A1">
      <selection activeCell="A8" sqref="A8:XFD8"/>
    </sheetView>
  </sheetViews>
  <sheetFormatPr defaultColWidth="9.140625" defaultRowHeight="12.75"/>
  <cols>
    <col min="1" max="1" width="6.8515625" style="0" customWidth="1"/>
    <col min="2" max="2" width="18.7109375" style="4" customWidth="1"/>
    <col min="3" max="3" width="23.28125" style="4" customWidth="1"/>
    <col min="4" max="4" width="9.28125" style="4" bestFit="1" customWidth="1"/>
    <col min="5" max="5" width="11.8515625" style="4" bestFit="1" customWidth="1"/>
    <col min="6" max="6" width="12.8515625" style="4" bestFit="1" customWidth="1"/>
    <col min="7" max="7" width="14.00390625" style="4" bestFit="1" customWidth="1"/>
    <col min="8" max="8" width="10.8515625" style="4" bestFit="1" customWidth="1"/>
    <col min="9" max="9" width="12.8515625" style="4" bestFit="1" customWidth="1"/>
    <col min="10" max="10" width="11.28125" style="4" bestFit="1" customWidth="1"/>
    <col min="11" max="11" width="14.00390625" style="4" bestFit="1" customWidth="1"/>
    <col min="13" max="13" width="14.7109375" style="0" customWidth="1"/>
    <col min="14" max="14" width="15.57421875" style="0" customWidth="1"/>
    <col min="15" max="15" width="20.57421875" style="0" bestFit="1" customWidth="1"/>
  </cols>
  <sheetData>
    <row r="1" spans="2:4" ht="12.75">
      <c r="B1" s="140" t="s">
        <v>501</v>
      </c>
      <c r="C1" s="139">
        <v>3595</v>
      </c>
      <c r="D1" s="142" t="s">
        <v>748</v>
      </c>
    </row>
    <row r="2" ht="12.75">
      <c r="A2" s="35" t="s">
        <v>871</v>
      </c>
    </row>
    <row r="4" spans="1:15" ht="76.5">
      <c r="A4" s="137" t="s">
        <v>192</v>
      </c>
      <c r="B4" s="138" t="s">
        <v>490</v>
      </c>
      <c r="C4" s="138" t="s">
        <v>491</v>
      </c>
      <c r="D4" s="138" t="s">
        <v>492</v>
      </c>
      <c r="E4" s="138" t="s">
        <v>493</v>
      </c>
      <c r="F4" s="138" t="s">
        <v>494</v>
      </c>
      <c r="G4" s="141" t="s">
        <v>495</v>
      </c>
      <c r="H4" s="138" t="s">
        <v>496</v>
      </c>
      <c r="I4" s="138" t="s">
        <v>497</v>
      </c>
      <c r="J4" s="141" t="s">
        <v>498</v>
      </c>
      <c r="K4" s="138" t="s">
        <v>499</v>
      </c>
      <c r="L4" s="137"/>
      <c r="M4" s="141" t="s">
        <v>502</v>
      </c>
      <c r="N4" s="141" t="s">
        <v>503</v>
      </c>
      <c r="O4" s="141" t="s">
        <v>141</v>
      </c>
    </row>
    <row r="5" spans="1:15" ht="12.75">
      <c r="A5">
        <v>2023</v>
      </c>
      <c r="B5" s="4">
        <v>852185.181</v>
      </c>
      <c r="C5" s="235">
        <v>20983.9</v>
      </c>
      <c r="D5" s="4">
        <v>0</v>
      </c>
      <c r="E5" s="4">
        <v>-87074.44506</v>
      </c>
      <c r="F5" s="4">
        <v>232150.793</v>
      </c>
      <c r="G5" s="4">
        <v>525000</v>
      </c>
      <c r="H5" s="4">
        <v>57099.313</v>
      </c>
      <c r="I5" s="4">
        <v>90815.636</v>
      </c>
      <c r="J5" s="4">
        <v>13209.984</v>
      </c>
      <c r="M5" s="12">
        <f>+C5+D5+E5+F5</f>
        <v>166060.24794</v>
      </c>
      <c r="N5" s="12">
        <f>+H5+I5</f>
        <v>147914.949</v>
      </c>
      <c r="O5" s="419">
        <v>198</v>
      </c>
    </row>
    <row r="6" spans="1:15" ht="12.75">
      <c r="A6">
        <v>2024</v>
      </c>
      <c r="B6" s="4">
        <v>791117.825</v>
      </c>
      <c r="C6" s="4">
        <v>27167.2</v>
      </c>
      <c r="D6" s="4">
        <v>0</v>
      </c>
      <c r="E6" s="4">
        <v>-17600</v>
      </c>
      <c r="F6" s="4">
        <v>228849.856</v>
      </c>
      <c r="G6" s="4">
        <v>460000</v>
      </c>
      <c r="H6" s="4">
        <v>11089.973</v>
      </c>
      <c r="I6" s="4">
        <v>73543.329</v>
      </c>
      <c r="J6" s="4">
        <v>8067.467</v>
      </c>
      <c r="K6" s="4">
        <v>0</v>
      </c>
      <c r="M6" s="12">
        <f>+C6+D6+E6+F6</f>
        <v>238417.056</v>
      </c>
      <c r="N6" s="12">
        <f>+H6+I6</f>
        <v>84633.302</v>
      </c>
      <c r="O6" s="419">
        <v>421</v>
      </c>
    </row>
    <row r="7" spans="1:15" ht="12.75">
      <c r="A7">
        <v>2025</v>
      </c>
      <c r="B7" s="4">
        <v>773708.965</v>
      </c>
      <c r="C7" s="4">
        <v>21092.85</v>
      </c>
      <c r="D7" s="4">
        <v>0</v>
      </c>
      <c r="E7" s="4">
        <v>0</v>
      </c>
      <c r="F7" s="4">
        <v>225996.341</v>
      </c>
      <c r="G7" s="4">
        <v>446000</v>
      </c>
      <c r="H7" s="4">
        <v>604.825</v>
      </c>
      <c r="I7" s="4">
        <v>66008.9</v>
      </c>
      <c r="J7" s="4">
        <v>14006.049</v>
      </c>
      <c r="K7" s="4">
        <v>0</v>
      </c>
      <c r="M7" s="12">
        <f>+C7+D7+E7+F7</f>
        <v>247089.191</v>
      </c>
      <c r="N7" s="12">
        <f>+H7+I7</f>
        <v>66613.72499999999</v>
      </c>
      <c r="O7" s="419">
        <v>855</v>
      </c>
    </row>
    <row r="8" spans="1:15" ht="12.75">
      <c r="A8">
        <v>2026</v>
      </c>
      <c r="B8" s="4">
        <v>773708.965</v>
      </c>
      <c r="C8" s="4">
        <v>96150</v>
      </c>
      <c r="D8" s="4">
        <v>0</v>
      </c>
      <c r="E8" s="4">
        <v>0</v>
      </c>
      <c r="F8" s="4">
        <v>213943.531</v>
      </c>
      <c r="G8" s="4">
        <v>379529.762</v>
      </c>
      <c r="H8" s="4">
        <v>0</v>
      </c>
      <c r="I8" s="4">
        <v>63768.574</v>
      </c>
      <c r="J8" s="4">
        <v>20317.096</v>
      </c>
      <c r="K8" s="4">
        <v>0</v>
      </c>
      <c r="M8" s="12">
        <f aca="true" t="shared" si="0" ref="M8:M58">+C8+D8+E8+F8</f>
        <v>310093.53099999996</v>
      </c>
      <c r="N8" s="12">
        <f aca="true" t="shared" si="1" ref="N8:N58">+H8+I8</f>
        <v>63768.574</v>
      </c>
      <c r="O8" s="419">
        <v>742</v>
      </c>
    </row>
    <row r="9" spans="1:15" ht="12.75">
      <c r="A9">
        <v>2027</v>
      </c>
      <c r="B9" s="4">
        <v>773708.965</v>
      </c>
      <c r="C9" s="4">
        <v>405711.25</v>
      </c>
      <c r="D9" s="4">
        <v>0</v>
      </c>
      <c r="E9" s="4">
        <v>0</v>
      </c>
      <c r="F9" s="4">
        <v>194861.976</v>
      </c>
      <c r="G9" s="4">
        <v>102236.485</v>
      </c>
      <c r="H9" s="4">
        <v>-117.351</v>
      </c>
      <c r="I9" s="4">
        <v>64751.98</v>
      </c>
      <c r="J9" s="4">
        <v>6264.624</v>
      </c>
      <c r="K9" s="4">
        <v>0</v>
      </c>
      <c r="M9" s="12">
        <f t="shared" si="0"/>
        <v>600573.226</v>
      </c>
      <c r="N9" s="12">
        <f>+H9+I9</f>
        <v>64634.629</v>
      </c>
      <c r="O9" s="419">
        <v>250</v>
      </c>
    </row>
    <row r="10" spans="1:15" ht="12.75">
      <c r="A10">
        <v>2028</v>
      </c>
      <c r="B10" s="4">
        <v>773708.965</v>
      </c>
      <c r="C10" s="4">
        <v>416482.5</v>
      </c>
      <c r="D10" s="4">
        <v>0</v>
      </c>
      <c r="E10" s="4">
        <v>0</v>
      </c>
      <c r="F10" s="4">
        <v>174837.429</v>
      </c>
      <c r="G10" s="4">
        <v>101391.959</v>
      </c>
      <c r="H10" s="4">
        <v>-1634.695</v>
      </c>
      <c r="I10" s="4">
        <v>71184.735</v>
      </c>
      <c r="J10" s="4">
        <v>11447.036</v>
      </c>
      <c r="K10" s="4">
        <v>50388.621</v>
      </c>
      <c r="M10" s="12">
        <f>+C10+D10+E10+F10</f>
        <v>591319.929</v>
      </c>
      <c r="N10" s="12">
        <f t="shared" si="1"/>
        <v>69550.04</v>
      </c>
      <c r="O10" s="419">
        <v>266</v>
      </c>
    </row>
    <row r="11" spans="1:15" ht="12.75">
      <c r="A11">
        <v>2029</v>
      </c>
      <c r="B11" s="4">
        <v>773708.965</v>
      </c>
      <c r="C11" s="4">
        <v>136556.0505</v>
      </c>
      <c r="D11" s="4">
        <v>0</v>
      </c>
      <c r="E11" s="4">
        <v>0</v>
      </c>
      <c r="F11" s="4">
        <v>153938.804</v>
      </c>
      <c r="G11" s="4">
        <v>405103.724</v>
      </c>
      <c r="H11" s="4">
        <v>-2519.365</v>
      </c>
      <c r="I11" s="4">
        <v>76565.116</v>
      </c>
      <c r="J11" s="4">
        <v>4064.635</v>
      </c>
      <c r="K11" s="4">
        <v>0</v>
      </c>
      <c r="M11" s="12">
        <f t="shared" si="0"/>
        <v>290494.8545</v>
      </c>
      <c r="N11" s="12">
        <f t="shared" si="1"/>
        <v>74045.75099999999</v>
      </c>
      <c r="O11" s="419">
        <v>771</v>
      </c>
    </row>
    <row r="12" spans="1:15" ht="12.75">
      <c r="A12">
        <v>2030</v>
      </c>
      <c r="B12" s="4">
        <v>773708.965</v>
      </c>
      <c r="C12" s="4">
        <v>283505.172</v>
      </c>
      <c r="D12" s="4">
        <v>0</v>
      </c>
      <c r="E12" s="4">
        <v>0</v>
      </c>
      <c r="F12" s="4">
        <v>148056.801</v>
      </c>
      <c r="G12" s="4">
        <v>266304.564</v>
      </c>
      <c r="H12" s="4">
        <v>0</v>
      </c>
      <c r="I12" s="4">
        <v>73846.694</v>
      </c>
      <c r="J12" s="4">
        <v>1995.733</v>
      </c>
      <c r="K12" s="4">
        <v>14518.06</v>
      </c>
      <c r="M12" s="12">
        <f t="shared" si="0"/>
        <v>431561.973</v>
      </c>
      <c r="N12" s="12">
        <f t="shared" si="1"/>
        <v>73846.694</v>
      </c>
      <c r="O12" s="419">
        <v>528</v>
      </c>
    </row>
    <row r="13" spans="1:15" ht="12.75">
      <c r="A13">
        <v>2031</v>
      </c>
      <c r="B13" s="4">
        <v>773708.965</v>
      </c>
      <c r="C13" s="4">
        <v>314353.33375</v>
      </c>
      <c r="D13" s="4">
        <v>0</v>
      </c>
      <c r="E13" s="4">
        <v>0</v>
      </c>
      <c r="F13" s="4">
        <v>137293.728</v>
      </c>
      <c r="G13" s="4">
        <v>243290.649</v>
      </c>
      <c r="H13" s="4">
        <v>-8239.773</v>
      </c>
      <c r="I13" s="4">
        <v>76094.649</v>
      </c>
      <c r="J13" s="4">
        <v>10916.377</v>
      </c>
      <c r="K13" s="4">
        <v>0</v>
      </c>
      <c r="M13" s="12">
        <f t="shared" si="0"/>
        <v>451647.06175</v>
      </c>
      <c r="N13" s="12">
        <f t="shared" si="1"/>
        <v>67854.876</v>
      </c>
      <c r="O13" s="419">
        <v>491</v>
      </c>
    </row>
    <row r="14" spans="1:15" ht="12.75">
      <c r="A14">
        <v>2032</v>
      </c>
      <c r="B14" s="4">
        <v>773708.965</v>
      </c>
      <c r="C14" s="4">
        <v>347330.6755</v>
      </c>
      <c r="D14" s="4">
        <v>0</v>
      </c>
      <c r="E14" s="4">
        <v>0</v>
      </c>
      <c r="F14" s="4">
        <v>125055.087</v>
      </c>
      <c r="G14" s="4">
        <v>225386.601</v>
      </c>
      <c r="H14" s="4">
        <v>-3192.067</v>
      </c>
      <c r="I14" s="4">
        <v>79128.667</v>
      </c>
      <c r="J14" s="4">
        <v>0</v>
      </c>
      <c r="K14" s="4">
        <v>0</v>
      </c>
      <c r="M14" s="12">
        <f t="shared" si="0"/>
        <v>472385.7625</v>
      </c>
      <c r="N14" s="12">
        <f t="shared" si="1"/>
        <v>75936.6</v>
      </c>
      <c r="O14" s="419">
        <v>453</v>
      </c>
    </row>
    <row r="15" spans="1:15" ht="12.75">
      <c r="A15">
        <v>2033</v>
      </c>
      <c r="B15" s="4">
        <v>773708.965</v>
      </c>
      <c r="C15" s="4">
        <v>335061.015</v>
      </c>
      <c r="D15" s="4">
        <v>0</v>
      </c>
      <c r="E15" s="4">
        <v>0</v>
      </c>
      <c r="F15" s="4">
        <v>111149.767</v>
      </c>
      <c r="G15" s="4">
        <v>242791.56</v>
      </c>
      <c r="H15" s="4">
        <v>-2563.303</v>
      </c>
      <c r="I15" s="4">
        <v>82922.99</v>
      </c>
      <c r="J15" s="4">
        <v>4346.935</v>
      </c>
      <c r="K15" s="4">
        <v>0</v>
      </c>
      <c r="M15" s="12">
        <f t="shared" si="0"/>
        <v>446210.782</v>
      </c>
      <c r="N15" s="12">
        <f t="shared" si="1"/>
        <v>80359.687</v>
      </c>
      <c r="O15" s="419">
        <v>492</v>
      </c>
    </row>
    <row r="16" spans="1:15" ht="12.75">
      <c r="A16">
        <v>2034</v>
      </c>
      <c r="B16" s="4">
        <v>773708.965</v>
      </c>
      <c r="C16" s="4">
        <v>322194.0745</v>
      </c>
      <c r="D16" s="4">
        <v>0</v>
      </c>
      <c r="E16" s="4">
        <v>0</v>
      </c>
      <c r="F16" s="4">
        <v>97596.285</v>
      </c>
      <c r="G16" s="4">
        <v>308419.93</v>
      </c>
      <c r="H16" s="4">
        <v>-40379.452</v>
      </c>
      <c r="I16" s="4">
        <v>85878.127</v>
      </c>
      <c r="J16" s="4">
        <v>0</v>
      </c>
      <c r="K16" s="4">
        <v>0</v>
      </c>
      <c r="M16" s="12">
        <f t="shared" si="0"/>
        <v>419790.3595</v>
      </c>
      <c r="N16" s="12">
        <f t="shared" si="1"/>
        <v>45498.674999999996</v>
      </c>
      <c r="O16" s="419">
        <v>531</v>
      </c>
    </row>
    <row r="17" spans="1:15" ht="12.75">
      <c r="A17">
        <v>2035</v>
      </c>
      <c r="B17" s="4">
        <v>773708.965</v>
      </c>
      <c r="C17" s="4">
        <v>323225.8075</v>
      </c>
      <c r="D17" s="4">
        <v>0</v>
      </c>
      <c r="E17" s="4">
        <v>0</v>
      </c>
      <c r="F17" s="4">
        <v>85084.489</v>
      </c>
      <c r="G17" s="4">
        <v>295453.823</v>
      </c>
      <c r="H17" s="4">
        <v>-27722.426</v>
      </c>
      <c r="I17" s="4">
        <v>89616.362</v>
      </c>
      <c r="J17" s="4">
        <v>8050.909</v>
      </c>
      <c r="K17" s="4">
        <v>0</v>
      </c>
      <c r="M17" s="12">
        <f t="shared" si="0"/>
        <v>408310.2965</v>
      </c>
      <c r="N17" s="12">
        <f t="shared" si="1"/>
        <v>61893.935999999994</v>
      </c>
      <c r="O17" s="419">
        <v>545</v>
      </c>
    </row>
    <row r="18" spans="1:15" ht="12.75">
      <c r="A18">
        <v>2036</v>
      </c>
      <c r="B18" s="4">
        <v>773708.965</v>
      </c>
      <c r="C18" s="4">
        <v>341464.028</v>
      </c>
      <c r="D18" s="4">
        <v>0</v>
      </c>
      <c r="E18" s="4">
        <v>0</v>
      </c>
      <c r="F18" s="4">
        <v>71968.289</v>
      </c>
      <c r="G18" s="4">
        <v>238680.961</v>
      </c>
      <c r="H18" s="4">
        <v>0</v>
      </c>
      <c r="I18" s="4">
        <v>92675.237</v>
      </c>
      <c r="J18" s="4">
        <v>28920.449</v>
      </c>
      <c r="K18" s="4">
        <v>0</v>
      </c>
      <c r="M18" s="12">
        <f t="shared" si="0"/>
        <v>413432.317</v>
      </c>
      <c r="N18" s="12">
        <f t="shared" si="1"/>
        <v>92675.237</v>
      </c>
      <c r="O18" s="419">
        <v>533</v>
      </c>
    </row>
    <row r="19" spans="1:15" ht="12.75">
      <c r="A19">
        <v>2037</v>
      </c>
      <c r="B19" s="4">
        <v>773708.965</v>
      </c>
      <c r="C19" s="4">
        <v>310490.9875</v>
      </c>
      <c r="D19" s="4">
        <v>0</v>
      </c>
      <c r="E19" s="4">
        <v>0</v>
      </c>
      <c r="F19" s="4">
        <v>57745.38</v>
      </c>
      <c r="G19" s="4">
        <v>297261.515</v>
      </c>
      <c r="H19" s="4">
        <v>0</v>
      </c>
      <c r="I19" s="4">
        <v>92328.529</v>
      </c>
      <c r="J19" s="4">
        <v>15882.552</v>
      </c>
      <c r="K19" s="4">
        <v>0</v>
      </c>
      <c r="M19" s="12">
        <f t="shared" si="0"/>
        <v>368236.3675</v>
      </c>
      <c r="N19" s="12">
        <f t="shared" si="1"/>
        <v>92328.529</v>
      </c>
      <c r="O19" s="419">
        <v>610</v>
      </c>
    </row>
    <row r="20" spans="1:15" ht="12.75">
      <c r="A20">
        <v>2038</v>
      </c>
      <c r="B20" s="4">
        <v>773708.965</v>
      </c>
      <c r="C20" s="4">
        <v>226372.69375</v>
      </c>
      <c r="D20" s="4">
        <v>0</v>
      </c>
      <c r="E20" s="4">
        <v>0</v>
      </c>
      <c r="F20" s="4">
        <v>45027.485</v>
      </c>
      <c r="G20" s="4">
        <v>413535.201</v>
      </c>
      <c r="H20" s="4">
        <v>0</v>
      </c>
      <c r="I20" s="4">
        <v>88773.584</v>
      </c>
      <c r="J20" s="4">
        <v>0</v>
      </c>
      <c r="K20" s="4">
        <v>0</v>
      </c>
      <c r="M20" s="12">
        <f t="shared" si="0"/>
        <v>271400.17875</v>
      </c>
      <c r="N20" s="12">
        <f t="shared" si="1"/>
        <v>88773.584</v>
      </c>
      <c r="O20" s="419">
        <v>775</v>
      </c>
    </row>
    <row r="21" spans="1:15" ht="12.75">
      <c r="A21">
        <v>2039</v>
      </c>
      <c r="B21" s="4">
        <v>773708.965</v>
      </c>
      <c r="C21" s="4">
        <v>210052.704</v>
      </c>
      <c r="D21" s="4">
        <v>0</v>
      </c>
      <c r="E21" s="4">
        <v>0</v>
      </c>
      <c r="F21" s="4">
        <v>36510.581</v>
      </c>
      <c r="G21" s="4">
        <v>430204.92</v>
      </c>
      <c r="H21" s="4">
        <v>0</v>
      </c>
      <c r="I21" s="4">
        <v>82965.801</v>
      </c>
      <c r="J21" s="4">
        <v>13974.958</v>
      </c>
      <c r="K21" s="4">
        <v>0</v>
      </c>
      <c r="M21" s="12">
        <f t="shared" si="0"/>
        <v>246563.285</v>
      </c>
      <c r="N21" s="12">
        <f t="shared" si="1"/>
        <v>82965.801</v>
      </c>
      <c r="O21" s="419">
        <v>822</v>
      </c>
    </row>
    <row r="22" spans="1:15" ht="12.75">
      <c r="A22">
        <v>2040</v>
      </c>
      <c r="B22" s="4">
        <v>773708.965</v>
      </c>
      <c r="C22" s="4">
        <v>209469.6305</v>
      </c>
      <c r="D22" s="4">
        <v>0</v>
      </c>
      <c r="E22" s="4">
        <v>0</v>
      </c>
      <c r="F22" s="4">
        <v>28725.622</v>
      </c>
      <c r="G22" s="4">
        <v>459141.825</v>
      </c>
      <c r="H22" s="4">
        <v>0</v>
      </c>
      <c r="I22" s="4">
        <v>76371.886</v>
      </c>
      <c r="J22" s="4">
        <v>0</v>
      </c>
      <c r="K22" s="4">
        <v>0</v>
      </c>
      <c r="M22" s="12">
        <f t="shared" si="0"/>
        <v>238195.2525</v>
      </c>
      <c r="N22" s="12">
        <f t="shared" si="1"/>
        <v>76371.886</v>
      </c>
      <c r="O22" s="419">
        <v>842</v>
      </c>
    </row>
    <row r="23" spans="1:15" ht="12.75">
      <c r="A23">
        <v>2041</v>
      </c>
      <c r="B23" s="4">
        <v>773708.965</v>
      </c>
      <c r="C23" s="4">
        <v>216734.63725</v>
      </c>
      <c r="D23" s="4">
        <v>0</v>
      </c>
      <c r="E23" s="4">
        <v>0</v>
      </c>
      <c r="F23" s="4">
        <v>20800.459</v>
      </c>
      <c r="G23" s="4">
        <v>392043.876</v>
      </c>
      <c r="H23" s="4">
        <v>0</v>
      </c>
      <c r="I23" s="4">
        <v>70470.991</v>
      </c>
      <c r="J23" s="4">
        <v>73659</v>
      </c>
      <c r="K23" s="4">
        <v>0</v>
      </c>
      <c r="M23" s="12">
        <f t="shared" si="0"/>
        <v>237535.09625</v>
      </c>
      <c r="N23" s="12">
        <f t="shared" si="1"/>
        <v>70470.991</v>
      </c>
      <c r="O23" s="419">
        <v>849</v>
      </c>
    </row>
    <row r="24" spans="1:15" ht="12.75">
      <c r="A24">
        <v>2042</v>
      </c>
      <c r="B24" s="4">
        <v>773708.965</v>
      </c>
      <c r="C24" s="4">
        <v>211137.698</v>
      </c>
      <c r="D24" s="4">
        <v>0</v>
      </c>
      <c r="E24" s="4">
        <v>0</v>
      </c>
      <c r="F24" s="4">
        <v>12846.999</v>
      </c>
      <c r="G24" s="4">
        <v>485646.901</v>
      </c>
      <c r="H24" s="4">
        <v>0</v>
      </c>
      <c r="I24" s="4">
        <v>64077.366</v>
      </c>
      <c r="J24" s="4">
        <v>0</v>
      </c>
      <c r="K24" s="4">
        <v>0</v>
      </c>
      <c r="M24" s="12">
        <f t="shared" si="0"/>
        <v>223984.69700000001</v>
      </c>
      <c r="N24" s="12">
        <f t="shared" si="1"/>
        <v>64077.366</v>
      </c>
      <c r="O24" s="419">
        <v>876</v>
      </c>
    </row>
    <row r="25" spans="1:15" ht="12.75">
      <c r="A25">
        <v>2043</v>
      </c>
      <c r="B25" s="4">
        <v>773708.965</v>
      </c>
      <c r="C25" s="4">
        <v>115076.3465</v>
      </c>
      <c r="D25" s="4">
        <v>0</v>
      </c>
      <c r="E25" s="4">
        <v>0</v>
      </c>
      <c r="F25" s="4">
        <v>5823.308</v>
      </c>
      <c r="G25" s="4">
        <v>598972.217</v>
      </c>
      <c r="H25" s="4">
        <v>0</v>
      </c>
      <c r="I25" s="4">
        <v>53837.092</v>
      </c>
      <c r="J25" s="4">
        <v>0</v>
      </c>
      <c r="K25" s="4">
        <v>0</v>
      </c>
      <c r="M25" s="12">
        <f t="shared" si="0"/>
        <v>120899.6545</v>
      </c>
      <c r="N25" s="12">
        <f t="shared" si="1"/>
        <v>53837.092</v>
      </c>
      <c r="O25" s="419">
        <v>1058</v>
      </c>
    </row>
    <row r="26" spans="1:15" ht="12.75">
      <c r="A26">
        <v>2044</v>
      </c>
      <c r="B26" s="4">
        <v>773708.965</v>
      </c>
      <c r="C26" s="4">
        <v>226470.72625</v>
      </c>
      <c r="D26" s="4">
        <v>0</v>
      </c>
      <c r="E26" s="4">
        <v>0</v>
      </c>
      <c r="F26" s="4">
        <v>2769.736</v>
      </c>
      <c r="G26" s="4">
        <v>500785.773</v>
      </c>
      <c r="H26" s="4">
        <v>0</v>
      </c>
      <c r="I26" s="4">
        <v>43682.728</v>
      </c>
      <c r="J26" s="4">
        <v>0</v>
      </c>
      <c r="K26" s="4">
        <v>0</v>
      </c>
      <c r="M26" s="12">
        <f t="shared" si="0"/>
        <v>229240.46225</v>
      </c>
      <c r="N26" s="12">
        <f t="shared" si="1"/>
        <v>43682.728</v>
      </c>
      <c r="O26" s="419">
        <v>884</v>
      </c>
    </row>
    <row r="27" spans="1:15" ht="12.75">
      <c r="A27">
        <v>2045</v>
      </c>
      <c r="B27" s="4">
        <v>773708.965</v>
      </c>
      <c r="C27" s="4">
        <v>489036.0925</v>
      </c>
      <c r="D27" s="4">
        <v>0</v>
      </c>
      <c r="E27" s="4">
        <v>0</v>
      </c>
      <c r="F27" s="4">
        <v>0</v>
      </c>
      <c r="G27" s="4">
        <v>232332.147</v>
      </c>
      <c r="H27" s="4">
        <v>0</v>
      </c>
      <c r="I27" s="4">
        <v>40329.674</v>
      </c>
      <c r="J27" s="4">
        <v>12011.051</v>
      </c>
      <c r="K27" s="4">
        <v>0</v>
      </c>
      <c r="M27" s="12">
        <f t="shared" si="0"/>
        <v>489036.0925</v>
      </c>
      <c r="N27" s="12">
        <f t="shared" si="1"/>
        <v>40329.674</v>
      </c>
      <c r="O27" s="419">
        <v>450</v>
      </c>
    </row>
    <row r="28" spans="1:15" ht="12.75">
      <c r="A28">
        <v>2046</v>
      </c>
      <c r="B28" s="4">
        <v>773708.965</v>
      </c>
      <c r="C28" s="4">
        <v>489035.1625</v>
      </c>
      <c r="D28" s="4">
        <v>0</v>
      </c>
      <c r="E28" s="4">
        <v>0</v>
      </c>
      <c r="F28" s="4">
        <v>0</v>
      </c>
      <c r="G28" s="4">
        <v>243541.454</v>
      </c>
      <c r="H28" s="4">
        <v>0</v>
      </c>
      <c r="I28" s="4">
        <v>41132.347</v>
      </c>
      <c r="J28" s="4">
        <v>0</v>
      </c>
      <c r="K28" s="4">
        <v>0</v>
      </c>
      <c r="M28" s="12">
        <f t="shared" si="0"/>
        <v>489035.1625</v>
      </c>
      <c r="N28" s="12">
        <f t="shared" si="1"/>
        <v>41132.347</v>
      </c>
      <c r="O28" s="419">
        <v>449</v>
      </c>
    </row>
    <row r="29" spans="1:15" ht="12.75">
      <c r="A29">
        <v>2047</v>
      </c>
      <c r="B29" s="4">
        <v>773708.965</v>
      </c>
      <c r="C29" s="4">
        <v>489037.305</v>
      </c>
      <c r="D29" s="4">
        <v>0</v>
      </c>
      <c r="E29" s="4">
        <v>0</v>
      </c>
      <c r="F29" s="4">
        <v>0</v>
      </c>
      <c r="G29" s="4">
        <v>242925.969</v>
      </c>
      <c r="H29" s="4">
        <v>0</v>
      </c>
      <c r="I29" s="4">
        <v>41745.69</v>
      </c>
      <c r="J29" s="4">
        <v>0</v>
      </c>
      <c r="K29" s="4">
        <v>0</v>
      </c>
      <c r="M29" s="12">
        <f t="shared" si="0"/>
        <v>489037.305</v>
      </c>
      <c r="N29" s="12">
        <f t="shared" si="1"/>
        <v>41745.69</v>
      </c>
      <c r="O29" s="419">
        <v>448</v>
      </c>
    </row>
    <row r="30" spans="1:15" ht="12.75">
      <c r="A30">
        <v>2048</v>
      </c>
      <c r="B30" s="4">
        <v>773708.965</v>
      </c>
      <c r="C30" s="4">
        <v>489035.14</v>
      </c>
      <c r="D30" s="4">
        <v>0</v>
      </c>
      <c r="E30" s="4">
        <v>0</v>
      </c>
      <c r="F30" s="4">
        <v>0</v>
      </c>
      <c r="G30" s="4">
        <v>242292.497</v>
      </c>
      <c r="H30" s="4">
        <v>0</v>
      </c>
      <c r="I30" s="4">
        <v>42381.327</v>
      </c>
      <c r="J30" s="4">
        <v>0</v>
      </c>
      <c r="K30" s="4">
        <v>0</v>
      </c>
      <c r="M30" s="12">
        <f>+C30+D30+E30+F30</f>
        <v>489035.14</v>
      </c>
      <c r="N30" s="12">
        <f t="shared" si="1"/>
        <v>42381.327</v>
      </c>
      <c r="O30" s="419">
        <v>448</v>
      </c>
    </row>
    <row r="31" spans="1:15" ht="12.75">
      <c r="A31">
        <v>2049</v>
      </c>
      <c r="B31" s="4">
        <v>773708.965</v>
      </c>
      <c r="C31" s="4">
        <v>489035.925</v>
      </c>
      <c r="D31" s="4">
        <v>0</v>
      </c>
      <c r="E31" s="4">
        <v>0</v>
      </c>
      <c r="F31" s="4">
        <v>0</v>
      </c>
      <c r="G31" s="4">
        <v>241632.984</v>
      </c>
      <c r="H31" s="4">
        <v>0</v>
      </c>
      <c r="I31" s="4">
        <v>43040.055</v>
      </c>
      <c r="J31" s="4">
        <v>0</v>
      </c>
      <c r="K31" s="4">
        <v>0</v>
      </c>
      <c r="M31" s="12">
        <f t="shared" si="0"/>
        <v>489035.925</v>
      </c>
      <c r="N31" s="12">
        <f t="shared" si="1"/>
        <v>43040.055</v>
      </c>
      <c r="O31" s="419">
        <v>447</v>
      </c>
    </row>
    <row r="32" spans="1:15" ht="12.75">
      <c r="A32">
        <v>2050</v>
      </c>
      <c r="B32" s="4">
        <v>773708.965</v>
      </c>
      <c r="C32" s="4">
        <v>489035.685</v>
      </c>
      <c r="D32" s="4">
        <v>0</v>
      </c>
      <c r="E32" s="4">
        <v>0</v>
      </c>
      <c r="F32" s="4">
        <v>0</v>
      </c>
      <c r="G32" s="4">
        <v>240950.538</v>
      </c>
      <c r="H32" s="4">
        <v>0</v>
      </c>
      <c r="I32" s="4">
        <v>43722.741</v>
      </c>
      <c r="J32" s="4">
        <v>0</v>
      </c>
      <c r="K32" s="4">
        <v>0</v>
      </c>
      <c r="M32" s="12">
        <f t="shared" si="0"/>
        <v>489035.685</v>
      </c>
      <c r="N32" s="12">
        <f t="shared" si="1"/>
        <v>43722.741</v>
      </c>
      <c r="O32" s="419">
        <v>447</v>
      </c>
    </row>
    <row r="33" spans="1:15" ht="12.75">
      <c r="A33">
        <v>2051</v>
      </c>
      <c r="B33" s="4">
        <v>773708.965</v>
      </c>
      <c r="C33" s="4">
        <v>489034.7925</v>
      </c>
      <c r="D33" s="4">
        <v>0</v>
      </c>
      <c r="E33" s="4">
        <v>0</v>
      </c>
      <c r="F33" s="4">
        <v>0</v>
      </c>
      <c r="G33" s="4">
        <v>240243.944</v>
      </c>
      <c r="H33" s="4">
        <v>0</v>
      </c>
      <c r="I33" s="4">
        <v>44430.228</v>
      </c>
      <c r="J33" s="4">
        <v>0</v>
      </c>
      <c r="K33" s="4">
        <v>0</v>
      </c>
      <c r="M33" s="12">
        <f t="shared" si="0"/>
        <v>489034.7925</v>
      </c>
      <c r="N33" s="12">
        <f t="shared" si="1"/>
        <v>44430.228</v>
      </c>
      <c r="O33" s="419">
        <v>446</v>
      </c>
    </row>
    <row r="34" spans="1:15" ht="12.75">
      <c r="A34">
        <v>2052</v>
      </c>
      <c r="B34" s="4">
        <v>773708.965</v>
      </c>
      <c r="C34" s="4">
        <v>489035.1775</v>
      </c>
      <c r="D34" s="4">
        <v>0</v>
      </c>
      <c r="E34" s="4">
        <v>0</v>
      </c>
      <c r="F34" s="4">
        <v>0</v>
      </c>
      <c r="G34" s="4">
        <v>239510.356</v>
      </c>
      <c r="H34" s="4">
        <v>0</v>
      </c>
      <c r="I34" s="4">
        <v>45163.431</v>
      </c>
      <c r="J34" s="4">
        <v>0</v>
      </c>
      <c r="K34" s="4">
        <v>0</v>
      </c>
      <c r="M34" s="12">
        <f t="shared" si="0"/>
        <v>489035.1775</v>
      </c>
      <c r="N34" s="12">
        <f t="shared" si="1"/>
        <v>45163.431</v>
      </c>
      <c r="O34" s="419">
        <v>445</v>
      </c>
    </row>
    <row r="35" spans="1:15" ht="12.75">
      <c r="A35">
        <v>2053</v>
      </c>
      <c r="B35" s="4">
        <v>773708.965</v>
      </c>
      <c r="C35" s="4">
        <v>489035.1825</v>
      </c>
      <c r="D35" s="4">
        <v>0</v>
      </c>
      <c r="E35" s="4">
        <v>0</v>
      </c>
      <c r="F35" s="4">
        <v>0</v>
      </c>
      <c r="G35" s="4">
        <v>238750.482</v>
      </c>
      <c r="H35" s="4">
        <v>0</v>
      </c>
      <c r="I35" s="4">
        <v>45923.299</v>
      </c>
      <c r="J35" s="4">
        <v>0</v>
      </c>
      <c r="K35" s="4">
        <v>0</v>
      </c>
      <c r="M35" s="12">
        <f t="shared" si="0"/>
        <v>489035.1825</v>
      </c>
      <c r="N35" s="12">
        <f t="shared" si="1"/>
        <v>45923.299</v>
      </c>
      <c r="O35" s="419">
        <v>445</v>
      </c>
    </row>
    <row r="36" spans="1:15" ht="12.75">
      <c r="A36">
        <v>2054</v>
      </c>
      <c r="B36" s="4">
        <v>773708.965</v>
      </c>
      <c r="C36" s="4">
        <v>489035.9575</v>
      </c>
      <c r="D36" s="4">
        <v>0</v>
      </c>
      <c r="E36" s="4">
        <v>0</v>
      </c>
      <c r="F36" s="4">
        <v>0</v>
      </c>
      <c r="G36" s="4">
        <v>237962.196</v>
      </c>
      <c r="H36" s="4">
        <v>0</v>
      </c>
      <c r="I36" s="4">
        <v>46710.81</v>
      </c>
      <c r="J36" s="4">
        <v>0</v>
      </c>
      <c r="K36" s="4">
        <v>0</v>
      </c>
      <c r="M36" s="12">
        <f t="shared" si="0"/>
        <v>489035.9575</v>
      </c>
      <c r="N36" s="12">
        <f t="shared" si="1"/>
        <v>46710.81</v>
      </c>
      <c r="O36" s="419">
        <v>444</v>
      </c>
    </row>
    <row r="37" spans="1:15" ht="12.75">
      <c r="A37">
        <v>2055</v>
      </c>
      <c r="B37" s="4">
        <v>773708.965</v>
      </c>
      <c r="C37" s="4">
        <v>489036.2425</v>
      </c>
      <c r="D37" s="4">
        <v>0</v>
      </c>
      <c r="E37" s="4">
        <v>0</v>
      </c>
      <c r="F37" s="4">
        <v>0</v>
      </c>
      <c r="G37" s="4">
        <v>237145.748</v>
      </c>
      <c r="H37" s="4">
        <v>0</v>
      </c>
      <c r="I37" s="4">
        <v>47526.973</v>
      </c>
      <c r="J37" s="4">
        <v>0</v>
      </c>
      <c r="K37" s="4">
        <v>0</v>
      </c>
      <c r="M37" s="12">
        <f t="shared" si="0"/>
        <v>489036.2425</v>
      </c>
      <c r="N37" s="12">
        <f t="shared" si="1"/>
        <v>47526.973</v>
      </c>
      <c r="O37" s="419">
        <v>444</v>
      </c>
    </row>
    <row r="38" spans="1:15" ht="12.75">
      <c r="A38">
        <v>2056</v>
      </c>
      <c r="B38" s="4">
        <v>773708.965</v>
      </c>
      <c r="C38" s="4">
        <v>489033.69</v>
      </c>
      <c r="D38" s="4">
        <v>0</v>
      </c>
      <c r="E38" s="4">
        <v>0</v>
      </c>
      <c r="F38" s="4">
        <v>0</v>
      </c>
      <c r="G38" s="4">
        <v>236302.509</v>
      </c>
      <c r="H38" s="4">
        <v>0</v>
      </c>
      <c r="I38" s="4">
        <v>48372.765</v>
      </c>
      <c r="J38" s="4">
        <v>0</v>
      </c>
      <c r="K38" s="4">
        <v>0</v>
      </c>
      <c r="M38" s="12">
        <f t="shared" si="0"/>
        <v>489033.69</v>
      </c>
      <c r="N38" s="12">
        <f t="shared" si="1"/>
        <v>48372.765</v>
      </c>
      <c r="O38" s="419">
        <v>443</v>
      </c>
    </row>
    <row r="39" spans="1:15" ht="12.75">
      <c r="A39">
        <v>2057</v>
      </c>
      <c r="B39" s="4">
        <v>773708.965</v>
      </c>
      <c r="C39" s="4">
        <v>489033.615</v>
      </c>
      <c r="D39" s="4">
        <v>0</v>
      </c>
      <c r="E39" s="4">
        <v>0</v>
      </c>
      <c r="F39" s="4">
        <v>0</v>
      </c>
      <c r="G39" s="4">
        <v>235426.084</v>
      </c>
      <c r="H39" s="4">
        <v>0</v>
      </c>
      <c r="I39" s="4">
        <v>49249.265</v>
      </c>
      <c r="J39" s="4">
        <v>0</v>
      </c>
      <c r="K39" s="4">
        <v>0</v>
      </c>
      <c r="M39" s="12">
        <f t="shared" si="0"/>
        <v>489033.615</v>
      </c>
      <c r="N39" s="12">
        <f t="shared" si="1"/>
        <v>49249.265</v>
      </c>
      <c r="O39" s="419">
        <v>442</v>
      </c>
    </row>
    <row r="40" spans="1:15" ht="12.75">
      <c r="A40">
        <v>2058</v>
      </c>
      <c r="B40" s="4">
        <v>773708.965</v>
      </c>
      <c r="C40" s="4">
        <v>489034.7375</v>
      </c>
      <c r="D40" s="4">
        <v>0</v>
      </c>
      <c r="E40" s="4">
        <v>0</v>
      </c>
      <c r="F40" s="4">
        <v>0</v>
      </c>
      <c r="G40" s="4">
        <v>234516.571</v>
      </c>
      <c r="H40" s="4">
        <v>0</v>
      </c>
      <c r="I40" s="4">
        <v>50157.655</v>
      </c>
      <c r="J40" s="4">
        <v>0</v>
      </c>
      <c r="K40" s="4">
        <v>0</v>
      </c>
      <c r="M40" s="12">
        <f t="shared" si="0"/>
        <v>489034.7375</v>
      </c>
      <c r="N40" s="12">
        <f t="shared" si="1"/>
        <v>50157.655</v>
      </c>
      <c r="O40" s="419">
        <v>441</v>
      </c>
    </row>
    <row r="41" spans="1:15" ht="12.75">
      <c r="A41">
        <v>2059</v>
      </c>
      <c r="B41" s="4">
        <v>773708.965</v>
      </c>
      <c r="C41" s="4">
        <v>489038.2225</v>
      </c>
      <c r="D41" s="4">
        <v>0</v>
      </c>
      <c r="E41" s="4">
        <v>0</v>
      </c>
      <c r="F41" s="4">
        <v>0</v>
      </c>
      <c r="G41" s="4">
        <v>233571.58</v>
      </c>
      <c r="H41" s="4">
        <v>0</v>
      </c>
      <c r="I41" s="4">
        <v>51099.161</v>
      </c>
      <c r="J41" s="4">
        <v>0</v>
      </c>
      <c r="K41" s="4">
        <v>0</v>
      </c>
      <c r="M41" s="12">
        <f t="shared" si="0"/>
        <v>489038.2225</v>
      </c>
      <c r="N41" s="12">
        <f t="shared" si="1"/>
        <v>51099.161</v>
      </c>
      <c r="O41" s="419">
        <v>441</v>
      </c>
    </row>
    <row r="42" spans="1:15" ht="12.75">
      <c r="A42">
        <v>2060</v>
      </c>
      <c r="B42" s="4">
        <v>773708.965</v>
      </c>
      <c r="C42" s="4">
        <v>489037.4625</v>
      </c>
      <c r="D42" s="4">
        <v>0</v>
      </c>
      <c r="E42" s="4">
        <v>0</v>
      </c>
      <c r="F42" s="4">
        <v>0</v>
      </c>
      <c r="G42" s="4">
        <v>232596.56</v>
      </c>
      <c r="H42" s="4">
        <v>0</v>
      </c>
      <c r="I42" s="4">
        <v>52074.942</v>
      </c>
      <c r="J42" s="4">
        <v>0</v>
      </c>
      <c r="K42" s="4">
        <v>0</v>
      </c>
      <c r="M42" s="12">
        <f t="shared" si="0"/>
        <v>489037.4625</v>
      </c>
      <c r="N42" s="12">
        <f t="shared" si="1"/>
        <v>52074.942</v>
      </c>
      <c r="O42" s="419">
        <v>440</v>
      </c>
    </row>
    <row r="43" spans="1:15" ht="12.75">
      <c r="A43">
        <v>2061</v>
      </c>
      <c r="B43" s="4">
        <v>773708.965</v>
      </c>
      <c r="C43" s="4">
        <v>489037.19</v>
      </c>
      <c r="D43" s="4">
        <v>0</v>
      </c>
      <c r="E43" s="4">
        <v>0</v>
      </c>
      <c r="F43" s="4">
        <v>0</v>
      </c>
      <c r="G43" s="4">
        <v>231585.591</v>
      </c>
      <c r="H43" s="4">
        <v>0</v>
      </c>
      <c r="I43" s="4">
        <v>53086.183</v>
      </c>
      <c r="J43" s="4">
        <v>0</v>
      </c>
      <c r="K43" s="4">
        <v>0</v>
      </c>
      <c r="M43" s="12">
        <f t="shared" si="0"/>
        <v>489037.19</v>
      </c>
      <c r="N43" s="12">
        <f t="shared" si="1"/>
        <v>53086.183</v>
      </c>
      <c r="O43" s="419">
        <v>439</v>
      </c>
    </row>
    <row r="44" spans="1:15" ht="12.75">
      <c r="A44">
        <v>2062</v>
      </c>
      <c r="B44" s="4">
        <v>773708.965</v>
      </c>
      <c r="C44" s="4">
        <v>489035.2525</v>
      </c>
      <c r="D44" s="4">
        <v>0</v>
      </c>
      <c r="E44" s="4">
        <v>0</v>
      </c>
      <c r="F44" s="4">
        <v>0</v>
      </c>
      <c r="G44" s="4">
        <v>230539.563</v>
      </c>
      <c r="H44" s="4">
        <v>0</v>
      </c>
      <c r="I44" s="4">
        <v>54134.149</v>
      </c>
      <c r="J44" s="4">
        <v>0</v>
      </c>
      <c r="K44" s="4">
        <v>0</v>
      </c>
      <c r="M44" s="12">
        <f t="shared" si="0"/>
        <v>489035.2525</v>
      </c>
      <c r="N44" s="12">
        <f t="shared" si="1"/>
        <v>54134.149</v>
      </c>
      <c r="O44" s="419">
        <v>438</v>
      </c>
    </row>
    <row r="45" spans="1:15" ht="12.75">
      <c r="A45">
        <v>2063</v>
      </c>
      <c r="B45" s="4">
        <v>773708.965</v>
      </c>
      <c r="C45" s="4">
        <v>489035.4025</v>
      </c>
      <c r="D45" s="4">
        <v>0</v>
      </c>
      <c r="E45" s="4">
        <v>0</v>
      </c>
      <c r="F45" s="4">
        <v>0</v>
      </c>
      <c r="G45" s="4">
        <v>229453.374</v>
      </c>
      <c r="H45" s="4">
        <v>0</v>
      </c>
      <c r="I45" s="4">
        <v>55220.188</v>
      </c>
      <c r="J45" s="4">
        <v>0</v>
      </c>
      <c r="K45" s="4">
        <v>0</v>
      </c>
      <c r="M45" s="12">
        <f t="shared" si="0"/>
        <v>489035.4025</v>
      </c>
      <c r="N45" s="12">
        <f t="shared" si="1"/>
        <v>55220.188</v>
      </c>
      <c r="O45" s="419">
        <v>437</v>
      </c>
    </row>
    <row r="46" spans="1:15" ht="12.75">
      <c r="A46">
        <v>2064</v>
      </c>
      <c r="B46" s="4">
        <v>773708.965</v>
      </c>
      <c r="C46" s="4">
        <v>489036.8625</v>
      </c>
      <c r="D46" s="4">
        <v>0</v>
      </c>
      <c r="E46" s="4">
        <v>0</v>
      </c>
      <c r="F46" s="4">
        <v>0</v>
      </c>
      <c r="G46" s="4">
        <v>228326.356</v>
      </c>
      <c r="H46" s="4">
        <v>0</v>
      </c>
      <c r="I46" s="4">
        <v>56345.746</v>
      </c>
      <c r="J46" s="4">
        <v>0</v>
      </c>
      <c r="K46" s="4">
        <v>0</v>
      </c>
      <c r="M46" s="12">
        <f t="shared" si="0"/>
        <v>489036.8625</v>
      </c>
      <c r="N46" s="12">
        <f t="shared" si="1"/>
        <v>56345.746</v>
      </c>
      <c r="O46" s="419">
        <v>436</v>
      </c>
    </row>
    <row r="47" spans="1:15" ht="12.75">
      <c r="A47">
        <v>2065</v>
      </c>
      <c r="B47" s="4">
        <v>773708.965</v>
      </c>
      <c r="C47" s="4">
        <v>489034.47</v>
      </c>
      <c r="D47" s="4">
        <v>0</v>
      </c>
      <c r="E47" s="4">
        <v>0</v>
      </c>
      <c r="F47" s="4">
        <v>0</v>
      </c>
      <c r="G47" s="4">
        <v>227162.289</v>
      </c>
      <c r="H47" s="4">
        <v>0</v>
      </c>
      <c r="I47" s="4">
        <v>57512.205</v>
      </c>
      <c r="J47" s="4">
        <v>0</v>
      </c>
      <c r="K47" s="4">
        <v>0</v>
      </c>
      <c r="M47" s="12">
        <f t="shared" si="0"/>
        <v>489034.47</v>
      </c>
      <c r="N47" s="12">
        <f t="shared" si="1"/>
        <v>57512.205</v>
      </c>
      <c r="O47" s="419">
        <v>435</v>
      </c>
    </row>
    <row r="48" spans="1:15" ht="12.75">
      <c r="A48">
        <v>2066</v>
      </c>
      <c r="B48" s="4">
        <v>773708.965</v>
      </c>
      <c r="C48" s="4">
        <v>489035.0725</v>
      </c>
      <c r="D48" s="4">
        <v>0</v>
      </c>
      <c r="E48" s="4">
        <v>0</v>
      </c>
      <c r="F48" s="4">
        <v>0</v>
      </c>
      <c r="G48" s="4">
        <v>225952.845</v>
      </c>
      <c r="H48" s="4">
        <v>0</v>
      </c>
      <c r="I48" s="4">
        <v>58721.047</v>
      </c>
      <c r="J48" s="4">
        <v>0</v>
      </c>
      <c r="K48" s="4">
        <v>0</v>
      </c>
      <c r="M48" s="12">
        <f t="shared" si="0"/>
        <v>489035.0725</v>
      </c>
      <c r="N48" s="12">
        <f t="shared" si="1"/>
        <v>58721.047</v>
      </c>
      <c r="O48" s="419">
        <v>434</v>
      </c>
    </row>
    <row r="49" spans="1:15" ht="12.75">
      <c r="A49">
        <v>2067</v>
      </c>
      <c r="B49" s="4">
        <v>773708.965</v>
      </c>
      <c r="C49" s="4">
        <v>489036.73</v>
      </c>
      <c r="D49" s="4">
        <v>0</v>
      </c>
      <c r="E49" s="4">
        <v>0</v>
      </c>
      <c r="F49" s="4">
        <v>0</v>
      </c>
      <c r="G49" s="4">
        <v>224698.349</v>
      </c>
      <c r="H49" s="4">
        <v>0</v>
      </c>
      <c r="I49" s="4">
        <v>59973.885</v>
      </c>
      <c r="J49" s="4">
        <v>0</v>
      </c>
      <c r="K49" s="4">
        <v>0</v>
      </c>
      <c r="M49" s="12">
        <f t="shared" si="0"/>
        <v>489036.73</v>
      </c>
      <c r="N49" s="12">
        <f t="shared" si="1"/>
        <v>59973.885</v>
      </c>
      <c r="O49" s="419">
        <v>433</v>
      </c>
    </row>
    <row r="50" spans="1:15" ht="12.75">
      <c r="A50">
        <v>2068</v>
      </c>
      <c r="B50" s="4">
        <v>773708.965</v>
      </c>
      <c r="C50" s="4">
        <v>489034.0775</v>
      </c>
      <c r="D50" s="4">
        <v>0</v>
      </c>
      <c r="E50" s="4">
        <v>0</v>
      </c>
      <c r="F50" s="4">
        <v>0</v>
      </c>
      <c r="G50" s="4">
        <v>223402.637</v>
      </c>
      <c r="H50" s="4">
        <v>0</v>
      </c>
      <c r="I50" s="4">
        <v>61272.25</v>
      </c>
      <c r="J50" s="4">
        <v>0</v>
      </c>
      <c r="K50" s="4">
        <v>0</v>
      </c>
      <c r="M50" s="12">
        <f t="shared" si="0"/>
        <v>489034.0775</v>
      </c>
      <c r="N50" s="12">
        <f t="shared" si="1"/>
        <v>61272.25</v>
      </c>
      <c r="O50" s="419">
        <v>432</v>
      </c>
    </row>
    <row r="51" spans="1:15" ht="12.75">
      <c r="A51">
        <v>2069</v>
      </c>
      <c r="B51" s="4">
        <v>773708.965</v>
      </c>
      <c r="C51" s="4">
        <v>489034.6475</v>
      </c>
      <c r="D51" s="4">
        <v>0</v>
      </c>
      <c r="E51" s="4">
        <v>0</v>
      </c>
      <c r="F51" s="4">
        <v>0</v>
      </c>
      <c r="G51" s="4">
        <v>222056.528</v>
      </c>
      <c r="H51" s="4">
        <v>0</v>
      </c>
      <c r="I51" s="4">
        <v>62617.789</v>
      </c>
      <c r="J51" s="4">
        <v>0</v>
      </c>
      <c r="K51" s="4">
        <v>0</v>
      </c>
      <c r="M51" s="12">
        <f t="shared" si="0"/>
        <v>489034.6475</v>
      </c>
      <c r="N51" s="12">
        <f t="shared" si="1"/>
        <v>62617.789</v>
      </c>
      <c r="O51" s="419">
        <v>431</v>
      </c>
    </row>
    <row r="52" spans="1:15" ht="12.75">
      <c r="A52">
        <v>2070</v>
      </c>
      <c r="B52" s="4">
        <v>773708.965</v>
      </c>
      <c r="C52" s="4">
        <v>489034.25</v>
      </c>
      <c r="D52" s="4">
        <v>0</v>
      </c>
      <c r="E52" s="4">
        <v>0</v>
      </c>
      <c r="F52" s="4">
        <v>0</v>
      </c>
      <c r="G52" s="4">
        <v>220662.462</v>
      </c>
      <c r="H52" s="4">
        <v>0</v>
      </c>
      <c r="I52" s="4">
        <v>64012.252</v>
      </c>
      <c r="J52" s="4">
        <v>0</v>
      </c>
      <c r="K52" s="4">
        <v>0</v>
      </c>
      <c r="M52" s="12">
        <f t="shared" si="0"/>
        <v>489034.25</v>
      </c>
      <c r="N52" s="12">
        <f t="shared" si="1"/>
        <v>64012.252</v>
      </c>
      <c r="O52" s="419">
        <v>430</v>
      </c>
    </row>
    <row r="53" spans="1:15" ht="12.75">
      <c r="A53">
        <v>2071</v>
      </c>
      <c r="B53" s="4">
        <v>773708.965</v>
      </c>
      <c r="C53" s="4">
        <v>489034.98</v>
      </c>
      <c r="D53" s="4">
        <v>0</v>
      </c>
      <c r="E53" s="4">
        <v>0</v>
      </c>
      <c r="F53" s="4">
        <v>0</v>
      </c>
      <c r="G53" s="4">
        <v>219216.559</v>
      </c>
      <c r="H53" s="4">
        <v>0</v>
      </c>
      <c r="I53" s="4">
        <v>65457.425</v>
      </c>
      <c r="J53" s="4">
        <v>0</v>
      </c>
      <c r="K53" s="4">
        <v>0</v>
      </c>
      <c r="M53" s="12">
        <f t="shared" si="0"/>
        <v>489034.98</v>
      </c>
      <c r="N53" s="12">
        <f t="shared" si="1"/>
        <v>65457.425</v>
      </c>
      <c r="O53" s="419">
        <v>429</v>
      </c>
    </row>
    <row r="54" spans="1:15" ht="12.75">
      <c r="A54">
        <v>2072</v>
      </c>
      <c r="B54" s="4">
        <v>773708.965</v>
      </c>
      <c r="C54" s="4">
        <v>489037.21</v>
      </c>
      <c r="D54" s="4">
        <v>0</v>
      </c>
      <c r="E54" s="4">
        <v>0</v>
      </c>
      <c r="F54" s="4">
        <v>0</v>
      </c>
      <c r="G54" s="4">
        <v>217716.555</v>
      </c>
      <c r="H54" s="4">
        <v>0</v>
      </c>
      <c r="I54" s="4">
        <v>66955.199</v>
      </c>
      <c r="J54" s="4">
        <v>0</v>
      </c>
      <c r="K54" s="4">
        <v>0</v>
      </c>
      <c r="M54" s="12">
        <f t="shared" si="0"/>
        <v>489037.21</v>
      </c>
      <c r="N54" s="12">
        <f t="shared" si="1"/>
        <v>66955.199</v>
      </c>
      <c r="O54" s="419">
        <v>427</v>
      </c>
    </row>
    <row r="55" spans="1:15" ht="12.75">
      <c r="A55">
        <v>2073</v>
      </c>
      <c r="B55" s="4">
        <v>773708.965</v>
      </c>
      <c r="C55" s="4">
        <v>489035.7675</v>
      </c>
      <c r="D55" s="4">
        <v>0</v>
      </c>
      <c r="E55" s="4">
        <v>0</v>
      </c>
      <c r="F55" s="4">
        <v>0</v>
      </c>
      <c r="G55" s="4">
        <v>216165.758</v>
      </c>
      <c r="H55" s="4">
        <v>0</v>
      </c>
      <c r="I55" s="4">
        <v>68507.439</v>
      </c>
      <c r="J55" s="4">
        <v>0</v>
      </c>
      <c r="K55" s="4">
        <v>0</v>
      </c>
      <c r="M55" s="12">
        <f t="shared" si="0"/>
        <v>489035.7675</v>
      </c>
      <c r="N55" s="12">
        <f t="shared" si="1"/>
        <v>68507.439</v>
      </c>
      <c r="O55" s="419">
        <v>426</v>
      </c>
    </row>
    <row r="56" spans="1:15" ht="12.75">
      <c r="A56">
        <v>2074</v>
      </c>
      <c r="B56" s="4">
        <v>773708.965</v>
      </c>
      <c r="C56" s="4">
        <v>489036.33</v>
      </c>
      <c r="D56" s="4">
        <v>0</v>
      </c>
      <c r="E56" s="4">
        <v>0</v>
      </c>
      <c r="F56" s="4">
        <v>0</v>
      </c>
      <c r="G56" s="4">
        <v>214556.532</v>
      </c>
      <c r="H56" s="4">
        <v>0</v>
      </c>
      <c r="I56" s="4">
        <v>70116.102</v>
      </c>
      <c r="J56" s="4">
        <v>0</v>
      </c>
      <c r="K56" s="4">
        <v>0</v>
      </c>
      <c r="M56" s="12">
        <f t="shared" si="0"/>
        <v>489036.33</v>
      </c>
      <c r="N56" s="12">
        <f t="shared" si="1"/>
        <v>70116.102</v>
      </c>
      <c r="O56" s="419">
        <v>425</v>
      </c>
    </row>
    <row r="57" spans="1:15" ht="12.75">
      <c r="A57">
        <v>2075</v>
      </c>
      <c r="B57" s="4">
        <v>773708.965</v>
      </c>
      <c r="C57" s="4">
        <v>489037.1275</v>
      </c>
      <c r="D57" s="4">
        <v>0</v>
      </c>
      <c r="E57" s="4">
        <v>0</v>
      </c>
      <c r="F57" s="4">
        <v>0</v>
      </c>
      <c r="G57" s="4">
        <v>212888.556</v>
      </c>
      <c r="H57" s="4">
        <v>0</v>
      </c>
      <c r="I57" s="4">
        <v>71783.281</v>
      </c>
      <c r="J57" s="4">
        <v>0</v>
      </c>
      <c r="K57" s="4">
        <v>0</v>
      </c>
      <c r="M57" s="12">
        <f t="shared" si="0"/>
        <v>489037.1275</v>
      </c>
      <c r="N57" s="12">
        <f t="shared" si="1"/>
        <v>71783.281</v>
      </c>
      <c r="O57" s="419">
        <v>423</v>
      </c>
    </row>
    <row r="58" spans="1:15" ht="12.75">
      <c r="A58">
        <v>2073</v>
      </c>
      <c r="B58" s="4">
        <v>1004625.024</v>
      </c>
      <c r="C58" s="4">
        <v>489037.1275</v>
      </c>
      <c r="D58" s="4">
        <v>0</v>
      </c>
      <c r="E58" s="4">
        <v>0</v>
      </c>
      <c r="F58" s="4">
        <v>0</v>
      </c>
      <c r="G58" s="4">
        <v>189933.508</v>
      </c>
      <c r="H58" s="4">
        <v>0</v>
      </c>
      <c r="I58" s="4">
        <v>325654.388</v>
      </c>
      <c r="J58" s="4">
        <v>0</v>
      </c>
      <c r="K58" s="4">
        <v>0</v>
      </c>
      <c r="M58" s="12">
        <f t="shared" si="0"/>
        <v>489037.1275</v>
      </c>
      <c r="N58" s="12">
        <f t="shared" si="1"/>
        <v>325654.388</v>
      </c>
      <c r="O58" s="153">
        <v>-1085</v>
      </c>
    </row>
    <row r="59" spans="1:12" ht="12.75">
      <c r="A59" t="s">
        <v>500</v>
      </c>
      <c r="B59" s="4">
        <v>43960276.71</v>
      </c>
      <c r="C59" s="4">
        <v>17928454.2192</v>
      </c>
      <c r="D59" s="4">
        <v>0</v>
      </c>
      <c r="E59" s="4">
        <v>-629631.364</v>
      </c>
      <c r="F59" s="4">
        <v>2079739.16925</v>
      </c>
      <c r="G59" s="4">
        <v>16027036.61538</v>
      </c>
      <c r="H59" s="4">
        <v>9289.904</v>
      </c>
      <c r="I59" s="4">
        <v>4092071.358</v>
      </c>
      <c r="J59" s="4">
        <v>442074.516</v>
      </c>
      <c r="K59" s="4">
        <v>4011242.266</v>
      </c>
    </row>
  </sheetData>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597"/>
  <sheetViews>
    <sheetView workbookViewId="0" topLeftCell="A1">
      <selection activeCell="A1" sqref="A1:XFD1048576"/>
    </sheetView>
  </sheetViews>
  <sheetFormatPr defaultColWidth="9.140625" defaultRowHeight="12.75"/>
  <cols>
    <col min="1" max="1" width="45.8515625" style="97" customWidth="1"/>
    <col min="2" max="2" width="10.8515625" style="97" customWidth="1"/>
    <col min="3" max="4" width="10.421875" style="97" customWidth="1"/>
    <col min="5" max="6" width="11.7109375" style="97" customWidth="1"/>
    <col min="7" max="7" width="9.140625" style="97" customWidth="1"/>
    <col min="8" max="8" width="3.140625" style="97" customWidth="1"/>
    <col min="9" max="9" width="3.7109375" style="97" customWidth="1"/>
    <col min="10" max="10" width="18.28125" style="97" customWidth="1"/>
    <col min="11" max="11" width="11.7109375" style="97" customWidth="1"/>
    <col min="12" max="12" width="13.00390625" style="97" customWidth="1"/>
    <col min="13" max="13" width="11.140625" style="97" customWidth="1"/>
    <col min="14" max="255" width="9.140625" style="97" customWidth="1"/>
    <col min="256" max="256" width="45.8515625" style="97" customWidth="1"/>
    <col min="257" max="257" width="10.8515625" style="97" customWidth="1"/>
    <col min="258" max="259" width="10.421875" style="97" customWidth="1"/>
    <col min="260" max="261" width="11.7109375" style="97" customWidth="1"/>
    <col min="262" max="262" width="9.140625" style="97" customWidth="1"/>
    <col min="263" max="263" width="3.140625" style="97" customWidth="1"/>
    <col min="264" max="264" width="3.7109375" style="97" customWidth="1"/>
    <col min="265" max="265" width="18.28125" style="97" customWidth="1"/>
    <col min="266" max="266" width="11.7109375" style="97" customWidth="1"/>
    <col min="267" max="267" width="13.00390625" style="97" customWidth="1"/>
    <col min="268" max="268" width="11.140625" style="97" customWidth="1"/>
    <col min="269" max="511" width="9.140625" style="97" customWidth="1"/>
    <col min="512" max="512" width="45.8515625" style="97" customWidth="1"/>
    <col min="513" max="513" width="10.8515625" style="97" customWidth="1"/>
    <col min="514" max="515" width="10.421875" style="97" customWidth="1"/>
    <col min="516" max="517" width="11.7109375" style="97" customWidth="1"/>
    <col min="518" max="518" width="9.140625" style="97" customWidth="1"/>
    <col min="519" max="519" width="3.140625" style="97" customWidth="1"/>
    <col min="520" max="520" width="3.7109375" style="97" customWidth="1"/>
    <col min="521" max="521" width="18.28125" style="97" customWidth="1"/>
    <col min="522" max="522" width="11.7109375" style="97" customWidth="1"/>
    <col min="523" max="523" width="13.00390625" style="97" customWidth="1"/>
    <col min="524" max="524" width="11.140625" style="97" customWidth="1"/>
    <col min="525" max="767" width="9.140625" style="97" customWidth="1"/>
    <col min="768" max="768" width="45.8515625" style="97" customWidth="1"/>
    <col min="769" max="769" width="10.8515625" style="97" customWidth="1"/>
    <col min="770" max="771" width="10.421875" style="97" customWidth="1"/>
    <col min="772" max="773" width="11.7109375" style="97" customWidth="1"/>
    <col min="774" max="774" width="9.140625" style="97" customWidth="1"/>
    <col min="775" max="775" width="3.140625" style="97" customWidth="1"/>
    <col min="776" max="776" width="3.7109375" style="97" customWidth="1"/>
    <col min="777" max="777" width="18.28125" style="97" customWidth="1"/>
    <col min="778" max="778" width="11.7109375" style="97" customWidth="1"/>
    <col min="779" max="779" width="13.00390625" style="97" customWidth="1"/>
    <col min="780" max="780" width="11.140625" style="97" customWidth="1"/>
    <col min="781" max="1023" width="9.140625" style="97" customWidth="1"/>
    <col min="1024" max="1024" width="45.8515625" style="97" customWidth="1"/>
    <col min="1025" max="1025" width="10.8515625" style="97" customWidth="1"/>
    <col min="1026" max="1027" width="10.421875" style="97" customWidth="1"/>
    <col min="1028" max="1029" width="11.7109375" style="97" customWidth="1"/>
    <col min="1030" max="1030" width="9.140625" style="97" customWidth="1"/>
    <col min="1031" max="1031" width="3.140625" style="97" customWidth="1"/>
    <col min="1032" max="1032" width="3.7109375" style="97" customWidth="1"/>
    <col min="1033" max="1033" width="18.28125" style="97" customWidth="1"/>
    <col min="1034" max="1034" width="11.7109375" style="97" customWidth="1"/>
    <col min="1035" max="1035" width="13.00390625" style="97" customWidth="1"/>
    <col min="1036" max="1036" width="11.140625" style="97" customWidth="1"/>
    <col min="1037" max="1279" width="9.140625" style="97" customWidth="1"/>
    <col min="1280" max="1280" width="45.8515625" style="97" customWidth="1"/>
    <col min="1281" max="1281" width="10.8515625" style="97" customWidth="1"/>
    <col min="1282" max="1283" width="10.421875" style="97" customWidth="1"/>
    <col min="1284" max="1285" width="11.7109375" style="97" customWidth="1"/>
    <col min="1286" max="1286" width="9.140625" style="97" customWidth="1"/>
    <col min="1287" max="1287" width="3.140625" style="97" customWidth="1"/>
    <col min="1288" max="1288" width="3.7109375" style="97" customWidth="1"/>
    <col min="1289" max="1289" width="18.28125" style="97" customWidth="1"/>
    <col min="1290" max="1290" width="11.7109375" style="97" customWidth="1"/>
    <col min="1291" max="1291" width="13.00390625" style="97" customWidth="1"/>
    <col min="1292" max="1292" width="11.140625" style="97" customWidth="1"/>
    <col min="1293" max="1535" width="9.140625" style="97" customWidth="1"/>
    <col min="1536" max="1536" width="45.8515625" style="97" customWidth="1"/>
    <col min="1537" max="1537" width="10.8515625" style="97" customWidth="1"/>
    <col min="1538" max="1539" width="10.421875" style="97" customWidth="1"/>
    <col min="1540" max="1541" width="11.7109375" style="97" customWidth="1"/>
    <col min="1542" max="1542" width="9.140625" style="97" customWidth="1"/>
    <col min="1543" max="1543" width="3.140625" style="97" customWidth="1"/>
    <col min="1544" max="1544" width="3.7109375" style="97" customWidth="1"/>
    <col min="1545" max="1545" width="18.28125" style="97" customWidth="1"/>
    <col min="1546" max="1546" width="11.7109375" style="97" customWidth="1"/>
    <col min="1547" max="1547" width="13.00390625" style="97" customWidth="1"/>
    <col min="1548" max="1548" width="11.140625" style="97" customWidth="1"/>
    <col min="1549" max="1791" width="9.140625" style="97" customWidth="1"/>
    <col min="1792" max="1792" width="45.8515625" style="97" customWidth="1"/>
    <col min="1793" max="1793" width="10.8515625" style="97" customWidth="1"/>
    <col min="1794" max="1795" width="10.421875" style="97" customWidth="1"/>
    <col min="1796" max="1797" width="11.7109375" style="97" customWidth="1"/>
    <col min="1798" max="1798" width="9.140625" style="97" customWidth="1"/>
    <col min="1799" max="1799" width="3.140625" style="97" customWidth="1"/>
    <col min="1800" max="1800" width="3.7109375" style="97" customWidth="1"/>
    <col min="1801" max="1801" width="18.28125" style="97" customWidth="1"/>
    <col min="1802" max="1802" width="11.7109375" style="97" customWidth="1"/>
    <col min="1803" max="1803" width="13.00390625" style="97" customWidth="1"/>
    <col min="1804" max="1804" width="11.140625" style="97" customWidth="1"/>
    <col min="1805" max="2047" width="9.140625" style="97" customWidth="1"/>
    <col min="2048" max="2048" width="45.8515625" style="97" customWidth="1"/>
    <col min="2049" max="2049" width="10.8515625" style="97" customWidth="1"/>
    <col min="2050" max="2051" width="10.421875" style="97" customWidth="1"/>
    <col min="2052" max="2053" width="11.7109375" style="97" customWidth="1"/>
    <col min="2054" max="2054" width="9.140625" style="97" customWidth="1"/>
    <col min="2055" max="2055" width="3.140625" style="97" customWidth="1"/>
    <col min="2056" max="2056" width="3.7109375" style="97" customWidth="1"/>
    <col min="2057" max="2057" width="18.28125" style="97" customWidth="1"/>
    <col min="2058" max="2058" width="11.7109375" style="97" customWidth="1"/>
    <col min="2059" max="2059" width="13.00390625" style="97" customWidth="1"/>
    <col min="2060" max="2060" width="11.140625" style="97" customWidth="1"/>
    <col min="2061" max="2303" width="9.140625" style="97" customWidth="1"/>
    <col min="2304" max="2304" width="45.8515625" style="97" customWidth="1"/>
    <col min="2305" max="2305" width="10.8515625" style="97" customWidth="1"/>
    <col min="2306" max="2307" width="10.421875" style="97" customWidth="1"/>
    <col min="2308" max="2309" width="11.7109375" style="97" customWidth="1"/>
    <col min="2310" max="2310" width="9.140625" style="97" customWidth="1"/>
    <col min="2311" max="2311" width="3.140625" style="97" customWidth="1"/>
    <col min="2312" max="2312" width="3.7109375" style="97" customWidth="1"/>
    <col min="2313" max="2313" width="18.28125" style="97" customWidth="1"/>
    <col min="2314" max="2314" width="11.7109375" style="97" customWidth="1"/>
    <col min="2315" max="2315" width="13.00390625" style="97" customWidth="1"/>
    <col min="2316" max="2316" width="11.140625" style="97" customWidth="1"/>
    <col min="2317" max="2559" width="9.140625" style="97" customWidth="1"/>
    <col min="2560" max="2560" width="45.8515625" style="97" customWidth="1"/>
    <col min="2561" max="2561" width="10.8515625" style="97" customWidth="1"/>
    <col min="2562" max="2563" width="10.421875" style="97" customWidth="1"/>
    <col min="2564" max="2565" width="11.7109375" style="97" customWidth="1"/>
    <col min="2566" max="2566" width="9.140625" style="97" customWidth="1"/>
    <col min="2567" max="2567" width="3.140625" style="97" customWidth="1"/>
    <col min="2568" max="2568" width="3.7109375" style="97" customWidth="1"/>
    <col min="2569" max="2569" width="18.28125" style="97" customWidth="1"/>
    <col min="2570" max="2570" width="11.7109375" style="97" customWidth="1"/>
    <col min="2571" max="2571" width="13.00390625" style="97" customWidth="1"/>
    <col min="2572" max="2572" width="11.140625" style="97" customWidth="1"/>
    <col min="2573" max="2815" width="9.140625" style="97" customWidth="1"/>
    <col min="2816" max="2816" width="45.8515625" style="97" customWidth="1"/>
    <col min="2817" max="2817" width="10.8515625" style="97" customWidth="1"/>
    <col min="2818" max="2819" width="10.421875" style="97" customWidth="1"/>
    <col min="2820" max="2821" width="11.7109375" style="97" customWidth="1"/>
    <col min="2822" max="2822" width="9.140625" style="97" customWidth="1"/>
    <col min="2823" max="2823" width="3.140625" style="97" customWidth="1"/>
    <col min="2824" max="2824" width="3.7109375" style="97" customWidth="1"/>
    <col min="2825" max="2825" width="18.28125" style="97" customWidth="1"/>
    <col min="2826" max="2826" width="11.7109375" style="97" customWidth="1"/>
    <col min="2827" max="2827" width="13.00390625" style="97" customWidth="1"/>
    <col min="2828" max="2828" width="11.140625" style="97" customWidth="1"/>
    <col min="2829" max="3071" width="9.140625" style="97" customWidth="1"/>
    <col min="3072" max="3072" width="45.8515625" style="97" customWidth="1"/>
    <col min="3073" max="3073" width="10.8515625" style="97" customWidth="1"/>
    <col min="3074" max="3075" width="10.421875" style="97" customWidth="1"/>
    <col min="3076" max="3077" width="11.7109375" style="97" customWidth="1"/>
    <col min="3078" max="3078" width="9.140625" style="97" customWidth="1"/>
    <col min="3079" max="3079" width="3.140625" style="97" customWidth="1"/>
    <col min="3080" max="3080" width="3.7109375" style="97" customWidth="1"/>
    <col min="3081" max="3081" width="18.28125" style="97" customWidth="1"/>
    <col min="3082" max="3082" width="11.7109375" style="97" customWidth="1"/>
    <col min="3083" max="3083" width="13.00390625" style="97" customWidth="1"/>
    <col min="3084" max="3084" width="11.140625" style="97" customWidth="1"/>
    <col min="3085" max="3327" width="9.140625" style="97" customWidth="1"/>
    <col min="3328" max="3328" width="45.8515625" style="97" customWidth="1"/>
    <col min="3329" max="3329" width="10.8515625" style="97" customWidth="1"/>
    <col min="3330" max="3331" width="10.421875" style="97" customWidth="1"/>
    <col min="3332" max="3333" width="11.7109375" style="97" customWidth="1"/>
    <col min="3334" max="3334" width="9.140625" style="97" customWidth="1"/>
    <col min="3335" max="3335" width="3.140625" style="97" customWidth="1"/>
    <col min="3336" max="3336" width="3.7109375" style="97" customWidth="1"/>
    <col min="3337" max="3337" width="18.28125" style="97" customWidth="1"/>
    <col min="3338" max="3338" width="11.7109375" style="97" customWidth="1"/>
    <col min="3339" max="3339" width="13.00390625" style="97" customWidth="1"/>
    <col min="3340" max="3340" width="11.140625" style="97" customWidth="1"/>
    <col min="3341" max="3583" width="9.140625" style="97" customWidth="1"/>
    <col min="3584" max="3584" width="45.8515625" style="97" customWidth="1"/>
    <col min="3585" max="3585" width="10.8515625" style="97" customWidth="1"/>
    <col min="3586" max="3587" width="10.421875" style="97" customWidth="1"/>
    <col min="3588" max="3589" width="11.7109375" style="97" customWidth="1"/>
    <col min="3590" max="3590" width="9.140625" style="97" customWidth="1"/>
    <col min="3591" max="3591" width="3.140625" style="97" customWidth="1"/>
    <col min="3592" max="3592" width="3.7109375" style="97" customWidth="1"/>
    <col min="3593" max="3593" width="18.28125" style="97" customWidth="1"/>
    <col min="3594" max="3594" width="11.7109375" style="97" customWidth="1"/>
    <col min="3595" max="3595" width="13.00390625" style="97" customWidth="1"/>
    <col min="3596" max="3596" width="11.140625" style="97" customWidth="1"/>
    <col min="3597" max="3839" width="9.140625" style="97" customWidth="1"/>
    <col min="3840" max="3840" width="45.8515625" style="97" customWidth="1"/>
    <col min="3841" max="3841" width="10.8515625" style="97" customWidth="1"/>
    <col min="3842" max="3843" width="10.421875" style="97" customWidth="1"/>
    <col min="3844" max="3845" width="11.7109375" style="97" customWidth="1"/>
    <col min="3846" max="3846" width="9.140625" style="97" customWidth="1"/>
    <col min="3847" max="3847" width="3.140625" style="97" customWidth="1"/>
    <col min="3848" max="3848" width="3.7109375" style="97" customWidth="1"/>
    <col min="3849" max="3849" width="18.28125" style="97" customWidth="1"/>
    <col min="3850" max="3850" width="11.7109375" style="97" customWidth="1"/>
    <col min="3851" max="3851" width="13.00390625" style="97" customWidth="1"/>
    <col min="3852" max="3852" width="11.140625" style="97" customWidth="1"/>
    <col min="3853" max="4095" width="9.140625" style="97" customWidth="1"/>
    <col min="4096" max="4096" width="45.8515625" style="97" customWidth="1"/>
    <col min="4097" max="4097" width="10.8515625" style="97" customWidth="1"/>
    <col min="4098" max="4099" width="10.421875" style="97" customWidth="1"/>
    <col min="4100" max="4101" width="11.7109375" style="97" customWidth="1"/>
    <col min="4102" max="4102" width="9.140625" style="97" customWidth="1"/>
    <col min="4103" max="4103" width="3.140625" style="97" customWidth="1"/>
    <col min="4104" max="4104" width="3.7109375" style="97" customWidth="1"/>
    <col min="4105" max="4105" width="18.28125" style="97" customWidth="1"/>
    <col min="4106" max="4106" width="11.7109375" style="97" customWidth="1"/>
    <col min="4107" max="4107" width="13.00390625" style="97" customWidth="1"/>
    <col min="4108" max="4108" width="11.140625" style="97" customWidth="1"/>
    <col min="4109" max="4351" width="9.140625" style="97" customWidth="1"/>
    <col min="4352" max="4352" width="45.8515625" style="97" customWidth="1"/>
    <col min="4353" max="4353" width="10.8515625" style="97" customWidth="1"/>
    <col min="4354" max="4355" width="10.421875" style="97" customWidth="1"/>
    <col min="4356" max="4357" width="11.7109375" style="97" customWidth="1"/>
    <col min="4358" max="4358" width="9.140625" style="97" customWidth="1"/>
    <col min="4359" max="4359" width="3.140625" style="97" customWidth="1"/>
    <col min="4360" max="4360" width="3.7109375" style="97" customWidth="1"/>
    <col min="4361" max="4361" width="18.28125" style="97" customWidth="1"/>
    <col min="4362" max="4362" width="11.7109375" style="97" customWidth="1"/>
    <col min="4363" max="4363" width="13.00390625" style="97" customWidth="1"/>
    <col min="4364" max="4364" width="11.140625" style="97" customWidth="1"/>
    <col min="4365" max="4607" width="9.140625" style="97" customWidth="1"/>
    <col min="4608" max="4608" width="45.8515625" style="97" customWidth="1"/>
    <col min="4609" max="4609" width="10.8515625" style="97" customWidth="1"/>
    <col min="4610" max="4611" width="10.421875" style="97" customWidth="1"/>
    <col min="4612" max="4613" width="11.7109375" style="97" customWidth="1"/>
    <col min="4614" max="4614" width="9.140625" style="97" customWidth="1"/>
    <col min="4615" max="4615" width="3.140625" style="97" customWidth="1"/>
    <col min="4616" max="4616" width="3.7109375" style="97" customWidth="1"/>
    <col min="4617" max="4617" width="18.28125" style="97" customWidth="1"/>
    <col min="4618" max="4618" width="11.7109375" style="97" customWidth="1"/>
    <col min="4619" max="4619" width="13.00390625" style="97" customWidth="1"/>
    <col min="4620" max="4620" width="11.140625" style="97" customWidth="1"/>
    <col min="4621" max="4863" width="9.140625" style="97" customWidth="1"/>
    <col min="4864" max="4864" width="45.8515625" style="97" customWidth="1"/>
    <col min="4865" max="4865" width="10.8515625" style="97" customWidth="1"/>
    <col min="4866" max="4867" width="10.421875" style="97" customWidth="1"/>
    <col min="4868" max="4869" width="11.7109375" style="97" customWidth="1"/>
    <col min="4870" max="4870" width="9.140625" style="97" customWidth="1"/>
    <col min="4871" max="4871" width="3.140625" style="97" customWidth="1"/>
    <col min="4872" max="4872" width="3.7109375" style="97" customWidth="1"/>
    <col min="4873" max="4873" width="18.28125" style="97" customWidth="1"/>
    <col min="4874" max="4874" width="11.7109375" style="97" customWidth="1"/>
    <col min="4875" max="4875" width="13.00390625" style="97" customWidth="1"/>
    <col min="4876" max="4876" width="11.140625" style="97" customWidth="1"/>
    <col min="4877" max="5119" width="9.140625" style="97" customWidth="1"/>
    <col min="5120" max="5120" width="45.8515625" style="97" customWidth="1"/>
    <col min="5121" max="5121" width="10.8515625" style="97" customWidth="1"/>
    <col min="5122" max="5123" width="10.421875" style="97" customWidth="1"/>
    <col min="5124" max="5125" width="11.7109375" style="97" customWidth="1"/>
    <col min="5126" max="5126" width="9.140625" style="97" customWidth="1"/>
    <col min="5127" max="5127" width="3.140625" style="97" customWidth="1"/>
    <col min="5128" max="5128" width="3.7109375" style="97" customWidth="1"/>
    <col min="5129" max="5129" width="18.28125" style="97" customWidth="1"/>
    <col min="5130" max="5130" width="11.7109375" style="97" customWidth="1"/>
    <col min="5131" max="5131" width="13.00390625" style="97" customWidth="1"/>
    <col min="5132" max="5132" width="11.140625" style="97" customWidth="1"/>
    <col min="5133" max="5375" width="9.140625" style="97" customWidth="1"/>
    <col min="5376" max="5376" width="45.8515625" style="97" customWidth="1"/>
    <col min="5377" max="5377" width="10.8515625" style="97" customWidth="1"/>
    <col min="5378" max="5379" width="10.421875" style="97" customWidth="1"/>
    <col min="5380" max="5381" width="11.7109375" style="97" customWidth="1"/>
    <col min="5382" max="5382" width="9.140625" style="97" customWidth="1"/>
    <col min="5383" max="5383" width="3.140625" style="97" customWidth="1"/>
    <col min="5384" max="5384" width="3.7109375" style="97" customWidth="1"/>
    <col min="5385" max="5385" width="18.28125" style="97" customWidth="1"/>
    <col min="5386" max="5386" width="11.7109375" style="97" customWidth="1"/>
    <col min="5387" max="5387" width="13.00390625" style="97" customWidth="1"/>
    <col min="5388" max="5388" width="11.140625" style="97" customWidth="1"/>
    <col min="5389" max="5631" width="9.140625" style="97" customWidth="1"/>
    <col min="5632" max="5632" width="45.8515625" style="97" customWidth="1"/>
    <col min="5633" max="5633" width="10.8515625" style="97" customWidth="1"/>
    <col min="5634" max="5635" width="10.421875" style="97" customWidth="1"/>
    <col min="5636" max="5637" width="11.7109375" style="97" customWidth="1"/>
    <col min="5638" max="5638" width="9.140625" style="97" customWidth="1"/>
    <col min="5639" max="5639" width="3.140625" style="97" customWidth="1"/>
    <col min="5640" max="5640" width="3.7109375" style="97" customWidth="1"/>
    <col min="5641" max="5641" width="18.28125" style="97" customWidth="1"/>
    <col min="5642" max="5642" width="11.7109375" style="97" customWidth="1"/>
    <col min="5643" max="5643" width="13.00390625" style="97" customWidth="1"/>
    <col min="5644" max="5644" width="11.140625" style="97" customWidth="1"/>
    <col min="5645" max="5887" width="9.140625" style="97" customWidth="1"/>
    <col min="5888" max="5888" width="45.8515625" style="97" customWidth="1"/>
    <col min="5889" max="5889" width="10.8515625" style="97" customWidth="1"/>
    <col min="5890" max="5891" width="10.421875" style="97" customWidth="1"/>
    <col min="5892" max="5893" width="11.7109375" style="97" customWidth="1"/>
    <col min="5894" max="5894" width="9.140625" style="97" customWidth="1"/>
    <col min="5895" max="5895" width="3.140625" style="97" customWidth="1"/>
    <col min="5896" max="5896" width="3.7109375" style="97" customWidth="1"/>
    <col min="5897" max="5897" width="18.28125" style="97" customWidth="1"/>
    <col min="5898" max="5898" width="11.7109375" style="97" customWidth="1"/>
    <col min="5899" max="5899" width="13.00390625" style="97" customWidth="1"/>
    <col min="5900" max="5900" width="11.140625" style="97" customWidth="1"/>
    <col min="5901" max="6143" width="9.140625" style="97" customWidth="1"/>
    <col min="6144" max="6144" width="45.8515625" style="97" customWidth="1"/>
    <col min="6145" max="6145" width="10.8515625" style="97" customWidth="1"/>
    <col min="6146" max="6147" width="10.421875" style="97" customWidth="1"/>
    <col min="6148" max="6149" width="11.7109375" style="97" customWidth="1"/>
    <col min="6150" max="6150" width="9.140625" style="97" customWidth="1"/>
    <col min="6151" max="6151" width="3.140625" style="97" customWidth="1"/>
    <col min="6152" max="6152" width="3.7109375" style="97" customWidth="1"/>
    <col min="6153" max="6153" width="18.28125" style="97" customWidth="1"/>
    <col min="6154" max="6154" width="11.7109375" style="97" customWidth="1"/>
    <col min="6155" max="6155" width="13.00390625" style="97" customWidth="1"/>
    <col min="6156" max="6156" width="11.140625" style="97" customWidth="1"/>
    <col min="6157" max="6399" width="9.140625" style="97" customWidth="1"/>
    <col min="6400" max="6400" width="45.8515625" style="97" customWidth="1"/>
    <col min="6401" max="6401" width="10.8515625" style="97" customWidth="1"/>
    <col min="6402" max="6403" width="10.421875" style="97" customWidth="1"/>
    <col min="6404" max="6405" width="11.7109375" style="97" customWidth="1"/>
    <col min="6406" max="6406" width="9.140625" style="97" customWidth="1"/>
    <col min="6407" max="6407" width="3.140625" style="97" customWidth="1"/>
    <col min="6408" max="6408" width="3.7109375" style="97" customWidth="1"/>
    <col min="6409" max="6409" width="18.28125" style="97" customWidth="1"/>
    <col min="6410" max="6410" width="11.7109375" style="97" customWidth="1"/>
    <col min="6411" max="6411" width="13.00390625" style="97" customWidth="1"/>
    <col min="6412" max="6412" width="11.140625" style="97" customWidth="1"/>
    <col min="6413" max="6655" width="9.140625" style="97" customWidth="1"/>
    <col min="6656" max="6656" width="45.8515625" style="97" customWidth="1"/>
    <col min="6657" max="6657" width="10.8515625" style="97" customWidth="1"/>
    <col min="6658" max="6659" width="10.421875" style="97" customWidth="1"/>
    <col min="6660" max="6661" width="11.7109375" style="97" customWidth="1"/>
    <col min="6662" max="6662" width="9.140625" style="97" customWidth="1"/>
    <col min="6663" max="6663" width="3.140625" style="97" customWidth="1"/>
    <col min="6664" max="6664" width="3.7109375" style="97" customWidth="1"/>
    <col min="6665" max="6665" width="18.28125" style="97" customWidth="1"/>
    <col min="6666" max="6666" width="11.7109375" style="97" customWidth="1"/>
    <col min="6667" max="6667" width="13.00390625" style="97" customWidth="1"/>
    <col min="6668" max="6668" width="11.140625" style="97" customWidth="1"/>
    <col min="6669" max="6911" width="9.140625" style="97" customWidth="1"/>
    <col min="6912" max="6912" width="45.8515625" style="97" customWidth="1"/>
    <col min="6913" max="6913" width="10.8515625" style="97" customWidth="1"/>
    <col min="6914" max="6915" width="10.421875" style="97" customWidth="1"/>
    <col min="6916" max="6917" width="11.7109375" style="97" customWidth="1"/>
    <col min="6918" max="6918" width="9.140625" style="97" customWidth="1"/>
    <col min="6919" max="6919" width="3.140625" style="97" customWidth="1"/>
    <col min="6920" max="6920" width="3.7109375" style="97" customWidth="1"/>
    <col min="6921" max="6921" width="18.28125" style="97" customWidth="1"/>
    <col min="6922" max="6922" width="11.7109375" style="97" customWidth="1"/>
    <col min="6923" max="6923" width="13.00390625" style="97" customWidth="1"/>
    <col min="6924" max="6924" width="11.140625" style="97" customWidth="1"/>
    <col min="6925" max="7167" width="9.140625" style="97" customWidth="1"/>
    <col min="7168" max="7168" width="45.8515625" style="97" customWidth="1"/>
    <col min="7169" max="7169" width="10.8515625" style="97" customWidth="1"/>
    <col min="7170" max="7171" width="10.421875" style="97" customWidth="1"/>
    <col min="7172" max="7173" width="11.7109375" style="97" customWidth="1"/>
    <col min="7174" max="7174" width="9.140625" style="97" customWidth="1"/>
    <col min="7175" max="7175" width="3.140625" style="97" customWidth="1"/>
    <col min="7176" max="7176" width="3.7109375" style="97" customWidth="1"/>
    <col min="7177" max="7177" width="18.28125" style="97" customWidth="1"/>
    <col min="7178" max="7178" width="11.7109375" style="97" customWidth="1"/>
    <col min="7179" max="7179" width="13.00390625" style="97" customWidth="1"/>
    <col min="7180" max="7180" width="11.140625" style="97" customWidth="1"/>
    <col min="7181" max="7423" width="9.140625" style="97" customWidth="1"/>
    <col min="7424" max="7424" width="45.8515625" style="97" customWidth="1"/>
    <col min="7425" max="7425" width="10.8515625" style="97" customWidth="1"/>
    <col min="7426" max="7427" width="10.421875" style="97" customWidth="1"/>
    <col min="7428" max="7429" width="11.7109375" style="97" customWidth="1"/>
    <col min="7430" max="7430" width="9.140625" style="97" customWidth="1"/>
    <col min="7431" max="7431" width="3.140625" style="97" customWidth="1"/>
    <col min="7432" max="7432" width="3.7109375" style="97" customWidth="1"/>
    <col min="7433" max="7433" width="18.28125" style="97" customWidth="1"/>
    <col min="7434" max="7434" width="11.7109375" style="97" customWidth="1"/>
    <col min="7435" max="7435" width="13.00390625" style="97" customWidth="1"/>
    <col min="7436" max="7436" width="11.140625" style="97" customWidth="1"/>
    <col min="7437" max="7679" width="9.140625" style="97" customWidth="1"/>
    <col min="7680" max="7680" width="45.8515625" style="97" customWidth="1"/>
    <col min="7681" max="7681" width="10.8515625" style="97" customWidth="1"/>
    <col min="7682" max="7683" width="10.421875" style="97" customWidth="1"/>
    <col min="7684" max="7685" width="11.7109375" style="97" customWidth="1"/>
    <col min="7686" max="7686" width="9.140625" style="97" customWidth="1"/>
    <col min="7687" max="7687" width="3.140625" style="97" customWidth="1"/>
    <col min="7688" max="7688" width="3.7109375" style="97" customWidth="1"/>
    <col min="7689" max="7689" width="18.28125" style="97" customWidth="1"/>
    <col min="7690" max="7690" width="11.7109375" style="97" customWidth="1"/>
    <col min="7691" max="7691" width="13.00390625" style="97" customWidth="1"/>
    <col min="7692" max="7692" width="11.140625" style="97" customWidth="1"/>
    <col min="7693" max="7935" width="9.140625" style="97" customWidth="1"/>
    <col min="7936" max="7936" width="45.8515625" style="97" customWidth="1"/>
    <col min="7937" max="7937" width="10.8515625" style="97" customWidth="1"/>
    <col min="7938" max="7939" width="10.421875" style="97" customWidth="1"/>
    <col min="7940" max="7941" width="11.7109375" style="97" customWidth="1"/>
    <col min="7942" max="7942" width="9.140625" style="97" customWidth="1"/>
    <col min="7943" max="7943" width="3.140625" style="97" customWidth="1"/>
    <col min="7944" max="7944" width="3.7109375" style="97" customWidth="1"/>
    <col min="7945" max="7945" width="18.28125" style="97" customWidth="1"/>
    <col min="7946" max="7946" width="11.7109375" style="97" customWidth="1"/>
    <col min="7947" max="7947" width="13.00390625" style="97" customWidth="1"/>
    <col min="7948" max="7948" width="11.140625" style="97" customWidth="1"/>
    <col min="7949" max="8191" width="9.140625" style="97" customWidth="1"/>
    <col min="8192" max="8192" width="45.8515625" style="97" customWidth="1"/>
    <col min="8193" max="8193" width="10.8515625" style="97" customWidth="1"/>
    <col min="8194" max="8195" width="10.421875" style="97" customWidth="1"/>
    <col min="8196" max="8197" width="11.7109375" style="97" customWidth="1"/>
    <col min="8198" max="8198" width="9.140625" style="97" customWidth="1"/>
    <col min="8199" max="8199" width="3.140625" style="97" customWidth="1"/>
    <col min="8200" max="8200" width="3.7109375" style="97" customWidth="1"/>
    <col min="8201" max="8201" width="18.28125" style="97" customWidth="1"/>
    <col min="8202" max="8202" width="11.7109375" style="97" customWidth="1"/>
    <col min="8203" max="8203" width="13.00390625" style="97" customWidth="1"/>
    <col min="8204" max="8204" width="11.140625" style="97" customWidth="1"/>
    <col min="8205" max="8447" width="9.140625" style="97" customWidth="1"/>
    <col min="8448" max="8448" width="45.8515625" style="97" customWidth="1"/>
    <col min="8449" max="8449" width="10.8515625" style="97" customWidth="1"/>
    <col min="8450" max="8451" width="10.421875" style="97" customWidth="1"/>
    <col min="8452" max="8453" width="11.7109375" style="97" customWidth="1"/>
    <col min="8454" max="8454" width="9.140625" style="97" customWidth="1"/>
    <col min="8455" max="8455" width="3.140625" style="97" customWidth="1"/>
    <col min="8456" max="8456" width="3.7109375" style="97" customWidth="1"/>
    <col min="8457" max="8457" width="18.28125" style="97" customWidth="1"/>
    <col min="8458" max="8458" width="11.7109375" style="97" customWidth="1"/>
    <col min="8459" max="8459" width="13.00390625" style="97" customWidth="1"/>
    <col min="8460" max="8460" width="11.140625" style="97" customWidth="1"/>
    <col min="8461" max="8703" width="9.140625" style="97" customWidth="1"/>
    <col min="8704" max="8704" width="45.8515625" style="97" customWidth="1"/>
    <col min="8705" max="8705" width="10.8515625" style="97" customWidth="1"/>
    <col min="8706" max="8707" width="10.421875" style="97" customWidth="1"/>
    <col min="8708" max="8709" width="11.7109375" style="97" customWidth="1"/>
    <col min="8710" max="8710" width="9.140625" style="97" customWidth="1"/>
    <col min="8711" max="8711" width="3.140625" style="97" customWidth="1"/>
    <col min="8712" max="8712" width="3.7109375" style="97" customWidth="1"/>
    <col min="8713" max="8713" width="18.28125" style="97" customWidth="1"/>
    <col min="8714" max="8714" width="11.7109375" style="97" customWidth="1"/>
    <col min="8715" max="8715" width="13.00390625" style="97" customWidth="1"/>
    <col min="8716" max="8716" width="11.140625" style="97" customWidth="1"/>
    <col min="8717" max="8959" width="9.140625" style="97" customWidth="1"/>
    <col min="8960" max="8960" width="45.8515625" style="97" customWidth="1"/>
    <col min="8961" max="8961" width="10.8515625" style="97" customWidth="1"/>
    <col min="8962" max="8963" width="10.421875" style="97" customWidth="1"/>
    <col min="8964" max="8965" width="11.7109375" style="97" customWidth="1"/>
    <col min="8966" max="8966" width="9.140625" style="97" customWidth="1"/>
    <col min="8967" max="8967" width="3.140625" style="97" customWidth="1"/>
    <col min="8968" max="8968" width="3.7109375" style="97" customWidth="1"/>
    <col min="8969" max="8969" width="18.28125" style="97" customWidth="1"/>
    <col min="8970" max="8970" width="11.7109375" style="97" customWidth="1"/>
    <col min="8971" max="8971" width="13.00390625" style="97" customWidth="1"/>
    <col min="8972" max="8972" width="11.140625" style="97" customWidth="1"/>
    <col min="8973" max="9215" width="9.140625" style="97" customWidth="1"/>
    <col min="9216" max="9216" width="45.8515625" style="97" customWidth="1"/>
    <col min="9217" max="9217" width="10.8515625" style="97" customWidth="1"/>
    <col min="9218" max="9219" width="10.421875" style="97" customWidth="1"/>
    <col min="9220" max="9221" width="11.7109375" style="97" customWidth="1"/>
    <col min="9222" max="9222" width="9.140625" style="97" customWidth="1"/>
    <col min="9223" max="9223" width="3.140625" style="97" customWidth="1"/>
    <col min="9224" max="9224" width="3.7109375" style="97" customWidth="1"/>
    <col min="9225" max="9225" width="18.28125" style="97" customWidth="1"/>
    <col min="9226" max="9226" width="11.7109375" style="97" customWidth="1"/>
    <col min="9227" max="9227" width="13.00390625" style="97" customWidth="1"/>
    <col min="9228" max="9228" width="11.140625" style="97" customWidth="1"/>
    <col min="9229" max="9471" width="9.140625" style="97" customWidth="1"/>
    <col min="9472" max="9472" width="45.8515625" style="97" customWidth="1"/>
    <col min="9473" max="9473" width="10.8515625" style="97" customWidth="1"/>
    <col min="9474" max="9475" width="10.421875" style="97" customWidth="1"/>
    <col min="9476" max="9477" width="11.7109375" style="97" customWidth="1"/>
    <col min="9478" max="9478" width="9.140625" style="97" customWidth="1"/>
    <col min="9479" max="9479" width="3.140625" style="97" customWidth="1"/>
    <col min="9480" max="9480" width="3.7109375" style="97" customWidth="1"/>
    <col min="9481" max="9481" width="18.28125" style="97" customWidth="1"/>
    <col min="9482" max="9482" width="11.7109375" style="97" customWidth="1"/>
    <col min="9483" max="9483" width="13.00390625" style="97" customWidth="1"/>
    <col min="9484" max="9484" width="11.140625" style="97" customWidth="1"/>
    <col min="9485" max="9727" width="9.140625" style="97" customWidth="1"/>
    <col min="9728" max="9728" width="45.8515625" style="97" customWidth="1"/>
    <col min="9729" max="9729" width="10.8515625" style="97" customWidth="1"/>
    <col min="9730" max="9731" width="10.421875" style="97" customWidth="1"/>
    <col min="9732" max="9733" width="11.7109375" style="97" customWidth="1"/>
    <col min="9734" max="9734" width="9.140625" style="97" customWidth="1"/>
    <col min="9735" max="9735" width="3.140625" style="97" customWidth="1"/>
    <col min="9736" max="9736" width="3.7109375" style="97" customWidth="1"/>
    <col min="9737" max="9737" width="18.28125" style="97" customWidth="1"/>
    <col min="9738" max="9738" width="11.7109375" style="97" customWidth="1"/>
    <col min="9739" max="9739" width="13.00390625" style="97" customWidth="1"/>
    <col min="9740" max="9740" width="11.140625" style="97" customWidth="1"/>
    <col min="9741" max="9983" width="9.140625" style="97" customWidth="1"/>
    <col min="9984" max="9984" width="45.8515625" style="97" customWidth="1"/>
    <col min="9985" max="9985" width="10.8515625" style="97" customWidth="1"/>
    <col min="9986" max="9987" width="10.421875" style="97" customWidth="1"/>
    <col min="9988" max="9989" width="11.7109375" style="97" customWidth="1"/>
    <col min="9990" max="9990" width="9.140625" style="97" customWidth="1"/>
    <col min="9991" max="9991" width="3.140625" style="97" customWidth="1"/>
    <col min="9992" max="9992" width="3.7109375" style="97" customWidth="1"/>
    <col min="9993" max="9993" width="18.28125" style="97" customWidth="1"/>
    <col min="9994" max="9994" width="11.7109375" style="97" customWidth="1"/>
    <col min="9995" max="9995" width="13.00390625" style="97" customWidth="1"/>
    <col min="9996" max="9996" width="11.140625" style="97" customWidth="1"/>
    <col min="9997" max="10239" width="9.140625" style="97" customWidth="1"/>
    <col min="10240" max="10240" width="45.8515625" style="97" customWidth="1"/>
    <col min="10241" max="10241" width="10.8515625" style="97" customWidth="1"/>
    <col min="10242" max="10243" width="10.421875" style="97" customWidth="1"/>
    <col min="10244" max="10245" width="11.7109375" style="97" customWidth="1"/>
    <col min="10246" max="10246" width="9.140625" style="97" customWidth="1"/>
    <col min="10247" max="10247" width="3.140625" style="97" customWidth="1"/>
    <col min="10248" max="10248" width="3.7109375" style="97" customWidth="1"/>
    <col min="10249" max="10249" width="18.28125" style="97" customWidth="1"/>
    <col min="10250" max="10250" width="11.7109375" style="97" customWidth="1"/>
    <col min="10251" max="10251" width="13.00390625" style="97" customWidth="1"/>
    <col min="10252" max="10252" width="11.140625" style="97" customWidth="1"/>
    <col min="10253" max="10495" width="9.140625" style="97" customWidth="1"/>
    <col min="10496" max="10496" width="45.8515625" style="97" customWidth="1"/>
    <col min="10497" max="10497" width="10.8515625" style="97" customWidth="1"/>
    <col min="10498" max="10499" width="10.421875" style="97" customWidth="1"/>
    <col min="10500" max="10501" width="11.7109375" style="97" customWidth="1"/>
    <col min="10502" max="10502" width="9.140625" style="97" customWidth="1"/>
    <col min="10503" max="10503" width="3.140625" style="97" customWidth="1"/>
    <col min="10504" max="10504" width="3.7109375" style="97" customWidth="1"/>
    <col min="10505" max="10505" width="18.28125" style="97" customWidth="1"/>
    <col min="10506" max="10506" width="11.7109375" style="97" customWidth="1"/>
    <col min="10507" max="10507" width="13.00390625" style="97" customWidth="1"/>
    <col min="10508" max="10508" width="11.140625" style="97" customWidth="1"/>
    <col min="10509" max="10751" width="9.140625" style="97" customWidth="1"/>
    <col min="10752" max="10752" width="45.8515625" style="97" customWidth="1"/>
    <col min="10753" max="10753" width="10.8515625" style="97" customWidth="1"/>
    <col min="10754" max="10755" width="10.421875" style="97" customWidth="1"/>
    <col min="10756" max="10757" width="11.7109375" style="97" customWidth="1"/>
    <col min="10758" max="10758" width="9.140625" style="97" customWidth="1"/>
    <col min="10759" max="10759" width="3.140625" style="97" customWidth="1"/>
    <col min="10760" max="10760" width="3.7109375" style="97" customWidth="1"/>
    <col min="10761" max="10761" width="18.28125" style="97" customWidth="1"/>
    <col min="10762" max="10762" width="11.7109375" style="97" customWidth="1"/>
    <col min="10763" max="10763" width="13.00390625" style="97" customWidth="1"/>
    <col min="10764" max="10764" width="11.140625" style="97" customWidth="1"/>
    <col min="10765" max="11007" width="9.140625" style="97" customWidth="1"/>
    <col min="11008" max="11008" width="45.8515625" style="97" customWidth="1"/>
    <col min="11009" max="11009" width="10.8515625" style="97" customWidth="1"/>
    <col min="11010" max="11011" width="10.421875" style="97" customWidth="1"/>
    <col min="11012" max="11013" width="11.7109375" style="97" customWidth="1"/>
    <col min="11014" max="11014" width="9.140625" style="97" customWidth="1"/>
    <col min="11015" max="11015" width="3.140625" style="97" customWidth="1"/>
    <col min="11016" max="11016" width="3.7109375" style="97" customWidth="1"/>
    <col min="11017" max="11017" width="18.28125" style="97" customWidth="1"/>
    <col min="11018" max="11018" width="11.7109375" style="97" customWidth="1"/>
    <col min="11019" max="11019" width="13.00390625" style="97" customWidth="1"/>
    <col min="11020" max="11020" width="11.140625" style="97" customWidth="1"/>
    <col min="11021" max="11263" width="9.140625" style="97" customWidth="1"/>
    <col min="11264" max="11264" width="45.8515625" style="97" customWidth="1"/>
    <col min="11265" max="11265" width="10.8515625" style="97" customWidth="1"/>
    <col min="11266" max="11267" width="10.421875" style="97" customWidth="1"/>
    <col min="11268" max="11269" width="11.7109375" style="97" customWidth="1"/>
    <col min="11270" max="11270" width="9.140625" style="97" customWidth="1"/>
    <col min="11271" max="11271" width="3.140625" style="97" customWidth="1"/>
    <col min="11272" max="11272" width="3.7109375" style="97" customWidth="1"/>
    <col min="11273" max="11273" width="18.28125" style="97" customWidth="1"/>
    <col min="11274" max="11274" width="11.7109375" style="97" customWidth="1"/>
    <col min="11275" max="11275" width="13.00390625" style="97" customWidth="1"/>
    <col min="11276" max="11276" width="11.140625" style="97" customWidth="1"/>
    <col min="11277" max="11519" width="9.140625" style="97" customWidth="1"/>
    <col min="11520" max="11520" width="45.8515625" style="97" customWidth="1"/>
    <col min="11521" max="11521" width="10.8515625" style="97" customWidth="1"/>
    <col min="11522" max="11523" width="10.421875" style="97" customWidth="1"/>
    <col min="11524" max="11525" width="11.7109375" style="97" customWidth="1"/>
    <col min="11526" max="11526" width="9.140625" style="97" customWidth="1"/>
    <col min="11527" max="11527" width="3.140625" style="97" customWidth="1"/>
    <col min="11528" max="11528" width="3.7109375" style="97" customWidth="1"/>
    <col min="11529" max="11529" width="18.28125" style="97" customWidth="1"/>
    <col min="11530" max="11530" width="11.7109375" style="97" customWidth="1"/>
    <col min="11531" max="11531" width="13.00390625" style="97" customWidth="1"/>
    <col min="11532" max="11532" width="11.140625" style="97" customWidth="1"/>
    <col min="11533" max="11775" width="9.140625" style="97" customWidth="1"/>
    <col min="11776" max="11776" width="45.8515625" style="97" customWidth="1"/>
    <col min="11777" max="11777" width="10.8515625" style="97" customWidth="1"/>
    <col min="11778" max="11779" width="10.421875" style="97" customWidth="1"/>
    <col min="11780" max="11781" width="11.7109375" style="97" customWidth="1"/>
    <col min="11782" max="11782" width="9.140625" style="97" customWidth="1"/>
    <col min="11783" max="11783" width="3.140625" style="97" customWidth="1"/>
    <col min="11784" max="11784" width="3.7109375" style="97" customWidth="1"/>
    <col min="11785" max="11785" width="18.28125" style="97" customWidth="1"/>
    <col min="11786" max="11786" width="11.7109375" style="97" customWidth="1"/>
    <col min="11787" max="11787" width="13.00390625" style="97" customWidth="1"/>
    <col min="11788" max="11788" width="11.140625" style="97" customWidth="1"/>
    <col min="11789" max="12031" width="9.140625" style="97" customWidth="1"/>
    <col min="12032" max="12032" width="45.8515625" style="97" customWidth="1"/>
    <col min="12033" max="12033" width="10.8515625" style="97" customWidth="1"/>
    <col min="12034" max="12035" width="10.421875" style="97" customWidth="1"/>
    <col min="12036" max="12037" width="11.7109375" style="97" customWidth="1"/>
    <col min="12038" max="12038" width="9.140625" style="97" customWidth="1"/>
    <col min="12039" max="12039" width="3.140625" style="97" customWidth="1"/>
    <col min="12040" max="12040" width="3.7109375" style="97" customWidth="1"/>
    <col min="12041" max="12041" width="18.28125" style="97" customWidth="1"/>
    <col min="12042" max="12042" width="11.7109375" style="97" customWidth="1"/>
    <col min="12043" max="12043" width="13.00390625" style="97" customWidth="1"/>
    <col min="12044" max="12044" width="11.140625" style="97" customWidth="1"/>
    <col min="12045" max="12287" width="9.140625" style="97" customWidth="1"/>
    <col min="12288" max="12288" width="45.8515625" style="97" customWidth="1"/>
    <col min="12289" max="12289" width="10.8515625" style="97" customWidth="1"/>
    <col min="12290" max="12291" width="10.421875" style="97" customWidth="1"/>
    <col min="12292" max="12293" width="11.7109375" style="97" customWidth="1"/>
    <col min="12294" max="12294" width="9.140625" style="97" customWidth="1"/>
    <col min="12295" max="12295" width="3.140625" style="97" customWidth="1"/>
    <col min="12296" max="12296" width="3.7109375" style="97" customWidth="1"/>
    <col min="12297" max="12297" width="18.28125" style="97" customWidth="1"/>
    <col min="12298" max="12298" width="11.7109375" style="97" customWidth="1"/>
    <col min="12299" max="12299" width="13.00390625" style="97" customWidth="1"/>
    <col min="12300" max="12300" width="11.140625" style="97" customWidth="1"/>
    <col min="12301" max="12543" width="9.140625" style="97" customWidth="1"/>
    <col min="12544" max="12544" width="45.8515625" style="97" customWidth="1"/>
    <col min="12545" max="12545" width="10.8515625" style="97" customWidth="1"/>
    <col min="12546" max="12547" width="10.421875" style="97" customWidth="1"/>
    <col min="12548" max="12549" width="11.7109375" style="97" customWidth="1"/>
    <col min="12550" max="12550" width="9.140625" style="97" customWidth="1"/>
    <col min="12551" max="12551" width="3.140625" style="97" customWidth="1"/>
    <col min="12552" max="12552" width="3.7109375" style="97" customWidth="1"/>
    <col min="12553" max="12553" width="18.28125" style="97" customWidth="1"/>
    <col min="12554" max="12554" width="11.7109375" style="97" customWidth="1"/>
    <col min="12555" max="12555" width="13.00390625" style="97" customWidth="1"/>
    <col min="12556" max="12556" width="11.140625" style="97" customWidth="1"/>
    <col min="12557" max="12799" width="9.140625" style="97" customWidth="1"/>
    <col min="12800" max="12800" width="45.8515625" style="97" customWidth="1"/>
    <col min="12801" max="12801" width="10.8515625" style="97" customWidth="1"/>
    <col min="12802" max="12803" width="10.421875" style="97" customWidth="1"/>
    <col min="12804" max="12805" width="11.7109375" style="97" customWidth="1"/>
    <col min="12806" max="12806" width="9.140625" style="97" customWidth="1"/>
    <col min="12807" max="12807" width="3.140625" style="97" customWidth="1"/>
    <col min="12808" max="12808" width="3.7109375" style="97" customWidth="1"/>
    <col min="12809" max="12809" width="18.28125" style="97" customWidth="1"/>
    <col min="12810" max="12810" width="11.7109375" style="97" customWidth="1"/>
    <col min="12811" max="12811" width="13.00390625" style="97" customWidth="1"/>
    <col min="12812" max="12812" width="11.140625" style="97" customWidth="1"/>
    <col min="12813" max="13055" width="9.140625" style="97" customWidth="1"/>
    <col min="13056" max="13056" width="45.8515625" style="97" customWidth="1"/>
    <col min="13057" max="13057" width="10.8515625" style="97" customWidth="1"/>
    <col min="13058" max="13059" width="10.421875" style="97" customWidth="1"/>
    <col min="13060" max="13061" width="11.7109375" style="97" customWidth="1"/>
    <col min="13062" max="13062" width="9.140625" style="97" customWidth="1"/>
    <col min="13063" max="13063" width="3.140625" style="97" customWidth="1"/>
    <col min="13064" max="13064" width="3.7109375" style="97" customWidth="1"/>
    <col min="13065" max="13065" width="18.28125" style="97" customWidth="1"/>
    <col min="13066" max="13066" width="11.7109375" style="97" customWidth="1"/>
    <col min="13067" max="13067" width="13.00390625" style="97" customWidth="1"/>
    <col min="13068" max="13068" width="11.140625" style="97" customWidth="1"/>
    <col min="13069" max="13311" width="9.140625" style="97" customWidth="1"/>
    <col min="13312" max="13312" width="45.8515625" style="97" customWidth="1"/>
    <col min="13313" max="13313" width="10.8515625" style="97" customWidth="1"/>
    <col min="13314" max="13315" width="10.421875" style="97" customWidth="1"/>
    <col min="13316" max="13317" width="11.7109375" style="97" customWidth="1"/>
    <col min="13318" max="13318" width="9.140625" style="97" customWidth="1"/>
    <col min="13319" max="13319" width="3.140625" style="97" customWidth="1"/>
    <col min="13320" max="13320" width="3.7109375" style="97" customWidth="1"/>
    <col min="13321" max="13321" width="18.28125" style="97" customWidth="1"/>
    <col min="13322" max="13322" width="11.7109375" style="97" customWidth="1"/>
    <col min="13323" max="13323" width="13.00390625" style="97" customWidth="1"/>
    <col min="13324" max="13324" width="11.140625" style="97" customWidth="1"/>
    <col min="13325" max="13567" width="9.140625" style="97" customWidth="1"/>
    <col min="13568" max="13568" width="45.8515625" style="97" customWidth="1"/>
    <col min="13569" max="13569" width="10.8515625" style="97" customWidth="1"/>
    <col min="13570" max="13571" width="10.421875" style="97" customWidth="1"/>
    <col min="13572" max="13573" width="11.7109375" style="97" customWidth="1"/>
    <col min="13574" max="13574" width="9.140625" style="97" customWidth="1"/>
    <col min="13575" max="13575" width="3.140625" style="97" customWidth="1"/>
    <col min="13576" max="13576" width="3.7109375" style="97" customWidth="1"/>
    <col min="13577" max="13577" width="18.28125" style="97" customWidth="1"/>
    <col min="13578" max="13578" width="11.7109375" style="97" customWidth="1"/>
    <col min="13579" max="13579" width="13.00390625" style="97" customWidth="1"/>
    <col min="13580" max="13580" width="11.140625" style="97" customWidth="1"/>
    <col min="13581" max="13823" width="9.140625" style="97" customWidth="1"/>
    <col min="13824" max="13824" width="45.8515625" style="97" customWidth="1"/>
    <col min="13825" max="13825" width="10.8515625" style="97" customWidth="1"/>
    <col min="13826" max="13827" width="10.421875" style="97" customWidth="1"/>
    <col min="13828" max="13829" width="11.7109375" style="97" customWidth="1"/>
    <col min="13830" max="13830" width="9.140625" style="97" customWidth="1"/>
    <col min="13831" max="13831" width="3.140625" style="97" customWidth="1"/>
    <col min="13832" max="13832" width="3.7109375" style="97" customWidth="1"/>
    <col min="13833" max="13833" width="18.28125" style="97" customWidth="1"/>
    <col min="13834" max="13834" width="11.7109375" style="97" customWidth="1"/>
    <col min="13835" max="13835" width="13.00390625" style="97" customWidth="1"/>
    <col min="13836" max="13836" width="11.140625" style="97" customWidth="1"/>
    <col min="13837" max="14079" width="9.140625" style="97" customWidth="1"/>
    <col min="14080" max="14080" width="45.8515625" style="97" customWidth="1"/>
    <col min="14081" max="14081" width="10.8515625" style="97" customWidth="1"/>
    <col min="14082" max="14083" width="10.421875" style="97" customWidth="1"/>
    <col min="14084" max="14085" width="11.7109375" style="97" customWidth="1"/>
    <col min="14086" max="14086" width="9.140625" style="97" customWidth="1"/>
    <col min="14087" max="14087" width="3.140625" style="97" customWidth="1"/>
    <col min="14088" max="14088" width="3.7109375" style="97" customWidth="1"/>
    <col min="14089" max="14089" width="18.28125" style="97" customWidth="1"/>
    <col min="14090" max="14090" width="11.7109375" style="97" customWidth="1"/>
    <col min="14091" max="14091" width="13.00390625" style="97" customWidth="1"/>
    <col min="14092" max="14092" width="11.140625" style="97" customWidth="1"/>
    <col min="14093" max="14335" width="9.140625" style="97" customWidth="1"/>
    <col min="14336" max="14336" width="45.8515625" style="97" customWidth="1"/>
    <col min="14337" max="14337" width="10.8515625" style="97" customWidth="1"/>
    <col min="14338" max="14339" width="10.421875" style="97" customWidth="1"/>
    <col min="14340" max="14341" width="11.7109375" style="97" customWidth="1"/>
    <col min="14342" max="14342" width="9.140625" style="97" customWidth="1"/>
    <col min="14343" max="14343" width="3.140625" style="97" customWidth="1"/>
    <col min="14344" max="14344" width="3.7109375" style="97" customWidth="1"/>
    <col min="14345" max="14345" width="18.28125" style="97" customWidth="1"/>
    <col min="14346" max="14346" width="11.7109375" style="97" customWidth="1"/>
    <col min="14347" max="14347" width="13.00390625" style="97" customWidth="1"/>
    <col min="14348" max="14348" width="11.140625" style="97" customWidth="1"/>
    <col min="14349" max="14591" width="9.140625" style="97" customWidth="1"/>
    <col min="14592" max="14592" width="45.8515625" style="97" customWidth="1"/>
    <col min="14593" max="14593" width="10.8515625" style="97" customWidth="1"/>
    <col min="14594" max="14595" width="10.421875" style="97" customWidth="1"/>
    <col min="14596" max="14597" width="11.7109375" style="97" customWidth="1"/>
    <col min="14598" max="14598" width="9.140625" style="97" customWidth="1"/>
    <col min="14599" max="14599" width="3.140625" style="97" customWidth="1"/>
    <col min="14600" max="14600" width="3.7109375" style="97" customWidth="1"/>
    <col min="14601" max="14601" width="18.28125" style="97" customWidth="1"/>
    <col min="14602" max="14602" width="11.7109375" style="97" customWidth="1"/>
    <col min="14603" max="14603" width="13.00390625" style="97" customWidth="1"/>
    <col min="14604" max="14604" width="11.140625" style="97" customWidth="1"/>
    <col min="14605" max="14847" width="9.140625" style="97" customWidth="1"/>
    <col min="14848" max="14848" width="45.8515625" style="97" customWidth="1"/>
    <col min="14849" max="14849" width="10.8515625" style="97" customWidth="1"/>
    <col min="14850" max="14851" width="10.421875" style="97" customWidth="1"/>
    <col min="14852" max="14853" width="11.7109375" style="97" customWidth="1"/>
    <col min="14854" max="14854" width="9.140625" style="97" customWidth="1"/>
    <col min="14855" max="14855" width="3.140625" style="97" customWidth="1"/>
    <col min="14856" max="14856" width="3.7109375" style="97" customWidth="1"/>
    <col min="14857" max="14857" width="18.28125" style="97" customWidth="1"/>
    <col min="14858" max="14858" width="11.7109375" style="97" customWidth="1"/>
    <col min="14859" max="14859" width="13.00390625" style="97" customWidth="1"/>
    <col min="14860" max="14860" width="11.140625" style="97" customWidth="1"/>
    <col min="14861" max="15103" width="9.140625" style="97" customWidth="1"/>
    <col min="15104" max="15104" width="45.8515625" style="97" customWidth="1"/>
    <col min="15105" max="15105" width="10.8515625" style="97" customWidth="1"/>
    <col min="15106" max="15107" width="10.421875" style="97" customWidth="1"/>
    <col min="15108" max="15109" width="11.7109375" style="97" customWidth="1"/>
    <col min="15110" max="15110" width="9.140625" style="97" customWidth="1"/>
    <col min="15111" max="15111" width="3.140625" style="97" customWidth="1"/>
    <col min="15112" max="15112" width="3.7109375" style="97" customWidth="1"/>
    <col min="15113" max="15113" width="18.28125" style="97" customWidth="1"/>
    <col min="15114" max="15114" width="11.7109375" style="97" customWidth="1"/>
    <col min="15115" max="15115" width="13.00390625" style="97" customWidth="1"/>
    <col min="15116" max="15116" width="11.140625" style="97" customWidth="1"/>
    <col min="15117" max="15359" width="9.140625" style="97" customWidth="1"/>
    <col min="15360" max="15360" width="45.8515625" style="97" customWidth="1"/>
    <col min="15361" max="15361" width="10.8515625" style="97" customWidth="1"/>
    <col min="15362" max="15363" width="10.421875" style="97" customWidth="1"/>
    <col min="15364" max="15365" width="11.7109375" style="97" customWidth="1"/>
    <col min="15366" max="15366" width="9.140625" style="97" customWidth="1"/>
    <col min="15367" max="15367" width="3.140625" style="97" customWidth="1"/>
    <col min="15368" max="15368" width="3.7109375" style="97" customWidth="1"/>
    <col min="15369" max="15369" width="18.28125" style="97" customWidth="1"/>
    <col min="15370" max="15370" width="11.7109375" style="97" customWidth="1"/>
    <col min="15371" max="15371" width="13.00390625" style="97" customWidth="1"/>
    <col min="15372" max="15372" width="11.140625" style="97" customWidth="1"/>
    <col min="15373" max="15615" width="9.140625" style="97" customWidth="1"/>
    <col min="15616" max="15616" width="45.8515625" style="97" customWidth="1"/>
    <col min="15617" max="15617" width="10.8515625" style="97" customWidth="1"/>
    <col min="15618" max="15619" width="10.421875" style="97" customWidth="1"/>
    <col min="15620" max="15621" width="11.7109375" style="97" customWidth="1"/>
    <col min="15622" max="15622" width="9.140625" style="97" customWidth="1"/>
    <col min="15623" max="15623" width="3.140625" style="97" customWidth="1"/>
    <col min="15624" max="15624" width="3.7109375" style="97" customWidth="1"/>
    <col min="15625" max="15625" width="18.28125" style="97" customWidth="1"/>
    <col min="15626" max="15626" width="11.7109375" style="97" customWidth="1"/>
    <col min="15627" max="15627" width="13.00390625" style="97" customWidth="1"/>
    <col min="15628" max="15628" width="11.140625" style="97" customWidth="1"/>
    <col min="15629" max="15871" width="9.140625" style="97" customWidth="1"/>
    <col min="15872" max="15872" width="45.8515625" style="97" customWidth="1"/>
    <col min="15873" max="15873" width="10.8515625" style="97" customWidth="1"/>
    <col min="15874" max="15875" width="10.421875" style="97" customWidth="1"/>
    <col min="15876" max="15877" width="11.7109375" style="97" customWidth="1"/>
    <col min="15878" max="15878" width="9.140625" style="97" customWidth="1"/>
    <col min="15879" max="15879" width="3.140625" style="97" customWidth="1"/>
    <col min="15880" max="15880" width="3.7109375" style="97" customWidth="1"/>
    <col min="15881" max="15881" width="18.28125" style="97" customWidth="1"/>
    <col min="15882" max="15882" width="11.7109375" style="97" customWidth="1"/>
    <col min="15883" max="15883" width="13.00390625" style="97" customWidth="1"/>
    <col min="15884" max="15884" width="11.140625" style="97" customWidth="1"/>
    <col min="15885" max="16127" width="9.140625" style="97" customWidth="1"/>
    <col min="16128" max="16128" width="45.8515625" style="97" customWidth="1"/>
    <col min="16129" max="16129" width="10.8515625" style="97" customWidth="1"/>
    <col min="16130" max="16131" width="10.421875" style="97" customWidth="1"/>
    <col min="16132" max="16133" width="11.7109375" style="97" customWidth="1"/>
    <col min="16134" max="16134" width="9.140625" style="97" customWidth="1"/>
    <col min="16135" max="16135" width="3.140625" style="97" customWidth="1"/>
    <col min="16136" max="16136" width="3.7109375" style="97" customWidth="1"/>
    <col min="16137" max="16137" width="18.28125" style="97" customWidth="1"/>
    <col min="16138" max="16138" width="11.7109375" style="97" customWidth="1"/>
    <col min="16139" max="16139" width="13.00390625" style="97" customWidth="1"/>
    <col min="16140" max="16140" width="11.140625" style="97" customWidth="1"/>
    <col min="16141" max="16384" width="9.140625" style="97" customWidth="1"/>
  </cols>
  <sheetData>
    <row r="1" spans="1:12" ht="12.75">
      <c r="A1" s="436" t="s">
        <v>278</v>
      </c>
      <c r="B1" s="436"/>
      <c r="D1" s="437"/>
      <c r="L1" s="438"/>
    </row>
    <row r="2" spans="1:3" ht="12.75">
      <c r="A2" s="439" t="s">
        <v>279</v>
      </c>
      <c r="B2" s="439"/>
      <c r="C2" s="440"/>
    </row>
    <row r="3" spans="1:3" ht="12.75">
      <c r="A3" s="440" t="s">
        <v>155</v>
      </c>
      <c r="B3" s="440"/>
      <c r="C3" s="440"/>
    </row>
    <row r="4" spans="5:6" ht="12.75">
      <c r="E4" s="441" t="s">
        <v>280</v>
      </c>
      <c r="F4" s="442">
        <v>2024</v>
      </c>
    </row>
    <row r="5" ht="12.75">
      <c r="B5" s="440"/>
    </row>
    <row r="6" spans="2:7" ht="12.75">
      <c r="B6" s="443" t="s">
        <v>156</v>
      </c>
      <c r="C6" s="443" t="s">
        <v>157</v>
      </c>
      <c r="D6" s="443" t="s">
        <v>158</v>
      </c>
      <c r="E6" s="443" t="s">
        <v>159</v>
      </c>
      <c r="F6" s="443" t="s">
        <v>160</v>
      </c>
      <c r="G6" s="443"/>
    </row>
    <row r="7" spans="2:7" ht="12.75">
      <c r="B7" s="444" t="s">
        <v>281</v>
      </c>
      <c r="C7" s="443" t="s">
        <v>282</v>
      </c>
      <c r="D7" s="443" t="s">
        <v>282</v>
      </c>
      <c r="E7" s="443" t="s">
        <v>283</v>
      </c>
      <c r="F7" s="443" t="s">
        <v>284</v>
      </c>
      <c r="G7" s="443"/>
    </row>
    <row r="8" spans="2:7" ht="12.75">
      <c r="B8" s="444" t="s">
        <v>285</v>
      </c>
      <c r="C8" s="443" t="s">
        <v>259</v>
      </c>
      <c r="D8" s="443" t="s">
        <v>286</v>
      </c>
      <c r="E8" s="443" t="s">
        <v>287</v>
      </c>
      <c r="F8" s="443" t="s">
        <v>288</v>
      </c>
      <c r="G8" s="443"/>
    </row>
    <row r="9" spans="1:7" ht="12.75">
      <c r="A9" s="445" t="s">
        <v>289</v>
      </c>
      <c r="G9" s="440"/>
    </row>
    <row r="10" spans="9:13" ht="12.75">
      <c r="I10" s="446"/>
      <c r="M10" s="444" t="s">
        <v>147</v>
      </c>
    </row>
    <row r="11" spans="1:13" ht="12.75">
      <c r="A11" s="445" t="s">
        <v>290</v>
      </c>
      <c r="I11" s="447" t="s">
        <v>280</v>
      </c>
      <c r="J11" s="448">
        <f>F4</f>
        <v>2024</v>
      </c>
      <c r="K11" s="444" t="s">
        <v>291</v>
      </c>
      <c r="L11" s="444" t="s">
        <v>292</v>
      </c>
      <c r="M11" s="444" t="s">
        <v>293</v>
      </c>
    </row>
    <row r="12" spans="1:13" ht="12.75">
      <c r="A12" s="445" t="s">
        <v>294</v>
      </c>
      <c r="C12" s="97">
        <f>K15</f>
        <v>18935.075140471068</v>
      </c>
      <c r="D12" s="97">
        <f>K17+K19</f>
        <v>228258.78690287287</v>
      </c>
      <c r="E12" s="97">
        <f>+Depreciation!E6+Depreciation!E7+Depreciation!E12</f>
        <v>157020.74681737297</v>
      </c>
      <c r="F12" s="97">
        <f>SUM(C12:E12)</f>
        <v>404214.6088607169</v>
      </c>
      <c r="H12" s="449">
        <v>1</v>
      </c>
      <c r="I12" s="97" t="s">
        <v>295</v>
      </c>
      <c r="J12" s="450"/>
      <c r="K12" s="98">
        <f>+'equivalent annual costs'!F5</f>
        <v>406655.4151636089</v>
      </c>
      <c r="L12" s="97">
        <f>+'equivalent annual costs'!F10</f>
        <v>99586.50010717599</v>
      </c>
      <c r="M12" s="98">
        <f>SUM(K12:L12)</f>
        <v>506241.91527078487</v>
      </c>
    </row>
    <row r="13" spans="1:13" ht="12.75">
      <c r="A13" s="445" t="s">
        <v>296</v>
      </c>
      <c r="B13" s="97">
        <v>257758.37544933334</v>
      </c>
      <c r="C13" s="97">
        <f>L15-C30-C33</f>
        <v>3846</v>
      </c>
      <c r="D13" s="97">
        <f>L17+L19-D30-D33</f>
        <v>46371</v>
      </c>
      <c r="E13" s="97">
        <f>+Depreciation!E13</f>
        <v>36802.315790666675</v>
      </c>
      <c r="F13" s="97">
        <f>SUM(C13:E13)</f>
        <v>87019.31579066667</v>
      </c>
      <c r="H13" s="97">
        <v>2</v>
      </c>
      <c r="J13" s="97" t="s">
        <v>297</v>
      </c>
      <c r="K13" s="172">
        <f>K12/M12</f>
        <v>0.8032827841726462</v>
      </c>
      <c r="L13" s="172">
        <f>L12/M12</f>
        <v>0.1967172158273539</v>
      </c>
      <c r="M13" s="451">
        <v>1</v>
      </c>
    </row>
    <row r="14" spans="1:13" ht="12.75">
      <c r="A14" s="445" t="s">
        <v>298</v>
      </c>
      <c r="E14" s="97">
        <v>0</v>
      </c>
      <c r="F14" s="97">
        <f aca="true" t="shared" si="0" ref="F14:F19">SUM(C14:E14)</f>
        <v>0</v>
      </c>
      <c r="G14" s="452"/>
      <c r="J14" s="5"/>
      <c r="K14" s="5"/>
      <c r="M14" s="5"/>
    </row>
    <row r="15" spans="1:29" ht="12.75">
      <c r="A15" s="445" t="s">
        <v>299</v>
      </c>
      <c r="E15" s="97">
        <v>0</v>
      </c>
      <c r="F15" s="97">
        <f t="shared" si="0"/>
        <v>0</v>
      </c>
      <c r="G15" s="453"/>
      <c r="H15" s="97">
        <v>3</v>
      </c>
      <c r="I15" s="97" t="s">
        <v>300</v>
      </c>
      <c r="J15" s="5"/>
      <c r="K15" s="24">
        <f>M15-L15</f>
        <v>18935.075140471068</v>
      </c>
      <c r="L15" s="97">
        <f>ROUND(M15*L13,0)</f>
        <v>4637</v>
      </c>
      <c r="M15" s="182">
        <f>SUM('cost table'!D83:D86,'cost table'!D92,'cost table'!D96,'cost table'!D97,'cost table'!D98)</f>
        <v>23572.075140471068</v>
      </c>
      <c r="N15" s="24"/>
      <c r="Y15" s="24"/>
      <c r="Z15" s="24"/>
      <c r="AA15" s="24"/>
      <c r="AB15" s="24"/>
      <c r="AC15" s="24"/>
    </row>
    <row r="16" spans="1:13" ht="12.75">
      <c r="A16" s="445" t="s">
        <v>301</v>
      </c>
      <c r="E16" s="97">
        <v>0</v>
      </c>
      <c r="F16" s="97">
        <f t="shared" si="0"/>
        <v>0</v>
      </c>
      <c r="G16" s="452"/>
      <c r="J16" s="5"/>
      <c r="K16" s="5"/>
      <c r="M16" s="5"/>
    </row>
    <row r="17" spans="1:29" ht="12.75">
      <c r="A17" s="97" t="s">
        <v>302</v>
      </c>
      <c r="E17" s="97">
        <v>0</v>
      </c>
      <c r="F17" s="97">
        <f t="shared" si="0"/>
        <v>0</v>
      </c>
      <c r="G17" s="452"/>
      <c r="H17" s="97">
        <v>4</v>
      </c>
      <c r="I17" s="241" t="s">
        <v>379</v>
      </c>
      <c r="J17" s="5"/>
      <c r="K17" s="24">
        <f>M17-L17</f>
        <v>124635.78690287287</v>
      </c>
      <c r="L17" s="97">
        <f>ROUND(M17*$L$13,0)</f>
        <v>30522</v>
      </c>
      <c r="M17" s="24">
        <f>+'Income Statement Cash Flows'!E44</f>
        <v>155157.78690287287</v>
      </c>
      <c r="N17" s="24"/>
      <c r="Y17" s="24"/>
      <c r="Z17" s="24"/>
      <c r="AA17" s="24"/>
      <c r="AB17" s="24"/>
      <c r="AC17" s="24"/>
    </row>
    <row r="18" spans="1:13" ht="12.75">
      <c r="A18" s="445" t="s">
        <v>304</v>
      </c>
      <c r="E18" s="97">
        <v>0</v>
      </c>
      <c r="F18" s="97">
        <f t="shared" si="0"/>
        <v>0</v>
      </c>
      <c r="G18" s="452"/>
      <c r="J18" s="5"/>
      <c r="K18" s="24"/>
      <c r="M18" s="24"/>
    </row>
    <row r="19" spans="1:13" ht="12.75">
      <c r="A19" s="445" t="s">
        <v>305</v>
      </c>
      <c r="E19" s="97">
        <v>0</v>
      </c>
      <c r="F19" s="97">
        <f t="shared" si="0"/>
        <v>0</v>
      </c>
      <c r="G19" s="454"/>
      <c r="H19" s="97">
        <v>5</v>
      </c>
      <c r="I19" s="241" t="s">
        <v>649</v>
      </c>
      <c r="J19" s="5"/>
      <c r="K19" s="24">
        <f>M19-L19</f>
        <v>103623</v>
      </c>
      <c r="L19" s="97">
        <f>ROUND(M19*$L$13,0)</f>
        <v>25377</v>
      </c>
      <c r="M19" s="18">
        <f>+'Modeling results'!B31</f>
        <v>129000</v>
      </c>
    </row>
    <row r="20" spans="1:13" ht="12.75">
      <c r="A20" s="445" t="s">
        <v>306</v>
      </c>
      <c r="B20" s="97">
        <f>SUM(B12:B19)</f>
        <v>257758.37544933334</v>
      </c>
      <c r="C20" s="97">
        <f>SUM(C12:C19)</f>
        <v>22781.075140471068</v>
      </c>
      <c r="D20" s="97">
        <f>SUM(D12:D19)</f>
        <v>274629.78690287285</v>
      </c>
      <c r="E20" s="97">
        <f>SUM(E12:E19)</f>
        <v>193823.06260803965</v>
      </c>
      <c r="F20" s="97">
        <f>SUM(F12:F19)</f>
        <v>491233.9246513836</v>
      </c>
      <c r="G20" s="454"/>
      <c r="K20" s="5"/>
      <c r="M20" s="5"/>
    </row>
    <row r="21" spans="10:14" ht="12.75">
      <c r="J21" s="5"/>
      <c r="K21" s="5"/>
      <c r="L21" s="5"/>
      <c r="M21" s="5"/>
      <c r="N21" s="5"/>
    </row>
    <row r="22" spans="1:14" ht="12.75">
      <c r="A22" s="445" t="s">
        <v>307</v>
      </c>
      <c r="I22" s="241" t="s">
        <v>650</v>
      </c>
      <c r="J22" s="5"/>
      <c r="K22" s="5"/>
      <c r="L22" s="5"/>
      <c r="M22" s="103">
        <f>+M17/(M17+M19)</f>
        <v>0.5460268697683337</v>
      </c>
      <c r="N22" s="5"/>
    </row>
    <row r="23" spans="1:13" ht="12.75">
      <c r="A23" s="445" t="s">
        <v>308</v>
      </c>
      <c r="E23" s="97">
        <v>0</v>
      </c>
      <c r="F23" s="97">
        <f>SUM(C23:E23)</f>
        <v>0</v>
      </c>
      <c r="G23" s="455"/>
      <c r="J23" s="5"/>
      <c r="K23" s="5"/>
      <c r="M23" s="5"/>
    </row>
    <row r="24" spans="1:13" ht="12.75">
      <c r="A24" s="445" t="s">
        <v>309</v>
      </c>
      <c r="E24" s="97">
        <v>0</v>
      </c>
      <c r="F24" s="97">
        <f>SUM(C24:E24)</f>
        <v>0</v>
      </c>
      <c r="G24" s="455"/>
      <c r="J24" s="5"/>
      <c r="K24" s="5"/>
      <c r="M24" s="5"/>
    </row>
    <row r="25" spans="1:13" ht="12.75">
      <c r="A25" s="445" t="s">
        <v>310</v>
      </c>
      <c r="E25" s="97">
        <v>0</v>
      </c>
      <c r="F25" s="97">
        <f>SUM(C25:E25)</f>
        <v>0</v>
      </c>
      <c r="J25" s="5"/>
      <c r="K25" s="5"/>
      <c r="M25" s="5"/>
    </row>
    <row r="26" spans="1:13" ht="12.75">
      <c r="A26" s="445" t="s">
        <v>311</v>
      </c>
      <c r="E26" s="97">
        <v>0</v>
      </c>
      <c r="F26" s="97">
        <f>F23+F24+F25</f>
        <v>0</v>
      </c>
      <c r="J26" s="5"/>
      <c r="K26" s="5"/>
      <c r="M26" s="5"/>
    </row>
    <row r="27" spans="10:14" ht="12.75">
      <c r="J27" s="5"/>
      <c r="K27" s="5"/>
      <c r="L27" s="5"/>
      <c r="M27" s="5"/>
      <c r="N27" s="5"/>
    </row>
    <row r="28" spans="1:14" ht="12.75">
      <c r="A28" s="445" t="s">
        <v>312</v>
      </c>
      <c r="E28" s="97">
        <v>0</v>
      </c>
      <c r="F28" s="97">
        <f>SUM(C28:E28)</f>
        <v>0</v>
      </c>
      <c r="J28" s="5"/>
      <c r="K28" s="5"/>
      <c r="L28" s="5"/>
      <c r="M28" s="5"/>
      <c r="N28" s="5"/>
    </row>
    <row r="29" spans="10:14" ht="12.75">
      <c r="J29" s="5"/>
      <c r="K29" s="5"/>
      <c r="L29" s="5"/>
      <c r="M29" s="5"/>
      <c r="N29" s="5"/>
    </row>
    <row r="30" spans="1:13" ht="12.75">
      <c r="A30" s="445" t="s">
        <v>313</v>
      </c>
      <c r="B30" s="97">
        <v>26059.533060000045</v>
      </c>
      <c r="C30" s="97">
        <f>ROUND($B30/$B$37*$L$15,0)</f>
        <v>389</v>
      </c>
      <c r="D30" s="97">
        <f>ROUND($B30/$B$37*($L$17+$L$19),0)</f>
        <v>4688</v>
      </c>
      <c r="E30" s="97">
        <f>+Depreciation!E9+Depreciation!E10+Depreciation!E11</f>
        <v>22254.913000000004</v>
      </c>
      <c r="F30" s="97">
        <f>SUM(C30:E30)</f>
        <v>27331.913000000004</v>
      </c>
      <c r="K30" s="5"/>
      <c r="M30" s="5"/>
    </row>
    <row r="31" spans="1:14" ht="12.75">
      <c r="A31" s="445"/>
      <c r="J31" s="5"/>
      <c r="K31" s="5"/>
      <c r="L31" s="5"/>
      <c r="M31" s="5"/>
      <c r="N31" s="5"/>
    </row>
    <row r="32" spans="1:14" ht="12.75">
      <c r="A32" s="445" t="s">
        <v>314</v>
      </c>
      <c r="J32" s="5"/>
      <c r="K32" s="5"/>
      <c r="L32" s="5"/>
      <c r="M32" s="5"/>
      <c r="N32" s="5"/>
    </row>
    <row r="33" spans="1:13" ht="12.75">
      <c r="A33" s="445" t="s">
        <v>315</v>
      </c>
      <c r="B33" s="97">
        <v>26905.195550000004</v>
      </c>
      <c r="C33" s="97">
        <f>ROUND($B33/$B$37*$L$15,0)</f>
        <v>402</v>
      </c>
      <c r="D33" s="97">
        <f>ROUND($B33/$B$37*($L$17+$L$19),0)</f>
        <v>4840</v>
      </c>
      <c r="E33" s="97">
        <f>+Depreciation!E5</f>
        <v>2573</v>
      </c>
      <c r="F33" s="97">
        <f>SUM(C33:E33)</f>
        <v>7815</v>
      </c>
      <c r="K33" s="5"/>
      <c r="M33" s="5"/>
    </row>
    <row r="34" spans="1:13" ht="12.75">
      <c r="A34" s="445" t="s">
        <v>316</v>
      </c>
      <c r="F34" s="97">
        <f>SUM(C34:E34)</f>
        <v>0</v>
      </c>
      <c r="J34" s="5"/>
      <c r="K34" s="5"/>
      <c r="M34" s="5"/>
    </row>
    <row r="35" spans="1:13" ht="12.75">
      <c r="A35" s="445" t="s">
        <v>317</v>
      </c>
      <c r="B35" s="97">
        <f>B33+B34</f>
        <v>26905.195550000004</v>
      </c>
      <c r="C35" s="97">
        <f>C33+C34</f>
        <v>402</v>
      </c>
      <c r="D35" s="97">
        <f>D33+D34</f>
        <v>4840</v>
      </c>
      <c r="E35" s="97">
        <f>E33+E34</f>
        <v>2573</v>
      </c>
      <c r="F35" s="97">
        <f>F33+F34</f>
        <v>7815</v>
      </c>
      <c r="K35" s="5"/>
      <c r="M35" s="5"/>
    </row>
    <row r="36" spans="10:14" ht="12.75">
      <c r="J36" s="5"/>
      <c r="K36" s="5"/>
      <c r="L36" s="5"/>
      <c r="M36" s="5"/>
      <c r="N36" s="5"/>
    </row>
    <row r="37" spans="1:13" ht="12.75">
      <c r="A37" s="445" t="s">
        <v>318</v>
      </c>
      <c r="B37" s="97">
        <f>B35+B30+B28+B26+B20</f>
        <v>310723.1040593334</v>
      </c>
      <c r="C37" s="97">
        <f>C35+C30+C28+C26+C20</f>
        <v>23572.075140471068</v>
      </c>
      <c r="D37" s="97">
        <f>D35+D30+D28+D26+D20</f>
        <v>284157.78690287285</v>
      </c>
      <c r="E37" s="97">
        <f>E35+E30+E28+E26+E20</f>
        <v>218650.97560803965</v>
      </c>
      <c r="F37" s="97">
        <f>F35+F30+F28+F26+F20</f>
        <v>526380.8376513836</v>
      </c>
      <c r="K37" s="5"/>
      <c r="M37" s="5"/>
    </row>
    <row r="38" spans="10:14" ht="12.75">
      <c r="J38" s="5"/>
      <c r="K38" s="5"/>
      <c r="L38" s="5"/>
      <c r="M38" s="5"/>
      <c r="N38" s="5"/>
    </row>
    <row r="39" spans="1:14" ht="12.75">
      <c r="A39" s="445" t="s">
        <v>319</v>
      </c>
      <c r="B39" s="5"/>
      <c r="J39" s="5"/>
      <c r="K39" s="5"/>
      <c r="L39" s="5"/>
      <c r="M39" s="5"/>
      <c r="N39" s="5"/>
    </row>
    <row r="40" spans="1:13" ht="12.75">
      <c r="A40" s="97" t="s">
        <v>320</v>
      </c>
      <c r="E40" s="97">
        <v>0</v>
      </c>
      <c r="F40" s="97">
        <f>SUM(C40:E40)</f>
        <v>0</v>
      </c>
      <c r="M40" s="5"/>
    </row>
    <row r="41" spans="1:13" ht="12.75">
      <c r="A41" s="97" t="s">
        <v>321</v>
      </c>
      <c r="E41" s="97">
        <v>0</v>
      </c>
      <c r="F41" s="97">
        <f>SUM(C41:E41)</f>
        <v>0</v>
      </c>
      <c r="M41" s="5"/>
    </row>
    <row r="42" spans="1:13" ht="12.75">
      <c r="A42" s="97" t="s">
        <v>322</v>
      </c>
      <c r="E42" s="97">
        <v>0</v>
      </c>
      <c r="F42" s="97">
        <f>SUM(C42:E42)</f>
        <v>0</v>
      </c>
      <c r="M42" s="5"/>
    </row>
    <row r="43" spans="1:13" ht="12.75">
      <c r="A43" s="97" t="s">
        <v>323</v>
      </c>
      <c r="E43" s="97">
        <v>0</v>
      </c>
      <c r="F43" s="97">
        <f>SUM(F40:F42)</f>
        <v>0</v>
      </c>
      <c r="M43" s="5"/>
    </row>
    <row r="44" spans="10:14" ht="12.75">
      <c r="J44" s="5"/>
      <c r="K44" s="5"/>
      <c r="L44" s="5"/>
      <c r="M44" s="5"/>
      <c r="N44" s="5"/>
    </row>
    <row r="45" spans="1:13" ht="12.75">
      <c r="A45" s="445" t="s">
        <v>324</v>
      </c>
      <c r="C45" s="97">
        <f>C37+C43</f>
        <v>23572.075140471068</v>
      </c>
      <c r="D45" s="97">
        <f>D37+D43</f>
        <v>284157.78690287285</v>
      </c>
      <c r="E45" s="97">
        <f>E37+E43</f>
        <v>218650.97560803965</v>
      </c>
      <c r="F45" s="97">
        <f>F37+F43</f>
        <v>526380.8376513836</v>
      </c>
      <c r="M45" s="5"/>
    </row>
    <row r="46" spans="10:14" ht="12.75">
      <c r="J46" s="5"/>
      <c r="K46" s="5"/>
      <c r="L46" s="5"/>
      <c r="M46" s="5"/>
      <c r="N46" s="5"/>
    </row>
    <row r="47" spans="10:14" ht="12.75">
      <c r="J47" s="5"/>
      <c r="K47" s="5"/>
      <c r="L47" s="5"/>
      <c r="M47" s="5"/>
      <c r="N47" s="5"/>
    </row>
    <row r="48" spans="10:14" ht="12.75">
      <c r="J48" s="5"/>
      <c r="K48" s="5"/>
      <c r="L48" s="5"/>
      <c r="M48" s="5"/>
      <c r="N48" s="5"/>
    </row>
    <row r="49" spans="1:14" ht="12.75">
      <c r="A49" s="456"/>
      <c r="B49" s="456"/>
      <c r="J49" s="5"/>
      <c r="K49" s="5"/>
      <c r="L49" s="5"/>
      <c r="M49" s="5"/>
      <c r="N49" s="5"/>
    </row>
    <row r="50" spans="2:6" ht="12.75">
      <c r="B50" s="456"/>
      <c r="E50" s="441" t="s">
        <v>280</v>
      </c>
      <c r="F50" s="442">
        <f>F4+1</f>
        <v>2025</v>
      </c>
    </row>
    <row r="51" spans="1:2" ht="12.75">
      <c r="A51" s="440"/>
      <c r="B51" s="440"/>
    </row>
    <row r="52" spans="2:6" ht="12.75">
      <c r="B52" s="443" t="s">
        <v>156</v>
      </c>
      <c r="C52" s="443" t="s">
        <v>157</v>
      </c>
      <c r="D52" s="443" t="s">
        <v>158</v>
      </c>
      <c r="E52" s="443" t="s">
        <v>159</v>
      </c>
      <c r="F52" s="443" t="s">
        <v>160</v>
      </c>
    </row>
    <row r="53" spans="2:6" ht="12.75">
      <c r="B53" s="444" t="s">
        <v>281</v>
      </c>
      <c r="C53" s="443" t="s">
        <v>282</v>
      </c>
      <c r="D53" s="443" t="s">
        <v>282</v>
      </c>
      <c r="E53" s="443" t="s">
        <v>283</v>
      </c>
      <c r="F53" s="443" t="s">
        <v>284</v>
      </c>
    </row>
    <row r="54" spans="2:6" ht="12.75">
      <c r="B54" s="444" t="s">
        <v>285</v>
      </c>
      <c r="C54" s="443" t="s">
        <v>259</v>
      </c>
      <c r="D54" s="443" t="s">
        <v>286</v>
      </c>
      <c r="E54" s="443" t="s">
        <v>287</v>
      </c>
      <c r="F54" s="443" t="s">
        <v>288</v>
      </c>
    </row>
    <row r="55" spans="1:7" ht="12.75">
      <c r="A55" s="445" t="s">
        <v>289</v>
      </c>
      <c r="G55" s="440"/>
    </row>
    <row r="56" spans="9:13" ht="12.75">
      <c r="I56" s="446"/>
      <c r="M56" s="444" t="s">
        <v>147</v>
      </c>
    </row>
    <row r="57" spans="1:13" ht="12.75">
      <c r="A57" s="445" t="s">
        <v>290</v>
      </c>
      <c r="I57" s="447" t="s">
        <v>280</v>
      </c>
      <c r="J57" s="448">
        <f>F50</f>
        <v>2025</v>
      </c>
      <c r="K57" s="444" t="s">
        <v>291</v>
      </c>
      <c r="L57" s="444" t="s">
        <v>292</v>
      </c>
      <c r="M57" s="444" t="s">
        <v>293</v>
      </c>
    </row>
    <row r="58" spans="1:13" ht="12.75">
      <c r="A58" s="445" t="s">
        <v>294</v>
      </c>
      <c r="C58" s="97">
        <f>K61</f>
        <v>1843.8479972827918</v>
      </c>
      <c r="D58" s="97">
        <f>K63+K65</f>
        <v>242974.1420355099</v>
      </c>
      <c r="E58" s="97">
        <f>+Depreciation!F6+Depreciation!F7+Depreciation!F12</f>
        <v>160782.74681737297</v>
      </c>
      <c r="F58" s="97">
        <f>SUM(C58:E58)</f>
        <v>405600.73685016565</v>
      </c>
      <c r="H58" s="449">
        <v>1</v>
      </c>
      <c r="I58" s="97" t="s">
        <v>295</v>
      </c>
      <c r="J58" s="450"/>
      <c r="K58" s="98">
        <f>+'equivalent annual costs'!I5</f>
        <v>448567.2488331558</v>
      </c>
      <c r="L58" s="97">
        <f>+'equivalent annual costs'!I10</f>
        <v>76342.97059141965</v>
      </c>
      <c r="M58" s="98">
        <f>SUM(K58:L58)</f>
        <v>524910.2194245755</v>
      </c>
    </row>
    <row r="59" spans="1:13" ht="12" customHeight="1">
      <c r="A59" s="445" t="s">
        <v>296</v>
      </c>
      <c r="B59" s="97">
        <v>260145.72632533335</v>
      </c>
      <c r="C59" s="97">
        <f>L61-C76-C79</f>
        <v>273</v>
      </c>
      <c r="D59" s="97">
        <f>L63+L65-D76-D79</f>
        <v>36000</v>
      </c>
      <c r="E59" s="97">
        <f>+Depreciation!F13</f>
        <v>37612.649124</v>
      </c>
      <c r="F59" s="97">
        <f aca="true" t="shared" si="1" ref="F59:F65">SUM(C59:E59)</f>
        <v>73885.649124</v>
      </c>
      <c r="H59" s="97">
        <v>2</v>
      </c>
      <c r="J59" s="97" t="s">
        <v>297</v>
      </c>
      <c r="K59" s="172">
        <f>K58/M58</f>
        <v>0.8545599461273407</v>
      </c>
      <c r="L59" s="172">
        <f>L58/M58</f>
        <v>0.14544005387265926</v>
      </c>
      <c r="M59" s="451">
        <v>1</v>
      </c>
    </row>
    <row r="60" spans="1:13" ht="12.75">
      <c r="A60" s="445" t="s">
        <v>298</v>
      </c>
      <c r="E60" s="97">
        <v>0</v>
      </c>
      <c r="F60" s="97">
        <f t="shared" si="1"/>
        <v>0</v>
      </c>
      <c r="G60" s="452"/>
      <c r="J60" s="5"/>
      <c r="K60" s="5"/>
      <c r="M60" s="5"/>
    </row>
    <row r="61" spans="1:13" ht="12.75">
      <c r="A61" s="445" t="s">
        <v>299</v>
      </c>
      <c r="E61" s="97">
        <v>0</v>
      </c>
      <c r="F61" s="97">
        <f t="shared" si="1"/>
        <v>0</v>
      </c>
      <c r="G61" s="453"/>
      <c r="H61" s="97">
        <v>3</v>
      </c>
      <c r="I61" s="97" t="s">
        <v>300</v>
      </c>
      <c r="J61" s="5"/>
      <c r="K61" s="24">
        <f>M61-L61</f>
        <v>1843.8479972827918</v>
      </c>
      <c r="L61" s="97">
        <f>ROUND(M61*L59,0)</f>
        <v>314</v>
      </c>
      <c r="M61" s="24">
        <f>+'Income Statement Cash Flows'!F40-SUM('cost table'!E87:E95)-SUM('cost table'!E99:E100)+'cost table'!E92</f>
        <v>2157.8479972827918</v>
      </c>
    </row>
    <row r="62" spans="1:13" ht="12.75">
      <c r="A62" s="445" t="s">
        <v>301</v>
      </c>
      <c r="E62" s="97">
        <v>0</v>
      </c>
      <c r="F62" s="97">
        <f t="shared" si="1"/>
        <v>0</v>
      </c>
      <c r="G62" s="452"/>
      <c r="J62" s="5"/>
      <c r="K62" s="5"/>
      <c r="M62" s="5"/>
    </row>
    <row r="63" spans="1:13" ht="12.75">
      <c r="A63" s="97" t="s">
        <v>302</v>
      </c>
      <c r="E63" s="97">
        <v>0</v>
      </c>
      <c r="F63" s="97">
        <f t="shared" si="1"/>
        <v>0</v>
      </c>
      <c r="G63" s="452"/>
      <c r="H63" s="97">
        <v>4</v>
      </c>
      <c r="I63" s="97" t="s">
        <v>303</v>
      </c>
      <c r="J63" s="5"/>
      <c r="K63" s="24">
        <f>M63-L63</f>
        <v>132736.1420355099</v>
      </c>
      <c r="L63" s="97">
        <f>ROUND(M63*L59,0)</f>
        <v>22591</v>
      </c>
      <c r="M63" s="24">
        <f>+'Income Statement Cash Flows'!F44</f>
        <v>155327.1420355099</v>
      </c>
    </row>
    <row r="64" spans="1:13" ht="12.75">
      <c r="A64" s="445" t="s">
        <v>304</v>
      </c>
      <c r="E64" s="97">
        <v>0</v>
      </c>
      <c r="F64" s="97">
        <f t="shared" si="1"/>
        <v>0</v>
      </c>
      <c r="G64" s="452"/>
      <c r="J64" s="5"/>
      <c r="K64" s="433"/>
      <c r="L64" s="433"/>
      <c r="M64" s="433"/>
    </row>
    <row r="65" spans="1:13" ht="12.75">
      <c r="A65" s="445" t="s">
        <v>305</v>
      </c>
      <c r="E65" s="97">
        <v>0</v>
      </c>
      <c r="F65" s="97">
        <f t="shared" si="1"/>
        <v>0</v>
      </c>
      <c r="G65" s="454"/>
      <c r="H65" s="97">
        <v>5</v>
      </c>
      <c r="I65" s="241" t="s">
        <v>649</v>
      </c>
      <c r="J65" s="5"/>
      <c r="K65" s="433">
        <f>M65-L65</f>
        <v>110238</v>
      </c>
      <c r="L65" s="433">
        <f>ROUND(M65*$L$59,0)</f>
        <v>18762</v>
      </c>
      <c r="M65" s="433">
        <f>+'Modeling results'!C31</f>
        <v>129000</v>
      </c>
    </row>
    <row r="66" spans="1:13" ht="12.75">
      <c r="A66" s="445" t="s">
        <v>306</v>
      </c>
      <c r="B66" s="97">
        <f>SUM(B58:B65)</f>
        <v>260145.72632533335</v>
      </c>
      <c r="C66" s="97">
        <f>SUM(C58:C65)</f>
        <v>2116.8479972827918</v>
      </c>
      <c r="D66" s="97">
        <f>SUM(D58:D65)</f>
        <v>278974.1420355099</v>
      </c>
      <c r="E66" s="97">
        <f>SUM(E58:E65)</f>
        <v>198395.39594137296</v>
      </c>
      <c r="F66" s="97">
        <f>SUM(F58:F65)</f>
        <v>479486.38597416563</v>
      </c>
      <c r="G66" s="454"/>
      <c r="K66" s="5"/>
      <c r="M66" s="5"/>
    </row>
    <row r="67" spans="10:14" ht="12.75">
      <c r="J67" s="5"/>
      <c r="K67" s="5"/>
      <c r="L67" s="5"/>
      <c r="M67" s="5"/>
      <c r="N67" s="5"/>
    </row>
    <row r="68" spans="1:14" ht="12.75">
      <c r="A68" s="445" t="s">
        <v>307</v>
      </c>
      <c r="I68" s="241" t="s">
        <v>650</v>
      </c>
      <c r="J68" s="5"/>
      <c r="K68" s="5"/>
      <c r="L68" s="5"/>
      <c r="M68" s="103">
        <f>+M63/(M63+M65)</f>
        <v>0.5462972719506002</v>
      </c>
      <c r="N68" s="5"/>
    </row>
    <row r="69" spans="1:13" ht="12.75">
      <c r="A69" s="445" t="s">
        <v>308</v>
      </c>
      <c r="E69" s="97">
        <v>0</v>
      </c>
      <c r="F69" s="97">
        <f>SUM(C69:E69)</f>
        <v>0</v>
      </c>
      <c r="G69" s="455"/>
      <c r="J69" s="5"/>
      <c r="K69" s="5"/>
      <c r="M69" s="5"/>
    </row>
    <row r="70" spans="1:13" ht="12.75">
      <c r="A70" s="445" t="s">
        <v>309</v>
      </c>
      <c r="E70" s="97">
        <v>0</v>
      </c>
      <c r="F70" s="97">
        <f>SUM(C70:E70)</f>
        <v>0</v>
      </c>
      <c r="G70" s="455"/>
      <c r="J70" s="5"/>
      <c r="K70" s="5"/>
      <c r="M70" s="5"/>
    </row>
    <row r="71" spans="1:13" ht="12.75">
      <c r="A71" s="445" t="s">
        <v>310</v>
      </c>
      <c r="E71" s="97">
        <v>0</v>
      </c>
      <c r="F71" s="97">
        <f>SUM(C71:E71)</f>
        <v>0</v>
      </c>
      <c r="J71" s="5"/>
      <c r="K71" s="5"/>
      <c r="M71" s="5"/>
    </row>
    <row r="72" spans="1:13" ht="12.75">
      <c r="A72" s="445" t="s">
        <v>311</v>
      </c>
      <c r="E72" s="97">
        <v>0</v>
      </c>
      <c r="F72" s="97">
        <f>F69+F70+F71</f>
        <v>0</v>
      </c>
      <c r="J72" s="5"/>
      <c r="K72" s="5"/>
      <c r="M72" s="5"/>
    </row>
    <row r="73" spans="10:14" ht="12.75">
      <c r="J73" s="5"/>
      <c r="K73" s="5"/>
      <c r="L73" s="5"/>
      <c r="M73" s="5"/>
      <c r="N73" s="5"/>
    </row>
    <row r="74" spans="1:14" ht="12.75">
      <c r="A74" s="445" t="s">
        <v>312</v>
      </c>
      <c r="E74" s="97">
        <v>0</v>
      </c>
      <c r="F74" s="97">
        <f>SUM(C74:E74)</f>
        <v>0</v>
      </c>
      <c r="J74" s="5"/>
      <c r="K74" s="5"/>
      <c r="L74" s="5"/>
      <c r="M74" s="5"/>
      <c r="N74" s="5"/>
    </row>
    <row r="75" spans="10:14" ht="12.75">
      <c r="J75" s="5"/>
      <c r="K75" s="5"/>
      <c r="L75" s="5"/>
      <c r="M75" s="5"/>
      <c r="N75" s="5"/>
    </row>
    <row r="76" spans="1:13" ht="12.75">
      <c r="A76" s="445" t="s">
        <v>313</v>
      </c>
      <c r="B76" s="97">
        <v>9637.427750000032</v>
      </c>
      <c r="C76" s="97">
        <f>ROUND($B76/$B$83*$L$61,0)</f>
        <v>10</v>
      </c>
      <c r="D76" s="97">
        <f>ROUND($B76/$B$83*($L$63+$L$65),0)</f>
        <v>1334</v>
      </c>
      <c r="E76" s="97">
        <f>+Depreciation!F9+Depreciation!F10+Depreciation!F11</f>
        <v>16422.105310000003</v>
      </c>
      <c r="F76" s="97">
        <f>SUM(C76:E76)</f>
        <v>17766.105310000003</v>
      </c>
      <c r="K76" s="5"/>
      <c r="M76" s="5"/>
    </row>
    <row r="77" spans="1:14" ht="12.75">
      <c r="A77" s="445"/>
      <c r="J77" s="5"/>
      <c r="K77" s="5"/>
      <c r="L77" s="5"/>
      <c r="M77" s="5"/>
      <c r="N77" s="5"/>
    </row>
    <row r="78" spans="1:14" ht="12.75">
      <c r="A78" s="445" t="s">
        <v>314</v>
      </c>
      <c r="J78" s="5"/>
      <c r="K78" s="5"/>
      <c r="L78" s="5"/>
      <c r="M78" s="5"/>
      <c r="N78" s="5"/>
    </row>
    <row r="79" spans="1:13" ht="12.75">
      <c r="A79" s="445" t="s">
        <v>315</v>
      </c>
      <c r="B79" s="97">
        <v>29041.195550000004</v>
      </c>
      <c r="C79" s="97">
        <f>ROUND($B79/$B$83*$L$61,0)</f>
        <v>31</v>
      </c>
      <c r="D79" s="97">
        <f>ROUND($B79/$B$83*($L$63+$L$65),0)</f>
        <v>4019</v>
      </c>
      <c r="E79" s="97">
        <f>+Depreciation!F5</f>
        <v>2708</v>
      </c>
      <c r="F79" s="97">
        <f>SUM(C79:E79)</f>
        <v>6758</v>
      </c>
      <c r="K79" s="5"/>
      <c r="M79" s="5"/>
    </row>
    <row r="80" spans="1:13" ht="12.75">
      <c r="A80" s="445" t="s">
        <v>316</v>
      </c>
      <c r="F80" s="97">
        <f>SUM(C80:E80)</f>
        <v>0</v>
      </c>
      <c r="J80" s="5"/>
      <c r="K80" s="5"/>
      <c r="M80" s="5"/>
    </row>
    <row r="81" spans="1:13" ht="12.75">
      <c r="A81" s="445" t="s">
        <v>317</v>
      </c>
      <c r="B81" s="97">
        <f>B79+B80</f>
        <v>29041.195550000004</v>
      </c>
      <c r="C81" s="97">
        <f>C79+C80</f>
        <v>31</v>
      </c>
      <c r="D81" s="97">
        <f>D79+D80</f>
        <v>4019</v>
      </c>
      <c r="E81" s="97">
        <f>E79+E80</f>
        <v>2708</v>
      </c>
      <c r="F81" s="97">
        <f>F79+F80</f>
        <v>6758</v>
      </c>
      <c r="K81" s="5"/>
      <c r="M81" s="5"/>
    </row>
    <row r="82" spans="10:14" ht="12.75">
      <c r="J82" s="5"/>
      <c r="K82" s="5"/>
      <c r="L82" s="5"/>
      <c r="M82" s="5"/>
      <c r="N82" s="5"/>
    </row>
    <row r="83" spans="1:13" ht="12.75">
      <c r="A83" s="445" t="s">
        <v>318</v>
      </c>
      <c r="B83" s="97">
        <f>B81+B76+B74+B72+B66</f>
        <v>298824.3496253334</v>
      </c>
      <c r="C83" s="97">
        <f>C81+C76+C74+C72+C66</f>
        <v>2157.8479972827918</v>
      </c>
      <c r="D83" s="97">
        <f>D81+D76+D74+D72+D66</f>
        <v>284327.1420355099</v>
      </c>
      <c r="E83" s="97">
        <f>E81+E76+E74+E72+E66</f>
        <v>217525.50125137297</v>
      </c>
      <c r="F83" s="97">
        <f>F81+F76+F74+F72+F66</f>
        <v>504010.49128416565</v>
      </c>
      <c r="K83" s="5"/>
      <c r="M83" s="5"/>
    </row>
    <row r="84" spans="10:14" ht="12.75">
      <c r="J84" s="5"/>
      <c r="K84" s="5"/>
      <c r="L84" s="5"/>
      <c r="M84" s="5"/>
      <c r="N84" s="5"/>
    </row>
    <row r="85" spans="1:14" ht="12.75">
      <c r="A85" s="445" t="s">
        <v>319</v>
      </c>
      <c r="B85" s="5"/>
      <c r="J85" s="5"/>
      <c r="K85" s="5"/>
      <c r="L85" s="5"/>
      <c r="M85" s="5"/>
      <c r="N85" s="5"/>
    </row>
    <row r="86" spans="1:13" ht="12.75">
      <c r="A86" s="97" t="s">
        <v>320</v>
      </c>
      <c r="E86" s="97">
        <v>0</v>
      </c>
      <c r="F86" s="97">
        <f>SUM(C86:E86)</f>
        <v>0</v>
      </c>
      <c r="M86" s="5"/>
    </row>
    <row r="87" spans="1:13" ht="12.75">
      <c r="A87" s="97" t="s">
        <v>321</v>
      </c>
      <c r="E87" s="97">
        <v>0</v>
      </c>
      <c r="F87" s="97">
        <f>SUM(C87:E87)</f>
        <v>0</v>
      </c>
      <c r="M87" s="5"/>
    </row>
    <row r="88" spans="1:13" ht="12.75">
      <c r="A88" s="97" t="s">
        <v>322</v>
      </c>
      <c r="E88" s="97">
        <v>0</v>
      </c>
      <c r="F88" s="97">
        <f>SUM(C88:E88)</f>
        <v>0</v>
      </c>
      <c r="M88" s="5"/>
    </row>
    <row r="89" spans="1:13" ht="12.75">
      <c r="A89" s="97" t="s">
        <v>323</v>
      </c>
      <c r="E89" s="97">
        <v>0</v>
      </c>
      <c r="F89" s="97">
        <f>SUM(F86:F88)</f>
        <v>0</v>
      </c>
      <c r="M89" s="5"/>
    </row>
    <row r="90" spans="10:14" ht="12.75">
      <c r="J90" s="5"/>
      <c r="K90" s="5"/>
      <c r="L90" s="5"/>
      <c r="M90" s="5"/>
      <c r="N90" s="5"/>
    </row>
    <row r="91" spans="1:13" ht="12.75">
      <c r="A91" s="445" t="s">
        <v>324</v>
      </c>
      <c r="C91" s="97">
        <f>C89+C83</f>
        <v>2157.8479972827918</v>
      </c>
      <c r="D91" s="97">
        <f>D89+D83</f>
        <v>284327.1420355099</v>
      </c>
      <c r="E91" s="97">
        <f>E89+E83</f>
        <v>217525.50125137297</v>
      </c>
      <c r="F91" s="97">
        <f>F89+F83</f>
        <v>504010.49128416565</v>
      </c>
      <c r="M91" s="5"/>
    </row>
    <row r="92" spans="10:14" ht="12.75">
      <c r="J92" s="5"/>
      <c r="K92" s="5"/>
      <c r="L92" s="5"/>
      <c r="M92" s="5"/>
      <c r="N92" s="5"/>
    </row>
    <row r="93" spans="10:14" ht="12.75">
      <c r="J93" s="5"/>
      <c r="K93" s="5"/>
      <c r="L93" s="5"/>
      <c r="M93" s="5"/>
      <c r="N93" s="5"/>
    </row>
    <row r="94" spans="10:14" ht="12.75">
      <c r="J94" s="5"/>
      <c r="K94" s="5"/>
      <c r="L94" s="5"/>
      <c r="M94" s="5"/>
      <c r="N94" s="5"/>
    </row>
    <row r="95" spans="1:14" ht="12.75">
      <c r="A95" s="456"/>
      <c r="B95" s="456"/>
      <c r="J95" s="5"/>
      <c r="K95" s="5"/>
      <c r="L95" s="5"/>
      <c r="M95" s="5"/>
      <c r="N95" s="5"/>
    </row>
    <row r="96" spans="5:6" ht="12.75">
      <c r="E96" s="441"/>
      <c r="F96" s="442"/>
    </row>
    <row r="97" spans="1:2" ht="12.75">
      <c r="A97" s="440"/>
      <c r="B97" s="440"/>
    </row>
    <row r="98" spans="2:6" ht="12.75">
      <c r="B98" s="443"/>
      <c r="C98" s="443"/>
      <c r="D98" s="443"/>
      <c r="E98" s="443"/>
      <c r="F98" s="443"/>
    </row>
    <row r="99" spans="2:6" ht="12.75">
      <c r="B99" s="444"/>
      <c r="C99" s="443"/>
      <c r="D99" s="443"/>
      <c r="E99" s="443"/>
      <c r="F99" s="443"/>
    </row>
    <row r="100" spans="2:6" ht="12.75">
      <c r="B100" s="444"/>
      <c r="C100" s="443"/>
      <c r="D100" s="443"/>
      <c r="E100" s="443"/>
      <c r="F100" s="443"/>
    </row>
    <row r="101" spans="1:7" ht="12.75">
      <c r="A101" s="445"/>
      <c r="G101" s="440"/>
    </row>
    <row r="102" spans="9:13" ht="12.75">
      <c r="I102" s="446"/>
      <c r="M102" s="444"/>
    </row>
    <row r="103" spans="1:13" ht="12.75">
      <c r="A103" s="445"/>
      <c r="I103" s="447"/>
      <c r="J103" s="448"/>
      <c r="K103" s="444"/>
      <c r="L103" s="444"/>
      <c r="M103" s="444"/>
    </row>
    <row r="104" spans="1:13" ht="12.75">
      <c r="A104" s="445"/>
      <c r="H104" s="449"/>
      <c r="J104" s="450"/>
      <c r="K104" s="98"/>
      <c r="M104" s="98"/>
    </row>
    <row r="105" spans="1:13" ht="12.75">
      <c r="A105" s="445"/>
      <c r="K105" s="172"/>
      <c r="L105" s="172"/>
      <c r="M105" s="451"/>
    </row>
    <row r="106" spans="1:13" ht="12.75">
      <c r="A106" s="445"/>
      <c r="G106" s="452"/>
      <c r="J106" s="5"/>
      <c r="K106" s="5"/>
      <c r="M106" s="5"/>
    </row>
    <row r="107" spans="1:13" ht="12.75">
      <c r="A107" s="445"/>
      <c r="G107" s="453"/>
      <c r="J107" s="5"/>
      <c r="K107" s="24"/>
      <c r="M107" s="24"/>
    </row>
    <row r="108" spans="1:13" ht="12.75">
      <c r="A108" s="445"/>
      <c r="G108" s="452"/>
      <c r="J108" s="5"/>
      <c r="K108" s="5"/>
      <c r="M108" s="5"/>
    </row>
    <row r="109" spans="7:13" ht="12.75">
      <c r="G109" s="452"/>
      <c r="J109" s="5"/>
      <c r="K109" s="24"/>
      <c r="M109" s="24"/>
    </row>
    <row r="110" spans="1:13" ht="12.75">
      <c r="A110" s="445"/>
      <c r="G110" s="452"/>
      <c r="J110" s="5"/>
      <c r="K110" s="433"/>
      <c r="L110" s="433"/>
      <c r="M110" s="24"/>
    </row>
    <row r="111" spans="1:13" ht="12.75">
      <c r="A111" s="445"/>
      <c r="G111" s="454"/>
      <c r="J111" s="5"/>
      <c r="K111" s="433"/>
      <c r="L111" s="433"/>
      <c r="M111" s="5"/>
    </row>
    <row r="112" spans="1:13" ht="12.75">
      <c r="A112" s="445"/>
      <c r="G112" s="454"/>
      <c r="K112" s="5"/>
      <c r="M112" s="5"/>
    </row>
    <row r="113" spans="10:14" ht="12.75">
      <c r="J113" s="5"/>
      <c r="K113" s="5"/>
      <c r="L113" s="5"/>
      <c r="M113" s="5"/>
      <c r="N113" s="5"/>
    </row>
    <row r="114" spans="1:14" ht="12.75">
      <c r="A114" s="445"/>
      <c r="J114" s="5"/>
      <c r="K114" s="5"/>
      <c r="L114" s="5"/>
      <c r="M114" s="5"/>
      <c r="N114" s="5"/>
    </row>
    <row r="115" spans="1:13" ht="12.75">
      <c r="A115" s="445"/>
      <c r="G115" s="455"/>
      <c r="J115" s="5"/>
      <c r="K115" s="5"/>
      <c r="M115" s="5"/>
    </row>
    <row r="116" spans="1:13" ht="12.75">
      <c r="A116" s="445"/>
      <c r="G116" s="455"/>
      <c r="J116" s="5"/>
      <c r="K116" s="5"/>
      <c r="M116" s="5"/>
    </row>
    <row r="117" spans="1:13" ht="12.75">
      <c r="A117" s="445"/>
      <c r="J117" s="5"/>
      <c r="K117" s="5"/>
      <c r="M117" s="5"/>
    </row>
    <row r="118" spans="1:13" ht="12.75">
      <c r="A118" s="445"/>
      <c r="J118" s="5"/>
      <c r="K118" s="5"/>
      <c r="M118" s="5"/>
    </row>
    <row r="119" spans="10:14" ht="12.75">
      <c r="J119" s="5"/>
      <c r="K119" s="5"/>
      <c r="L119" s="5"/>
      <c r="M119" s="5"/>
      <c r="N119" s="5"/>
    </row>
    <row r="120" spans="1:13" ht="12.75">
      <c r="A120" s="445"/>
      <c r="J120" s="5"/>
      <c r="K120" s="5"/>
      <c r="L120" s="5"/>
      <c r="M120" s="5"/>
    </row>
    <row r="121" spans="10:14" ht="12.75">
      <c r="J121" s="5"/>
      <c r="K121" s="5"/>
      <c r="L121" s="5"/>
      <c r="M121" s="5"/>
      <c r="N121" s="5"/>
    </row>
    <row r="122" spans="1:13" ht="12.75">
      <c r="A122" s="445"/>
      <c r="K122" s="5"/>
      <c r="M122" s="5"/>
    </row>
    <row r="123" spans="1:14" ht="12.75">
      <c r="A123" s="445"/>
      <c r="J123" s="5"/>
      <c r="K123" s="5"/>
      <c r="L123" s="5"/>
      <c r="M123" s="5"/>
      <c r="N123" s="5"/>
    </row>
    <row r="124" spans="1:14" ht="12.75">
      <c r="A124" s="445"/>
      <c r="J124" s="5"/>
      <c r="K124" s="5"/>
      <c r="L124" s="5"/>
      <c r="M124" s="5"/>
      <c r="N124" s="5"/>
    </row>
    <row r="125" spans="1:13" ht="12.75">
      <c r="A125" s="445"/>
      <c r="K125" s="5"/>
      <c r="M125" s="5"/>
    </row>
    <row r="126" spans="1:13" ht="12.75">
      <c r="A126" s="445"/>
      <c r="J126" s="5"/>
      <c r="K126" s="5"/>
      <c r="M126" s="5"/>
    </row>
    <row r="127" spans="1:13" ht="12.75">
      <c r="A127" s="445"/>
      <c r="K127" s="5"/>
      <c r="M127" s="5"/>
    </row>
    <row r="128" spans="10:14" ht="12.75">
      <c r="J128" s="5"/>
      <c r="K128" s="5"/>
      <c r="L128" s="5"/>
      <c r="M128" s="5"/>
      <c r="N128" s="5"/>
    </row>
    <row r="129" spans="1:13" ht="12.75">
      <c r="A129" s="445"/>
      <c r="K129" s="5"/>
      <c r="M129" s="5"/>
    </row>
    <row r="130" spans="10:14" ht="12.75">
      <c r="J130" s="5"/>
      <c r="K130" s="5"/>
      <c r="L130" s="5"/>
      <c r="M130" s="5"/>
      <c r="N130" s="5"/>
    </row>
    <row r="131" spans="1:14" ht="12.75">
      <c r="A131" s="445"/>
      <c r="B131" s="5"/>
      <c r="J131" s="5"/>
      <c r="K131" s="5"/>
      <c r="L131" s="5"/>
      <c r="M131" s="5"/>
      <c r="N131" s="5"/>
    </row>
    <row r="132" ht="12.75">
      <c r="M132" s="5"/>
    </row>
    <row r="133" ht="12.75">
      <c r="M133" s="5"/>
    </row>
    <row r="134" ht="12.75">
      <c r="M134" s="5"/>
    </row>
    <row r="135" ht="12.75">
      <c r="M135" s="5"/>
    </row>
    <row r="136" spans="10:14" ht="12.75">
      <c r="J136" s="5"/>
      <c r="K136" s="5"/>
      <c r="L136" s="5"/>
      <c r="M136" s="5"/>
      <c r="N136" s="5"/>
    </row>
    <row r="137" spans="1:13" ht="12.75">
      <c r="A137" s="445"/>
      <c r="M137" s="5"/>
    </row>
    <row r="138" spans="10:14" ht="12.75">
      <c r="J138" s="5"/>
      <c r="K138" s="5"/>
      <c r="L138" s="5"/>
      <c r="M138" s="5"/>
      <c r="N138" s="5"/>
    </row>
    <row r="139" spans="10:14" ht="12.75">
      <c r="J139" s="5"/>
      <c r="K139" s="5"/>
      <c r="L139" s="5"/>
      <c r="M139" s="5"/>
      <c r="N139" s="5"/>
    </row>
    <row r="140" spans="10:13" ht="12.75">
      <c r="J140" s="5"/>
      <c r="K140" s="5"/>
      <c r="L140" s="5"/>
      <c r="M140" s="5"/>
    </row>
    <row r="141" spans="1:13" ht="12.75">
      <c r="A141" s="456"/>
      <c r="B141" s="456"/>
      <c r="J141" s="5"/>
      <c r="K141" s="5"/>
      <c r="L141" s="5"/>
      <c r="M141" s="5"/>
    </row>
    <row r="142" spans="5:6" ht="12.75">
      <c r="E142" s="441"/>
      <c r="F142" s="442"/>
    </row>
    <row r="143" spans="1:2" ht="12.75">
      <c r="A143" s="440"/>
      <c r="B143" s="440"/>
    </row>
    <row r="144" spans="2:6" ht="12.75">
      <c r="B144" s="443"/>
      <c r="C144" s="443"/>
      <c r="D144" s="443"/>
      <c r="E144" s="443"/>
      <c r="F144" s="443"/>
    </row>
    <row r="145" spans="2:6" ht="12.75">
      <c r="B145" s="444"/>
      <c r="C145" s="443"/>
      <c r="D145" s="443"/>
      <c r="E145" s="443"/>
      <c r="F145" s="443"/>
    </row>
    <row r="146" spans="2:6" ht="12.75">
      <c r="B146" s="444"/>
      <c r="C146" s="443"/>
      <c r="D146" s="443"/>
      <c r="E146" s="443"/>
      <c r="F146" s="443"/>
    </row>
    <row r="147" spans="1:7" ht="12.75">
      <c r="A147" s="445"/>
      <c r="G147" s="440"/>
    </row>
    <row r="148" spans="9:13" ht="12.75">
      <c r="I148" s="446"/>
      <c r="M148" s="444"/>
    </row>
    <row r="149" spans="1:13" ht="12.75">
      <c r="A149" s="445"/>
      <c r="I149" s="447"/>
      <c r="J149" s="448"/>
      <c r="K149" s="444"/>
      <c r="L149" s="444"/>
      <c r="M149" s="444"/>
    </row>
    <row r="150" spans="1:13" ht="12.75">
      <c r="A150" s="445"/>
      <c r="H150" s="449"/>
      <c r="J150" s="450"/>
      <c r="K150" s="98"/>
      <c r="M150" s="98"/>
    </row>
    <row r="151" spans="1:13" ht="12.75">
      <c r="A151" s="445"/>
      <c r="K151" s="172"/>
      <c r="L151" s="172"/>
      <c r="M151" s="451"/>
    </row>
    <row r="152" spans="1:13" ht="12.75">
      <c r="A152" s="445"/>
      <c r="G152" s="452"/>
      <c r="J152" s="5"/>
      <c r="K152" s="5"/>
      <c r="M152" s="5"/>
    </row>
    <row r="153" spans="1:13" ht="12.75">
      <c r="A153" s="445"/>
      <c r="G153" s="453"/>
      <c r="J153" s="5"/>
      <c r="K153" s="24"/>
      <c r="M153" s="24"/>
    </row>
    <row r="154" spans="1:13" ht="12.75">
      <c r="A154" s="445"/>
      <c r="G154" s="452"/>
      <c r="J154" s="5"/>
      <c r="K154" s="5"/>
      <c r="M154" s="5"/>
    </row>
    <row r="155" spans="7:13" ht="12.75">
      <c r="G155" s="452"/>
      <c r="J155" s="5"/>
      <c r="K155" s="24"/>
      <c r="M155" s="24"/>
    </row>
    <row r="156" spans="1:13" ht="12.75">
      <c r="A156" s="445"/>
      <c r="G156" s="452"/>
      <c r="J156" s="5"/>
      <c r="K156" s="24"/>
      <c r="M156" s="24"/>
    </row>
    <row r="157" spans="1:13" ht="12.75">
      <c r="A157" s="445"/>
      <c r="G157" s="454"/>
      <c r="J157" s="5"/>
      <c r="K157" s="5"/>
      <c r="M157" s="5"/>
    </row>
    <row r="158" spans="1:13" ht="12.75">
      <c r="A158" s="445"/>
      <c r="G158" s="454"/>
      <c r="K158" s="5"/>
      <c r="M158" s="5"/>
    </row>
    <row r="159" spans="10:14" ht="12.75">
      <c r="J159" s="5"/>
      <c r="K159" s="5"/>
      <c r="L159" s="5"/>
      <c r="M159" s="5"/>
      <c r="N159" s="5"/>
    </row>
    <row r="160" spans="1:14" ht="12.75">
      <c r="A160" s="445"/>
      <c r="J160" s="5"/>
      <c r="K160" s="5"/>
      <c r="L160" s="5"/>
      <c r="M160" s="5"/>
      <c r="N160" s="5"/>
    </row>
    <row r="161" spans="1:13" ht="12.75">
      <c r="A161" s="445"/>
      <c r="G161" s="455"/>
      <c r="J161" s="5"/>
      <c r="K161" s="5"/>
      <c r="M161" s="5"/>
    </row>
    <row r="162" spans="1:13" ht="12.75">
      <c r="A162" s="445"/>
      <c r="G162" s="455"/>
      <c r="J162" s="5"/>
      <c r="K162" s="5"/>
      <c r="M162" s="5"/>
    </row>
    <row r="163" spans="1:13" ht="12.75">
      <c r="A163" s="445"/>
      <c r="J163" s="5"/>
      <c r="K163" s="5"/>
      <c r="M163" s="5"/>
    </row>
    <row r="164" spans="1:13" ht="12.75">
      <c r="A164" s="445"/>
      <c r="J164" s="5"/>
      <c r="K164" s="5"/>
      <c r="M164" s="5"/>
    </row>
    <row r="165" spans="10:14" ht="12.75">
      <c r="J165" s="5"/>
      <c r="K165" s="5"/>
      <c r="L165" s="5"/>
      <c r="M165" s="5"/>
      <c r="N165" s="5"/>
    </row>
    <row r="166" spans="1:13" ht="12.75">
      <c r="A166" s="445"/>
      <c r="J166" s="5"/>
      <c r="K166" s="5"/>
      <c r="L166" s="5"/>
      <c r="M166" s="5"/>
    </row>
    <row r="167" spans="10:14" ht="12.75">
      <c r="J167" s="5"/>
      <c r="K167" s="5"/>
      <c r="L167" s="5"/>
      <c r="M167" s="5"/>
      <c r="N167" s="5"/>
    </row>
    <row r="168" spans="1:13" ht="12.75">
      <c r="A168" s="445"/>
      <c r="K168" s="5"/>
      <c r="M168" s="5"/>
    </row>
    <row r="169" spans="1:14" ht="12.75">
      <c r="A169" s="445"/>
      <c r="J169" s="5"/>
      <c r="K169" s="5"/>
      <c r="L169" s="5"/>
      <c r="M169" s="5"/>
      <c r="N169" s="5"/>
    </row>
    <row r="170" spans="1:14" ht="12.75">
      <c r="A170" s="445"/>
      <c r="J170" s="5"/>
      <c r="K170" s="5"/>
      <c r="L170" s="5"/>
      <c r="M170" s="5"/>
      <c r="N170" s="5"/>
    </row>
    <row r="171" spans="1:13" ht="12.75">
      <c r="A171" s="445"/>
      <c r="K171" s="5"/>
      <c r="M171" s="5"/>
    </row>
    <row r="172" spans="1:13" ht="12.75">
      <c r="A172" s="445"/>
      <c r="J172" s="5"/>
      <c r="K172" s="5"/>
      <c r="M172" s="5"/>
    </row>
    <row r="173" spans="1:13" ht="12.75">
      <c r="A173" s="445"/>
      <c r="K173" s="5"/>
      <c r="M173" s="5"/>
    </row>
    <row r="174" spans="10:14" ht="12.75">
      <c r="J174" s="5"/>
      <c r="K174" s="5"/>
      <c r="L174" s="5"/>
      <c r="M174" s="5"/>
      <c r="N174" s="5"/>
    </row>
    <row r="175" spans="1:13" ht="12.75">
      <c r="A175" s="445"/>
      <c r="K175" s="5"/>
      <c r="M175" s="5"/>
    </row>
    <row r="176" spans="10:14" ht="12.75">
      <c r="J176" s="5"/>
      <c r="K176" s="5"/>
      <c r="L176" s="5"/>
      <c r="M176" s="5"/>
      <c r="N176" s="5"/>
    </row>
    <row r="177" spans="1:14" ht="12.75">
      <c r="A177" s="445"/>
      <c r="B177" s="5"/>
      <c r="J177" s="5"/>
      <c r="K177" s="5"/>
      <c r="L177" s="5"/>
      <c r="M177" s="5"/>
      <c r="N177" s="5"/>
    </row>
    <row r="178" ht="12.75">
      <c r="M178" s="5"/>
    </row>
    <row r="179" ht="12.75">
      <c r="M179" s="5"/>
    </row>
    <row r="180" ht="12.75">
      <c r="M180" s="5"/>
    </row>
    <row r="181" ht="12.75">
      <c r="M181" s="5"/>
    </row>
    <row r="182" spans="10:14" ht="12.75">
      <c r="J182" s="5"/>
      <c r="K182" s="5"/>
      <c r="L182" s="5"/>
      <c r="M182" s="5"/>
      <c r="N182" s="5"/>
    </row>
    <row r="183" spans="1:13" ht="12.75">
      <c r="A183" s="445"/>
      <c r="M183" s="5"/>
    </row>
    <row r="184" spans="10:14" ht="12.75">
      <c r="J184" s="5"/>
      <c r="K184" s="5"/>
      <c r="L184" s="5"/>
      <c r="M184" s="5"/>
      <c r="N184" s="5"/>
    </row>
    <row r="185" spans="10:14" ht="12.75">
      <c r="J185" s="5"/>
      <c r="K185" s="5"/>
      <c r="L185" s="5"/>
      <c r="M185" s="5"/>
      <c r="N185" s="5"/>
    </row>
    <row r="186" spans="10:13" ht="12.75">
      <c r="J186" s="5"/>
      <c r="K186" s="5"/>
      <c r="L186" s="5"/>
      <c r="M186" s="5"/>
    </row>
    <row r="187" spans="1:14" ht="12.75">
      <c r="A187" s="456"/>
      <c r="B187" s="456"/>
      <c r="J187" s="5"/>
      <c r="K187" s="5"/>
      <c r="L187" s="5"/>
      <c r="M187" s="5"/>
      <c r="N187" s="5"/>
    </row>
    <row r="188" spans="5:6" ht="12.75">
      <c r="E188" s="441"/>
      <c r="F188" s="442"/>
    </row>
    <row r="189" spans="1:2" ht="12.75">
      <c r="A189" s="440"/>
      <c r="B189" s="440"/>
    </row>
    <row r="190" spans="2:6" ht="12.75">
      <c r="B190" s="443"/>
      <c r="C190" s="443"/>
      <c r="D190" s="443"/>
      <c r="E190" s="443"/>
      <c r="F190" s="443"/>
    </row>
    <row r="191" spans="2:6" ht="12.75">
      <c r="B191" s="444"/>
      <c r="C191" s="443"/>
      <c r="D191" s="443"/>
      <c r="E191" s="443"/>
      <c r="F191" s="443"/>
    </row>
    <row r="192" spans="2:6" ht="12.75">
      <c r="B192" s="444"/>
      <c r="C192" s="443"/>
      <c r="D192" s="443"/>
      <c r="E192" s="443"/>
      <c r="F192" s="443"/>
    </row>
    <row r="193" spans="1:7" ht="12.75">
      <c r="A193" s="445"/>
      <c r="G193" s="440"/>
    </row>
    <row r="194" spans="9:13" ht="12.75">
      <c r="I194" s="446"/>
      <c r="M194" s="444"/>
    </row>
    <row r="195" spans="1:13" ht="12.75">
      <c r="A195" s="445"/>
      <c r="I195" s="447"/>
      <c r="J195" s="448"/>
      <c r="K195" s="444"/>
      <c r="L195" s="444"/>
      <c r="M195" s="444"/>
    </row>
    <row r="196" spans="1:13" ht="12.75">
      <c r="A196" s="445"/>
      <c r="H196" s="449"/>
      <c r="J196" s="450"/>
      <c r="K196" s="98"/>
      <c r="M196" s="98"/>
    </row>
    <row r="197" spans="1:13" ht="12.75">
      <c r="A197" s="445"/>
      <c r="K197" s="172"/>
      <c r="L197" s="172"/>
      <c r="M197" s="451"/>
    </row>
    <row r="198" spans="1:13" ht="12.75">
      <c r="A198" s="445"/>
      <c r="G198" s="452"/>
      <c r="J198" s="5"/>
      <c r="K198" s="5"/>
      <c r="M198" s="5"/>
    </row>
    <row r="199" spans="1:13" ht="12.75">
      <c r="A199" s="445"/>
      <c r="G199" s="453"/>
      <c r="J199" s="5"/>
      <c r="K199" s="24"/>
      <c r="M199" s="24"/>
    </row>
    <row r="200" spans="1:13" ht="12.75">
      <c r="A200" s="445"/>
      <c r="G200" s="452"/>
      <c r="J200" s="5"/>
      <c r="K200" s="5"/>
      <c r="M200" s="5"/>
    </row>
    <row r="201" spans="7:13" ht="12.75">
      <c r="G201" s="452"/>
      <c r="J201" s="5"/>
      <c r="K201" s="24"/>
      <c r="M201" s="24"/>
    </row>
    <row r="202" spans="1:13" ht="12.75">
      <c r="A202" s="445"/>
      <c r="G202" s="452"/>
      <c r="J202" s="5"/>
      <c r="K202" s="24"/>
      <c r="M202" s="24"/>
    </row>
    <row r="203" spans="1:13" ht="12.75">
      <c r="A203" s="445"/>
      <c r="G203" s="454"/>
      <c r="J203" s="5"/>
      <c r="K203" s="5"/>
      <c r="M203" s="5"/>
    </row>
    <row r="204" spans="1:13" ht="12.75">
      <c r="A204" s="445"/>
      <c r="G204" s="454"/>
      <c r="K204" s="5"/>
      <c r="M204" s="5"/>
    </row>
    <row r="205" spans="10:14" ht="12.75">
      <c r="J205" s="5"/>
      <c r="K205" s="5"/>
      <c r="L205" s="5"/>
      <c r="M205" s="5"/>
      <c r="N205" s="5"/>
    </row>
    <row r="206" spans="1:14" ht="12.75">
      <c r="A206" s="445"/>
      <c r="J206" s="5"/>
      <c r="K206" s="5"/>
      <c r="L206" s="5"/>
      <c r="M206" s="5"/>
      <c r="N206" s="5"/>
    </row>
    <row r="207" spans="1:13" ht="12.75">
      <c r="A207" s="445"/>
      <c r="G207" s="455"/>
      <c r="J207" s="5"/>
      <c r="K207" s="5"/>
      <c r="M207" s="5"/>
    </row>
    <row r="208" spans="1:13" ht="12.75">
      <c r="A208" s="445"/>
      <c r="G208" s="455"/>
      <c r="J208" s="5"/>
      <c r="K208" s="5"/>
      <c r="M208" s="5"/>
    </row>
    <row r="209" spans="1:13" ht="12.75">
      <c r="A209" s="445"/>
      <c r="J209" s="5"/>
      <c r="K209" s="5"/>
      <c r="M209" s="5"/>
    </row>
    <row r="210" spans="1:13" ht="12.75">
      <c r="A210" s="445"/>
      <c r="J210" s="5"/>
      <c r="K210" s="5"/>
      <c r="M210" s="5"/>
    </row>
    <row r="211" spans="10:14" ht="12.75">
      <c r="J211" s="5"/>
      <c r="K211" s="5"/>
      <c r="L211" s="5"/>
      <c r="M211" s="5"/>
      <c r="N211" s="5"/>
    </row>
    <row r="212" spans="1:13" ht="12.75">
      <c r="A212" s="445"/>
      <c r="J212" s="5"/>
      <c r="K212" s="5"/>
      <c r="L212" s="5"/>
      <c r="M212" s="5"/>
    </row>
    <row r="213" spans="10:14" ht="12.75">
      <c r="J213" s="5"/>
      <c r="K213" s="5"/>
      <c r="L213" s="5"/>
      <c r="M213" s="5"/>
      <c r="N213" s="5"/>
    </row>
    <row r="214" spans="1:13" ht="12.75">
      <c r="A214" s="445"/>
      <c r="K214" s="5"/>
      <c r="M214" s="5"/>
    </row>
    <row r="215" spans="1:14" ht="12.75">
      <c r="A215" s="445"/>
      <c r="J215" s="5"/>
      <c r="K215" s="5"/>
      <c r="L215" s="5"/>
      <c r="M215" s="5"/>
      <c r="N215" s="5"/>
    </row>
    <row r="216" spans="1:14" ht="12.75">
      <c r="A216" s="445"/>
      <c r="J216" s="5"/>
      <c r="K216" s="5"/>
      <c r="L216" s="5"/>
      <c r="M216" s="5"/>
      <c r="N216" s="5"/>
    </row>
    <row r="217" spans="1:14" ht="12.75">
      <c r="A217" s="445"/>
      <c r="K217" s="5"/>
      <c r="M217" s="5"/>
      <c r="N217" s="5"/>
    </row>
    <row r="218" spans="1:13" ht="12.75">
      <c r="A218" s="445"/>
      <c r="J218" s="5"/>
      <c r="K218" s="5"/>
      <c r="M218" s="5"/>
    </row>
    <row r="219" spans="1:13" ht="12.75">
      <c r="A219" s="445"/>
      <c r="K219" s="5"/>
      <c r="M219" s="5"/>
    </row>
    <row r="220" spans="10:13" ht="12.75">
      <c r="J220" s="5"/>
      <c r="K220" s="5"/>
      <c r="L220" s="5"/>
      <c r="M220" s="5"/>
    </row>
    <row r="221" spans="1:14" ht="12.75">
      <c r="A221" s="445"/>
      <c r="K221" s="5"/>
      <c r="M221" s="5"/>
      <c r="N221" s="5"/>
    </row>
    <row r="222" spans="10:13" ht="12.75">
      <c r="J222" s="5"/>
      <c r="K222" s="5"/>
      <c r="L222" s="5"/>
      <c r="M222" s="5"/>
    </row>
    <row r="223" spans="1:14" ht="12.75">
      <c r="A223" s="445"/>
      <c r="B223" s="5"/>
      <c r="J223" s="5"/>
      <c r="K223" s="5"/>
      <c r="L223" s="5"/>
      <c r="M223" s="5"/>
      <c r="N223" s="5"/>
    </row>
    <row r="224" spans="13:14" ht="12.75">
      <c r="M224" s="5"/>
      <c r="N224" s="5"/>
    </row>
    <row r="225" ht="12.75">
      <c r="M225" s="5"/>
    </row>
    <row r="226" ht="12.75">
      <c r="M226" s="5"/>
    </row>
    <row r="227" ht="12.75">
      <c r="M227" s="5"/>
    </row>
    <row r="228" spans="10:13" ht="12.75">
      <c r="J228" s="5"/>
      <c r="K228" s="5"/>
      <c r="L228" s="5"/>
      <c r="M228" s="5"/>
    </row>
    <row r="229" spans="1:14" ht="12.75">
      <c r="A229" s="445"/>
      <c r="M229" s="5"/>
      <c r="N229" s="5"/>
    </row>
    <row r="230" spans="10:13" ht="12.75">
      <c r="J230" s="5"/>
      <c r="K230" s="5"/>
      <c r="L230" s="5"/>
      <c r="M230" s="5"/>
    </row>
    <row r="231" spans="10:14" ht="12.75">
      <c r="J231" s="5"/>
      <c r="K231" s="5"/>
      <c r="L231" s="5"/>
      <c r="M231" s="5"/>
      <c r="N231" s="5"/>
    </row>
    <row r="232" spans="10:14" ht="12.75">
      <c r="J232" s="5"/>
      <c r="K232" s="5"/>
      <c r="L232" s="5"/>
      <c r="M232" s="5"/>
      <c r="N232" s="5"/>
    </row>
    <row r="233" spans="1:13" ht="12.75">
      <c r="A233" s="456"/>
      <c r="B233" s="456"/>
      <c r="J233" s="5"/>
      <c r="K233" s="5"/>
      <c r="L233" s="5"/>
      <c r="M233" s="5"/>
    </row>
    <row r="234" spans="5:14" ht="12.75">
      <c r="E234" s="441"/>
      <c r="F234" s="442"/>
      <c r="N234" s="5"/>
    </row>
    <row r="235" spans="1:2" ht="12.75">
      <c r="A235" s="440"/>
      <c r="B235" s="440"/>
    </row>
    <row r="236" spans="2:6" ht="12.75">
      <c r="B236" s="443"/>
      <c r="C236" s="443"/>
      <c r="D236" s="443"/>
      <c r="E236" s="443"/>
      <c r="F236" s="443"/>
    </row>
    <row r="237" spans="2:6" ht="12.75">
      <c r="B237" s="444"/>
      <c r="C237" s="443"/>
      <c r="D237" s="443"/>
      <c r="E237" s="443"/>
      <c r="F237" s="443"/>
    </row>
    <row r="238" spans="2:6" ht="12.75">
      <c r="B238" s="444"/>
      <c r="C238" s="443"/>
      <c r="D238" s="443"/>
      <c r="E238" s="443"/>
      <c r="F238" s="443"/>
    </row>
    <row r="239" spans="1:7" ht="12.75">
      <c r="A239" s="445"/>
      <c r="G239" s="440"/>
    </row>
    <row r="240" spans="9:13" ht="12.75">
      <c r="I240" s="446"/>
      <c r="M240" s="444"/>
    </row>
    <row r="241" spans="1:13" ht="12.75">
      <c r="A241" s="445"/>
      <c r="I241" s="447"/>
      <c r="J241" s="448"/>
      <c r="K241" s="444"/>
      <c r="L241" s="444"/>
      <c r="M241" s="444"/>
    </row>
    <row r="242" spans="1:13" ht="12.75">
      <c r="A242" s="445"/>
      <c r="H242" s="449"/>
      <c r="J242" s="450"/>
      <c r="K242" s="98"/>
      <c r="M242" s="98"/>
    </row>
    <row r="243" spans="1:13" ht="12.75">
      <c r="A243" s="445"/>
      <c r="K243" s="172"/>
      <c r="L243" s="172"/>
      <c r="M243" s="451"/>
    </row>
    <row r="244" spans="1:13" ht="12.75">
      <c r="A244" s="445"/>
      <c r="G244" s="452"/>
      <c r="J244" s="5"/>
      <c r="K244" s="5"/>
      <c r="M244" s="5"/>
    </row>
    <row r="245" spans="1:13" ht="12.75">
      <c r="A245" s="445"/>
      <c r="G245" s="453"/>
      <c r="J245" s="5"/>
      <c r="K245" s="24"/>
      <c r="M245" s="24"/>
    </row>
    <row r="246" spans="1:13" ht="12.75">
      <c r="A246" s="445"/>
      <c r="G246" s="452"/>
      <c r="J246" s="5"/>
      <c r="K246" s="5"/>
      <c r="M246" s="5"/>
    </row>
    <row r="247" spans="7:13" ht="12.75">
      <c r="G247" s="452"/>
      <c r="J247" s="5"/>
      <c r="K247" s="24"/>
      <c r="M247" s="24"/>
    </row>
    <row r="248" spans="1:13" ht="12.75">
      <c r="A248" s="445"/>
      <c r="G248" s="452"/>
      <c r="J248" s="5"/>
      <c r="K248" s="24"/>
      <c r="M248" s="24"/>
    </row>
    <row r="249" spans="1:13" ht="12.75">
      <c r="A249" s="445"/>
      <c r="G249" s="454"/>
      <c r="J249" s="5"/>
      <c r="K249" s="5"/>
      <c r="M249" s="5"/>
    </row>
    <row r="250" spans="1:13" ht="12.75">
      <c r="A250" s="445"/>
      <c r="G250" s="454"/>
      <c r="K250" s="5"/>
      <c r="M250" s="5"/>
    </row>
    <row r="251" spans="10:13" ht="12.75">
      <c r="J251" s="5"/>
      <c r="K251" s="5"/>
      <c r="L251" s="5"/>
      <c r="M251" s="5"/>
    </row>
    <row r="252" spans="1:14" ht="12.75">
      <c r="A252" s="445"/>
      <c r="J252" s="5"/>
      <c r="K252" s="5"/>
      <c r="L252" s="5"/>
      <c r="M252" s="5"/>
      <c r="N252" s="5"/>
    </row>
    <row r="253" spans="1:14" ht="12.75">
      <c r="A253" s="445"/>
      <c r="G253" s="455"/>
      <c r="J253" s="5"/>
      <c r="K253" s="5"/>
      <c r="M253" s="5"/>
      <c r="N253" s="5"/>
    </row>
    <row r="254" spans="1:13" ht="12.75">
      <c r="A254" s="445"/>
      <c r="G254" s="455"/>
      <c r="J254" s="5"/>
      <c r="K254" s="5"/>
      <c r="M254" s="5"/>
    </row>
    <row r="255" spans="1:13" ht="12.75">
      <c r="A255" s="445"/>
      <c r="J255" s="5"/>
      <c r="K255" s="5"/>
      <c r="M255" s="5"/>
    </row>
    <row r="256" spans="1:13" ht="12.75">
      <c r="A256" s="445"/>
      <c r="J256" s="5"/>
      <c r="K256" s="5"/>
      <c r="M256" s="5"/>
    </row>
    <row r="257" spans="10:13" ht="12.75">
      <c r="J257" s="5"/>
      <c r="K257" s="5"/>
      <c r="L257" s="5"/>
      <c r="M257" s="5"/>
    </row>
    <row r="258" spans="1:14" ht="12.75">
      <c r="A258" s="445"/>
      <c r="J258" s="5"/>
      <c r="K258" s="5"/>
      <c r="L258" s="5"/>
      <c r="M258" s="5"/>
      <c r="N258" s="5"/>
    </row>
    <row r="259" spans="10:13" ht="12.75">
      <c r="J259" s="5"/>
      <c r="K259" s="5"/>
      <c r="L259" s="5"/>
      <c r="M259" s="5"/>
    </row>
    <row r="260" spans="1:14" ht="12.75">
      <c r="A260" s="445"/>
      <c r="K260" s="5"/>
      <c r="M260" s="5"/>
      <c r="N260" s="5"/>
    </row>
    <row r="261" spans="1:13" ht="12.75">
      <c r="A261" s="445"/>
      <c r="J261" s="5"/>
      <c r="K261" s="5"/>
      <c r="L261" s="5"/>
      <c r="M261" s="5"/>
    </row>
    <row r="262" spans="1:14" ht="12.75">
      <c r="A262" s="445"/>
      <c r="J262" s="5"/>
      <c r="K262" s="5"/>
      <c r="L262" s="5"/>
      <c r="M262" s="5"/>
      <c r="N262" s="5"/>
    </row>
    <row r="263" spans="1:14" ht="12.75">
      <c r="A263" s="445"/>
      <c r="K263" s="5"/>
      <c r="M263" s="5"/>
      <c r="N263" s="5"/>
    </row>
    <row r="264" spans="1:14" ht="12.75">
      <c r="A264" s="445"/>
      <c r="J264" s="5"/>
      <c r="K264" s="5"/>
      <c r="M264" s="5"/>
      <c r="N264" s="5"/>
    </row>
    <row r="265" spans="1:13" ht="12.75">
      <c r="A265" s="445"/>
      <c r="K265" s="5"/>
      <c r="M265" s="5"/>
    </row>
    <row r="266" spans="10:13" ht="12.75">
      <c r="J266" s="5"/>
      <c r="K266" s="5"/>
      <c r="L266" s="5"/>
      <c r="M266" s="5"/>
    </row>
    <row r="267" spans="1:13" ht="12.75">
      <c r="A267" s="445"/>
      <c r="K267" s="5"/>
      <c r="M267" s="5"/>
    </row>
    <row r="268" spans="10:14" ht="12.75">
      <c r="J268" s="5"/>
      <c r="K268" s="5"/>
      <c r="L268" s="5"/>
      <c r="M268" s="5"/>
      <c r="N268" s="5"/>
    </row>
    <row r="269" spans="1:13" ht="12.75">
      <c r="A269" s="445"/>
      <c r="B269" s="5"/>
      <c r="J269" s="5"/>
      <c r="K269" s="5"/>
      <c r="L269" s="5"/>
      <c r="M269" s="5"/>
    </row>
    <row r="270" spans="13:14" ht="12.75">
      <c r="M270" s="5"/>
      <c r="N270" s="5"/>
    </row>
    <row r="271" spans="13:14" ht="12.75">
      <c r="M271" s="5"/>
      <c r="N271" s="5"/>
    </row>
    <row r="272" ht="12.75">
      <c r="M272" s="5"/>
    </row>
    <row r="273" ht="12.75">
      <c r="M273" s="5"/>
    </row>
    <row r="274" spans="10:13" ht="12.75">
      <c r="J274" s="5"/>
      <c r="K274" s="5"/>
      <c r="L274" s="5"/>
      <c r="M274" s="5"/>
    </row>
    <row r="275" spans="1:13" ht="12.75">
      <c r="A275" s="445"/>
      <c r="M275" s="5"/>
    </row>
    <row r="276" spans="10:14" ht="12.75">
      <c r="J276" s="5"/>
      <c r="K276" s="5"/>
      <c r="L276" s="5"/>
      <c r="M276" s="5"/>
      <c r="N276" s="5"/>
    </row>
    <row r="277" spans="10:13" ht="12.75">
      <c r="J277" s="5"/>
      <c r="K277" s="5"/>
      <c r="L277" s="5"/>
      <c r="M277" s="5"/>
    </row>
    <row r="278" spans="10:14" ht="12.75">
      <c r="J278" s="5"/>
      <c r="K278" s="5"/>
      <c r="L278" s="5"/>
      <c r="M278" s="5"/>
      <c r="N278" s="5"/>
    </row>
    <row r="279" spans="1:14" ht="12.75">
      <c r="A279" s="456"/>
      <c r="B279" s="456"/>
      <c r="J279" s="5"/>
      <c r="K279" s="5"/>
      <c r="L279" s="5"/>
      <c r="M279" s="5"/>
      <c r="N279" s="5"/>
    </row>
    <row r="280" spans="5:6" ht="12.75">
      <c r="E280" s="441"/>
      <c r="F280" s="442"/>
    </row>
    <row r="281" spans="1:14" ht="12.75">
      <c r="A281" s="440"/>
      <c r="B281" s="440"/>
      <c r="N281" s="5"/>
    </row>
    <row r="282" spans="2:6" ht="12.75">
      <c r="B282" s="443"/>
      <c r="C282" s="443"/>
      <c r="D282" s="443"/>
      <c r="E282" s="443"/>
      <c r="F282" s="443"/>
    </row>
    <row r="283" spans="2:6" ht="12.75">
      <c r="B283" s="444"/>
      <c r="C283" s="443"/>
      <c r="D283" s="443"/>
      <c r="E283" s="443"/>
      <c r="F283" s="443"/>
    </row>
    <row r="284" spans="2:6" ht="12.75">
      <c r="B284" s="444"/>
      <c r="C284" s="443"/>
      <c r="D284" s="443"/>
      <c r="E284" s="443"/>
      <c r="F284" s="443"/>
    </row>
    <row r="285" spans="1:7" ht="12.75">
      <c r="A285" s="445"/>
      <c r="G285" s="440"/>
    </row>
    <row r="286" spans="9:13" ht="12.75">
      <c r="I286" s="446"/>
      <c r="M286" s="444"/>
    </row>
    <row r="287" spans="1:13" ht="12.75">
      <c r="A287" s="445"/>
      <c r="I287" s="447"/>
      <c r="J287" s="448"/>
      <c r="K287" s="444"/>
      <c r="L287" s="444"/>
      <c r="M287" s="444"/>
    </row>
    <row r="288" spans="1:13" ht="12.75">
      <c r="A288" s="445"/>
      <c r="H288" s="449"/>
      <c r="J288" s="450"/>
      <c r="K288" s="98"/>
      <c r="M288" s="98"/>
    </row>
    <row r="289" spans="1:13" ht="12.75">
      <c r="A289" s="445"/>
      <c r="K289" s="172"/>
      <c r="L289" s="172"/>
      <c r="M289" s="451"/>
    </row>
    <row r="290" spans="1:13" ht="12.75">
      <c r="A290" s="445"/>
      <c r="G290" s="452"/>
      <c r="J290" s="5"/>
      <c r="K290" s="5"/>
      <c r="M290" s="5"/>
    </row>
    <row r="291" spans="1:13" ht="12.75">
      <c r="A291" s="445"/>
      <c r="G291" s="453"/>
      <c r="J291" s="5"/>
      <c r="K291" s="24"/>
      <c r="M291" s="24"/>
    </row>
    <row r="292" spans="1:13" ht="12.75">
      <c r="A292" s="445"/>
      <c r="G292" s="452"/>
      <c r="J292" s="5"/>
      <c r="K292" s="5"/>
      <c r="M292" s="5"/>
    </row>
    <row r="293" spans="7:13" ht="12.75">
      <c r="G293" s="452"/>
      <c r="J293" s="5"/>
      <c r="K293" s="24"/>
      <c r="M293" s="24"/>
    </row>
    <row r="294" spans="1:13" ht="12.75">
      <c r="A294" s="445"/>
      <c r="G294" s="452"/>
      <c r="J294" s="5"/>
      <c r="K294" s="24"/>
      <c r="M294" s="24"/>
    </row>
    <row r="295" spans="1:13" ht="12.75">
      <c r="A295" s="445"/>
      <c r="G295" s="454"/>
      <c r="J295" s="5"/>
      <c r="K295" s="5"/>
      <c r="M295" s="5"/>
    </row>
    <row r="296" spans="1:13" ht="12.75">
      <c r="A296" s="445"/>
      <c r="G296" s="454"/>
      <c r="K296" s="5"/>
      <c r="M296" s="5"/>
    </row>
    <row r="297" spans="10:13" ht="12.75">
      <c r="J297" s="5"/>
      <c r="K297" s="5"/>
      <c r="L297" s="5"/>
      <c r="M297" s="5"/>
    </row>
    <row r="298" spans="1:13" ht="12.75">
      <c r="A298" s="445"/>
      <c r="J298" s="5"/>
      <c r="K298" s="5"/>
      <c r="L298" s="5"/>
      <c r="M298" s="5"/>
    </row>
    <row r="299" spans="1:13" ht="12.75">
      <c r="A299" s="445"/>
      <c r="G299" s="455"/>
      <c r="J299" s="5"/>
      <c r="K299" s="5"/>
      <c r="M299" s="5"/>
    </row>
    <row r="300" spans="1:13" ht="12.75">
      <c r="A300" s="445"/>
      <c r="G300" s="455"/>
      <c r="J300" s="5"/>
      <c r="K300" s="5"/>
      <c r="M300" s="5"/>
    </row>
    <row r="301" spans="1:13" ht="12.75">
      <c r="A301" s="445"/>
      <c r="J301" s="5"/>
      <c r="K301" s="5"/>
      <c r="M301" s="5"/>
    </row>
    <row r="302" spans="1:13" ht="12.75">
      <c r="A302" s="445"/>
      <c r="J302" s="5"/>
      <c r="K302" s="5"/>
      <c r="M302" s="5"/>
    </row>
    <row r="303" spans="10:13" ht="12.75">
      <c r="J303" s="5"/>
      <c r="K303" s="5"/>
      <c r="L303" s="5"/>
      <c r="M303" s="5"/>
    </row>
    <row r="304" spans="1:13" ht="12.75">
      <c r="A304" s="445"/>
      <c r="J304" s="5"/>
      <c r="K304" s="5"/>
      <c r="L304" s="5"/>
      <c r="M304" s="5"/>
    </row>
    <row r="305" spans="10:13" ht="12.75">
      <c r="J305" s="5"/>
      <c r="K305" s="5"/>
      <c r="L305" s="5"/>
      <c r="M305" s="5"/>
    </row>
    <row r="306" spans="1:13" ht="12.75">
      <c r="A306" s="445"/>
      <c r="K306" s="5"/>
      <c r="M306" s="5"/>
    </row>
    <row r="307" spans="1:13" ht="12.75">
      <c r="A307" s="445"/>
      <c r="J307" s="5"/>
      <c r="K307" s="5"/>
      <c r="L307" s="5"/>
      <c r="M307" s="5"/>
    </row>
    <row r="308" spans="1:13" ht="12.75">
      <c r="A308" s="445"/>
      <c r="J308" s="5"/>
      <c r="K308" s="5"/>
      <c r="L308" s="5"/>
      <c r="M308" s="5"/>
    </row>
    <row r="309" spans="1:13" ht="12.75">
      <c r="A309" s="445"/>
      <c r="K309" s="5"/>
      <c r="M309" s="5"/>
    </row>
    <row r="310" spans="1:13" ht="12.75">
      <c r="A310" s="445"/>
      <c r="J310" s="5"/>
      <c r="K310" s="5"/>
      <c r="M310" s="5"/>
    </row>
    <row r="311" spans="1:13" ht="12.75">
      <c r="A311" s="445"/>
      <c r="K311" s="5"/>
      <c r="M311" s="5"/>
    </row>
    <row r="312" spans="10:13" ht="12.75">
      <c r="J312" s="5"/>
      <c r="K312" s="5"/>
      <c r="L312" s="5"/>
      <c r="M312" s="5"/>
    </row>
    <row r="313" spans="1:13" ht="12.75">
      <c r="A313" s="445"/>
      <c r="K313" s="5"/>
      <c r="M313" s="5"/>
    </row>
    <row r="314" spans="10:13" ht="12.75">
      <c r="J314" s="5"/>
      <c r="K314" s="5"/>
      <c r="L314" s="5"/>
      <c r="M314" s="5"/>
    </row>
    <row r="315" spans="1:13" ht="12.75">
      <c r="A315" s="445"/>
      <c r="B315" s="5"/>
      <c r="J315" s="5"/>
      <c r="K315" s="5"/>
      <c r="L315" s="5"/>
      <c r="M315" s="5"/>
    </row>
    <row r="316" ht="12.75">
      <c r="M316" s="5"/>
    </row>
    <row r="317" ht="12.75">
      <c r="M317" s="5"/>
    </row>
    <row r="318" ht="12.75">
      <c r="M318" s="5"/>
    </row>
    <row r="319" ht="12.75">
      <c r="M319" s="5"/>
    </row>
    <row r="320" spans="10:13" ht="12.75">
      <c r="J320" s="5"/>
      <c r="K320" s="5"/>
      <c r="L320" s="5"/>
      <c r="M320" s="5"/>
    </row>
    <row r="321" spans="1:13" ht="12.75">
      <c r="A321" s="445"/>
      <c r="M321" s="5"/>
    </row>
    <row r="322" spans="10:13" ht="12.75">
      <c r="J322" s="5"/>
      <c r="K322" s="5"/>
      <c r="L322" s="5"/>
      <c r="M322" s="5"/>
    </row>
    <row r="323" spans="10:13" ht="12.75">
      <c r="J323" s="5"/>
      <c r="K323" s="5"/>
      <c r="L323" s="5"/>
      <c r="M323" s="5"/>
    </row>
    <row r="324" spans="10:13" ht="12.75">
      <c r="J324" s="5"/>
      <c r="K324" s="5"/>
      <c r="L324" s="5"/>
      <c r="M324" s="5"/>
    </row>
    <row r="325" spans="1:13" ht="12.75">
      <c r="A325" s="456"/>
      <c r="B325" s="456"/>
      <c r="J325" s="5"/>
      <c r="K325" s="5"/>
      <c r="L325" s="5"/>
      <c r="M325" s="5"/>
    </row>
    <row r="326" spans="5:6" ht="12.75">
      <c r="E326" s="441"/>
      <c r="F326" s="442"/>
    </row>
    <row r="327" spans="1:2" ht="12.75">
      <c r="A327" s="440"/>
      <c r="B327" s="440"/>
    </row>
    <row r="328" spans="2:6" ht="12.75">
      <c r="B328" s="443"/>
      <c r="C328" s="443"/>
      <c r="D328" s="443"/>
      <c r="E328" s="443"/>
      <c r="F328" s="443"/>
    </row>
    <row r="329" spans="2:6" ht="12.75">
      <c r="B329" s="444"/>
      <c r="C329" s="443"/>
      <c r="D329" s="443"/>
      <c r="E329" s="443"/>
      <c r="F329" s="443"/>
    </row>
    <row r="330" spans="2:6" ht="12.75">
      <c r="B330" s="444"/>
      <c r="C330" s="443"/>
      <c r="D330" s="443"/>
      <c r="E330" s="443"/>
      <c r="F330" s="443"/>
    </row>
    <row r="331" spans="1:7" ht="12.75">
      <c r="A331" s="445"/>
      <c r="G331" s="440"/>
    </row>
    <row r="332" spans="9:13" ht="12.75">
      <c r="I332" s="446"/>
      <c r="M332" s="444"/>
    </row>
    <row r="333" spans="1:13" ht="12.75">
      <c r="A333" s="445"/>
      <c r="I333" s="447"/>
      <c r="J333" s="448"/>
      <c r="K333" s="444"/>
      <c r="L333" s="444"/>
      <c r="M333" s="444"/>
    </row>
    <row r="334" spans="1:13" ht="12.75">
      <c r="A334" s="445"/>
      <c r="H334" s="449"/>
      <c r="J334" s="450"/>
      <c r="K334" s="98"/>
      <c r="M334" s="98"/>
    </row>
    <row r="335" spans="1:13" ht="12.75">
      <c r="A335" s="445"/>
      <c r="K335" s="172"/>
      <c r="L335" s="172"/>
      <c r="M335" s="451"/>
    </row>
    <row r="336" spans="1:13" ht="12.75">
      <c r="A336" s="445"/>
      <c r="G336" s="452"/>
      <c r="J336" s="5"/>
      <c r="K336" s="5"/>
      <c r="M336" s="5"/>
    </row>
    <row r="337" spans="1:13" ht="12.75">
      <c r="A337" s="445"/>
      <c r="G337" s="453"/>
      <c r="J337" s="5"/>
      <c r="K337" s="24"/>
      <c r="M337" s="24"/>
    </row>
    <row r="338" spans="1:13" ht="12.75">
      <c r="A338" s="445"/>
      <c r="G338" s="452"/>
      <c r="J338" s="5"/>
      <c r="K338" s="5"/>
      <c r="M338" s="5"/>
    </row>
    <row r="339" spans="7:13" ht="12.75">
      <c r="G339" s="452"/>
      <c r="J339" s="5"/>
      <c r="K339" s="24"/>
      <c r="M339" s="24"/>
    </row>
    <row r="340" spans="1:13" ht="12.75">
      <c r="A340" s="445"/>
      <c r="G340" s="452"/>
      <c r="J340" s="5"/>
      <c r="K340" s="24"/>
      <c r="M340" s="24"/>
    </row>
    <row r="341" spans="1:13" ht="12.75">
      <c r="A341" s="445"/>
      <c r="G341" s="454"/>
      <c r="J341" s="5"/>
      <c r="K341" s="5"/>
      <c r="M341" s="5"/>
    </row>
    <row r="342" spans="1:13" ht="12.75">
      <c r="A342" s="445"/>
      <c r="G342" s="454"/>
      <c r="K342" s="5"/>
      <c r="M342" s="5"/>
    </row>
    <row r="343" spans="10:13" ht="12.75">
      <c r="J343" s="5"/>
      <c r="K343" s="5"/>
      <c r="L343" s="5"/>
      <c r="M343" s="5"/>
    </row>
    <row r="344" spans="1:13" ht="12.75">
      <c r="A344" s="445"/>
      <c r="J344" s="5"/>
      <c r="K344" s="5"/>
      <c r="L344" s="5"/>
      <c r="M344" s="5"/>
    </row>
    <row r="345" spans="1:13" ht="12.75">
      <c r="A345" s="445"/>
      <c r="G345" s="455"/>
      <c r="J345" s="5"/>
      <c r="K345" s="5"/>
      <c r="M345" s="5"/>
    </row>
    <row r="346" spans="1:13" ht="12.75">
      <c r="A346" s="445"/>
      <c r="G346" s="455"/>
      <c r="J346" s="5"/>
      <c r="K346" s="5"/>
      <c r="M346" s="5"/>
    </row>
    <row r="347" spans="1:13" ht="12.75">
      <c r="A347" s="445"/>
      <c r="J347" s="5"/>
      <c r="K347" s="5"/>
      <c r="M347" s="5"/>
    </row>
    <row r="348" spans="1:13" ht="12.75">
      <c r="A348" s="445"/>
      <c r="J348" s="5"/>
      <c r="K348" s="5"/>
      <c r="M348" s="5"/>
    </row>
    <row r="349" spans="10:13" ht="12.75">
      <c r="J349" s="5"/>
      <c r="K349" s="5"/>
      <c r="L349" s="5"/>
      <c r="M349" s="5"/>
    </row>
    <row r="350" spans="1:13" ht="12.75">
      <c r="A350" s="445"/>
      <c r="J350" s="5"/>
      <c r="K350" s="5"/>
      <c r="L350" s="5"/>
      <c r="M350" s="5"/>
    </row>
    <row r="351" spans="10:13" ht="12.75">
      <c r="J351" s="5"/>
      <c r="K351" s="5"/>
      <c r="L351" s="5"/>
      <c r="M351" s="5"/>
    </row>
    <row r="352" spans="1:13" ht="12.75">
      <c r="A352" s="445"/>
      <c r="K352" s="5"/>
      <c r="M352" s="5"/>
    </row>
    <row r="353" spans="1:13" ht="12.75">
      <c r="A353" s="445"/>
      <c r="J353" s="5"/>
      <c r="K353" s="5"/>
      <c r="L353" s="5"/>
      <c r="M353" s="5"/>
    </row>
    <row r="354" spans="1:13" ht="12.75">
      <c r="A354" s="445"/>
      <c r="J354" s="5"/>
      <c r="K354" s="5"/>
      <c r="L354" s="5"/>
      <c r="M354" s="5"/>
    </row>
    <row r="355" spans="1:13" ht="12.75">
      <c r="A355" s="445"/>
      <c r="K355" s="5"/>
      <c r="M355" s="5"/>
    </row>
    <row r="356" spans="1:13" ht="12.75">
      <c r="A356" s="445"/>
      <c r="J356" s="5"/>
      <c r="K356" s="5"/>
      <c r="M356" s="5"/>
    </row>
    <row r="357" spans="1:13" ht="12.75">
      <c r="A357" s="445"/>
      <c r="K357" s="5"/>
      <c r="M357" s="5"/>
    </row>
    <row r="358" spans="10:13" ht="12.75">
      <c r="J358" s="5"/>
      <c r="K358" s="5"/>
      <c r="L358" s="5"/>
      <c r="M358" s="5"/>
    </row>
    <row r="359" spans="1:13" ht="12.75">
      <c r="A359" s="445"/>
      <c r="K359" s="5"/>
      <c r="M359" s="5"/>
    </row>
    <row r="360" spans="10:13" ht="12.75">
      <c r="J360" s="5"/>
      <c r="K360" s="5"/>
      <c r="L360" s="5"/>
      <c r="M360" s="5"/>
    </row>
    <row r="361" spans="1:13" ht="12.75">
      <c r="A361" s="445"/>
      <c r="B361" s="5"/>
      <c r="J361" s="5"/>
      <c r="K361" s="5"/>
      <c r="L361" s="5"/>
      <c r="M361" s="5"/>
    </row>
    <row r="362" ht="12.75">
      <c r="M362" s="5"/>
    </row>
    <row r="363" ht="12.75">
      <c r="M363" s="5"/>
    </row>
    <row r="364" ht="12.75">
      <c r="M364" s="5"/>
    </row>
    <row r="365" ht="12.75">
      <c r="M365" s="5"/>
    </row>
    <row r="366" spans="10:13" ht="12.75">
      <c r="J366" s="5"/>
      <c r="K366" s="5"/>
      <c r="L366" s="5"/>
      <c r="M366" s="5"/>
    </row>
    <row r="367" spans="1:13" ht="12.75">
      <c r="A367" s="445"/>
      <c r="M367" s="5"/>
    </row>
    <row r="368" spans="10:13" ht="12.75">
      <c r="J368" s="5"/>
      <c r="K368" s="5"/>
      <c r="L368" s="5"/>
      <c r="M368" s="5"/>
    </row>
    <row r="369" spans="10:13" ht="12.75">
      <c r="J369" s="5"/>
      <c r="K369" s="5"/>
      <c r="L369" s="5"/>
      <c r="M369" s="5"/>
    </row>
    <row r="370" spans="10:13" ht="12.75">
      <c r="J370" s="5"/>
      <c r="K370" s="5"/>
      <c r="L370" s="5"/>
      <c r="M370" s="5"/>
    </row>
    <row r="371" spans="1:13" ht="12.75">
      <c r="A371" s="456"/>
      <c r="B371" s="456"/>
      <c r="J371" s="5"/>
      <c r="K371" s="5"/>
      <c r="L371" s="5"/>
      <c r="M371" s="5"/>
    </row>
    <row r="372" spans="5:6" ht="12.75">
      <c r="E372" s="441"/>
      <c r="F372" s="442"/>
    </row>
    <row r="373" spans="1:2" ht="12.75">
      <c r="A373" s="440"/>
      <c r="B373" s="440"/>
    </row>
    <row r="374" spans="2:6" ht="12.75">
      <c r="B374" s="443"/>
      <c r="C374" s="443"/>
      <c r="D374" s="443"/>
      <c r="E374" s="443"/>
      <c r="F374" s="443"/>
    </row>
    <row r="375" spans="2:6" ht="12.75">
      <c r="B375" s="444"/>
      <c r="C375" s="443"/>
      <c r="D375" s="443"/>
      <c r="E375" s="443"/>
      <c r="F375" s="443"/>
    </row>
    <row r="376" spans="2:6" ht="12.75">
      <c r="B376" s="444"/>
      <c r="C376" s="443"/>
      <c r="D376" s="443"/>
      <c r="E376" s="443"/>
      <c r="F376" s="443"/>
    </row>
    <row r="377" spans="1:7" ht="12.75">
      <c r="A377" s="445"/>
      <c r="G377" s="440"/>
    </row>
    <row r="378" spans="9:13" ht="12.75">
      <c r="I378" s="446"/>
      <c r="M378" s="444"/>
    </row>
    <row r="379" spans="1:13" ht="12.75">
      <c r="A379" s="445"/>
      <c r="I379" s="447"/>
      <c r="J379" s="448"/>
      <c r="K379" s="444"/>
      <c r="L379" s="444"/>
      <c r="M379" s="444"/>
    </row>
    <row r="380" spans="1:13" ht="12.75">
      <c r="A380" s="445"/>
      <c r="H380" s="449"/>
      <c r="J380" s="450"/>
      <c r="K380" s="98"/>
      <c r="M380" s="98"/>
    </row>
    <row r="381" spans="1:13" ht="12.75">
      <c r="A381" s="445"/>
      <c r="K381" s="172"/>
      <c r="L381" s="172"/>
      <c r="M381" s="451"/>
    </row>
    <row r="382" spans="1:13" ht="12.75">
      <c r="A382" s="445"/>
      <c r="G382" s="452"/>
      <c r="J382" s="5"/>
      <c r="K382" s="5"/>
      <c r="M382" s="5"/>
    </row>
    <row r="383" spans="1:13" ht="12.75">
      <c r="A383" s="445"/>
      <c r="G383" s="453"/>
      <c r="J383" s="5"/>
      <c r="K383" s="24"/>
      <c r="M383" s="24"/>
    </row>
    <row r="384" spans="1:13" ht="12.75">
      <c r="A384" s="445"/>
      <c r="G384" s="452"/>
      <c r="J384" s="5"/>
      <c r="K384" s="5"/>
      <c r="M384" s="5"/>
    </row>
    <row r="385" spans="7:13" ht="12.75">
      <c r="G385" s="452"/>
      <c r="J385" s="5"/>
      <c r="K385" s="24"/>
      <c r="M385" s="24"/>
    </row>
    <row r="386" spans="1:13" ht="12.75">
      <c r="A386" s="445"/>
      <c r="G386" s="452"/>
      <c r="J386" s="5"/>
      <c r="K386" s="24"/>
      <c r="M386" s="24"/>
    </row>
    <row r="387" spans="1:13" ht="12.75">
      <c r="A387" s="445"/>
      <c r="G387" s="454"/>
      <c r="J387" s="5"/>
      <c r="K387" s="5"/>
      <c r="M387" s="5"/>
    </row>
    <row r="388" spans="1:13" ht="12.75">
      <c r="A388" s="445"/>
      <c r="G388" s="454"/>
      <c r="K388" s="5"/>
      <c r="M388" s="5"/>
    </row>
    <row r="389" spans="10:13" ht="12.75">
      <c r="J389" s="5"/>
      <c r="K389" s="5"/>
      <c r="L389" s="5"/>
      <c r="M389" s="5"/>
    </row>
    <row r="390" spans="1:13" ht="12.75">
      <c r="A390" s="445"/>
      <c r="J390" s="5"/>
      <c r="K390" s="5"/>
      <c r="L390" s="5"/>
      <c r="M390" s="5"/>
    </row>
    <row r="391" spans="1:13" ht="12.75">
      <c r="A391" s="445"/>
      <c r="G391" s="455"/>
      <c r="J391" s="5"/>
      <c r="K391" s="5"/>
      <c r="M391" s="5"/>
    </row>
    <row r="392" spans="1:13" ht="12.75">
      <c r="A392" s="445"/>
      <c r="G392" s="455"/>
      <c r="J392" s="5"/>
      <c r="K392" s="5"/>
      <c r="M392" s="5"/>
    </row>
    <row r="393" spans="1:13" ht="12.75">
      <c r="A393" s="445"/>
      <c r="J393" s="5"/>
      <c r="K393" s="5"/>
      <c r="M393" s="5"/>
    </row>
    <row r="394" spans="1:13" ht="12.75">
      <c r="A394" s="445"/>
      <c r="J394" s="5"/>
      <c r="K394" s="5"/>
      <c r="M394" s="5"/>
    </row>
    <row r="395" spans="10:13" ht="12.75">
      <c r="J395" s="5"/>
      <c r="K395" s="5"/>
      <c r="L395" s="5"/>
      <c r="M395" s="5"/>
    </row>
    <row r="396" spans="1:13" ht="12.75">
      <c r="A396" s="445"/>
      <c r="J396" s="5"/>
      <c r="K396" s="5"/>
      <c r="L396" s="5"/>
      <c r="M396" s="5"/>
    </row>
    <row r="397" spans="10:13" ht="12.75">
      <c r="J397" s="5"/>
      <c r="K397" s="5"/>
      <c r="L397" s="5"/>
      <c r="M397" s="5"/>
    </row>
    <row r="398" spans="1:13" ht="12.75">
      <c r="A398" s="445"/>
      <c r="K398" s="5"/>
      <c r="M398" s="5"/>
    </row>
    <row r="399" spans="1:13" ht="12.75">
      <c r="A399" s="445"/>
      <c r="J399" s="5"/>
      <c r="K399" s="5"/>
      <c r="L399" s="5"/>
      <c r="M399" s="5"/>
    </row>
    <row r="400" spans="1:13" ht="12.75">
      <c r="A400" s="445"/>
      <c r="J400" s="5"/>
      <c r="K400" s="5"/>
      <c r="L400" s="5"/>
      <c r="M400" s="5"/>
    </row>
    <row r="401" spans="1:13" ht="12.75">
      <c r="A401" s="445"/>
      <c r="K401" s="5"/>
      <c r="M401" s="5"/>
    </row>
    <row r="402" spans="1:13" ht="12.75">
      <c r="A402" s="445"/>
      <c r="J402" s="5"/>
      <c r="K402" s="5"/>
      <c r="M402" s="5"/>
    </row>
    <row r="403" spans="1:13" ht="12.75">
      <c r="A403" s="445"/>
      <c r="K403" s="5"/>
      <c r="M403" s="5"/>
    </row>
    <row r="404" spans="10:13" ht="12.75">
      <c r="J404" s="5"/>
      <c r="K404" s="5"/>
      <c r="L404" s="5"/>
      <c r="M404" s="5"/>
    </row>
    <row r="405" spans="1:13" ht="12.75">
      <c r="A405" s="445"/>
      <c r="K405" s="5"/>
      <c r="M405" s="5"/>
    </row>
    <row r="406" spans="10:13" ht="12.75">
      <c r="J406" s="5"/>
      <c r="K406" s="5"/>
      <c r="L406" s="5"/>
      <c r="M406" s="5"/>
    </row>
    <row r="407" spans="1:13" ht="12.75">
      <c r="A407" s="445"/>
      <c r="B407" s="5"/>
      <c r="J407" s="5"/>
      <c r="K407" s="5"/>
      <c r="L407" s="5"/>
      <c r="M407" s="5"/>
    </row>
    <row r="408" ht="12.75">
      <c r="M408" s="5"/>
    </row>
    <row r="409" ht="12.75">
      <c r="M409" s="5"/>
    </row>
    <row r="410" ht="12.75">
      <c r="M410" s="5"/>
    </row>
    <row r="411" ht="12.75">
      <c r="M411" s="5"/>
    </row>
    <row r="412" spans="10:13" ht="12.75">
      <c r="J412" s="5"/>
      <c r="K412" s="5"/>
      <c r="L412" s="5"/>
      <c r="M412" s="5"/>
    </row>
    <row r="413" spans="1:13" ht="12.75">
      <c r="A413" s="445"/>
      <c r="M413" s="5"/>
    </row>
    <row r="414" spans="10:13" ht="12.75">
      <c r="J414" s="5"/>
      <c r="K414" s="5"/>
      <c r="L414" s="5"/>
      <c r="M414" s="5"/>
    </row>
    <row r="415" spans="10:13" ht="12.75">
      <c r="J415" s="5"/>
      <c r="K415" s="5"/>
      <c r="L415" s="5"/>
      <c r="M415" s="5"/>
    </row>
    <row r="416" spans="10:13" ht="12.75">
      <c r="J416" s="5"/>
      <c r="K416" s="5"/>
      <c r="L416" s="5"/>
      <c r="M416" s="5"/>
    </row>
    <row r="417" spans="1:13" ht="12.75">
      <c r="A417" s="456"/>
      <c r="B417" s="456"/>
      <c r="J417" s="5"/>
      <c r="K417" s="5"/>
      <c r="L417" s="5"/>
      <c r="M417" s="5"/>
    </row>
    <row r="418" spans="5:6" ht="12.75">
      <c r="E418" s="441"/>
      <c r="F418" s="442"/>
    </row>
    <row r="419" spans="1:2" ht="12.75">
      <c r="A419" s="440"/>
      <c r="B419" s="440"/>
    </row>
    <row r="420" spans="2:6" ht="12.75">
      <c r="B420" s="443"/>
      <c r="C420" s="443"/>
      <c r="D420" s="443"/>
      <c r="E420" s="443"/>
      <c r="F420" s="443"/>
    </row>
    <row r="421" spans="2:6" ht="12.75">
      <c r="B421" s="444"/>
      <c r="C421" s="443"/>
      <c r="D421" s="443"/>
      <c r="E421" s="443"/>
      <c r="F421" s="443"/>
    </row>
    <row r="422" spans="2:6" ht="12.75">
      <c r="B422" s="444"/>
      <c r="C422" s="443"/>
      <c r="D422" s="443"/>
      <c r="E422" s="443"/>
      <c r="F422" s="443"/>
    </row>
    <row r="423" spans="1:7" ht="12.75">
      <c r="A423" s="445"/>
      <c r="G423" s="440"/>
    </row>
    <row r="424" spans="9:13" ht="12.75">
      <c r="I424" s="446"/>
      <c r="M424" s="444"/>
    </row>
    <row r="425" spans="1:13" ht="12.75">
      <c r="A425" s="445"/>
      <c r="I425" s="447"/>
      <c r="J425" s="448"/>
      <c r="K425" s="444"/>
      <c r="L425" s="444"/>
      <c r="M425" s="444"/>
    </row>
    <row r="426" spans="1:13" ht="12.75">
      <c r="A426" s="445"/>
      <c r="H426" s="449"/>
      <c r="J426" s="450"/>
      <c r="K426" s="98"/>
      <c r="M426" s="98"/>
    </row>
    <row r="427" spans="1:13" ht="12.75">
      <c r="A427" s="445"/>
      <c r="K427" s="172"/>
      <c r="L427" s="172"/>
      <c r="M427" s="451"/>
    </row>
    <row r="428" spans="1:13" ht="12.75">
      <c r="A428" s="445"/>
      <c r="G428" s="452"/>
      <c r="J428" s="5"/>
      <c r="K428" s="5"/>
      <c r="M428" s="5"/>
    </row>
    <row r="429" spans="1:13" ht="12.75">
      <c r="A429" s="445"/>
      <c r="G429" s="453"/>
      <c r="J429" s="5"/>
      <c r="K429" s="24"/>
      <c r="M429" s="24"/>
    </row>
    <row r="430" spans="1:13" ht="12.75">
      <c r="A430" s="445"/>
      <c r="G430" s="452"/>
      <c r="J430" s="5"/>
      <c r="K430" s="5"/>
      <c r="M430" s="5"/>
    </row>
    <row r="431" spans="7:13" ht="12.75">
      <c r="G431" s="452"/>
      <c r="J431" s="5"/>
      <c r="K431" s="24"/>
      <c r="M431" s="24"/>
    </row>
    <row r="432" spans="1:13" ht="12.75">
      <c r="A432" s="445"/>
      <c r="G432" s="452"/>
      <c r="J432" s="5"/>
      <c r="K432" s="24"/>
      <c r="M432" s="24"/>
    </row>
    <row r="433" spans="1:13" ht="12.75">
      <c r="A433" s="445"/>
      <c r="G433" s="454"/>
      <c r="J433" s="5"/>
      <c r="K433" s="5"/>
      <c r="M433" s="5"/>
    </row>
    <row r="434" spans="1:13" ht="12.75">
      <c r="A434" s="445"/>
      <c r="G434" s="454"/>
      <c r="K434" s="5"/>
      <c r="M434" s="5"/>
    </row>
    <row r="435" spans="10:13" ht="12.75">
      <c r="J435" s="5"/>
      <c r="K435" s="5"/>
      <c r="L435" s="5"/>
      <c r="M435" s="5"/>
    </row>
    <row r="436" spans="1:13" ht="12.75">
      <c r="A436" s="445"/>
      <c r="J436" s="5"/>
      <c r="K436" s="5"/>
      <c r="L436" s="5"/>
      <c r="M436" s="5"/>
    </row>
    <row r="437" spans="1:13" ht="12.75">
      <c r="A437" s="445"/>
      <c r="G437" s="455"/>
      <c r="J437" s="5"/>
      <c r="K437" s="5"/>
      <c r="M437" s="5"/>
    </row>
    <row r="438" spans="1:13" ht="12.75">
      <c r="A438" s="445"/>
      <c r="G438" s="455"/>
      <c r="J438" s="5"/>
      <c r="K438" s="5"/>
      <c r="M438" s="5"/>
    </row>
    <row r="439" spans="1:13" ht="12.75">
      <c r="A439" s="445"/>
      <c r="J439" s="5"/>
      <c r="K439" s="5"/>
      <c r="M439" s="5"/>
    </row>
    <row r="440" spans="1:13" ht="12.75">
      <c r="A440" s="445"/>
      <c r="J440" s="5"/>
      <c r="K440" s="5"/>
      <c r="M440" s="5"/>
    </row>
    <row r="441" spans="10:13" ht="12.75">
      <c r="J441" s="5"/>
      <c r="K441" s="5"/>
      <c r="L441" s="5"/>
      <c r="M441" s="5"/>
    </row>
    <row r="442" spans="1:13" ht="12.75">
      <c r="A442" s="445"/>
      <c r="J442" s="5"/>
      <c r="K442" s="5"/>
      <c r="L442" s="5"/>
      <c r="M442" s="5"/>
    </row>
    <row r="443" spans="10:13" ht="12.75">
      <c r="J443" s="5"/>
      <c r="K443" s="5"/>
      <c r="L443" s="5"/>
      <c r="M443" s="5"/>
    </row>
    <row r="444" spans="1:13" ht="12.75">
      <c r="A444" s="445"/>
      <c r="K444" s="5"/>
      <c r="M444" s="5"/>
    </row>
    <row r="445" spans="1:13" ht="12.75">
      <c r="A445" s="445"/>
      <c r="J445" s="5"/>
      <c r="K445" s="5"/>
      <c r="L445" s="5"/>
      <c r="M445" s="5"/>
    </row>
    <row r="446" spans="1:13" ht="12.75">
      <c r="A446" s="445"/>
      <c r="J446" s="5"/>
      <c r="K446" s="5"/>
      <c r="L446" s="5"/>
      <c r="M446" s="5"/>
    </row>
    <row r="447" spans="1:13" ht="12.75">
      <c r="A447" s="445"/>
      <c r="K447" s="5"/>
      <c r="M447" s="5"/>
    </row>
    <row r="448" spans="1:13" ht="12.75">
      <c r="A448" s="445"/>
      <c r="J448" s="5"/>
      <c r="K448" s="5"/>
      <c r="M448" s="5"/>
    </row>
    <row r="449" spans="1:13" ht="12.75">
      <c r="A449" s="445"/>
      <c r="K449" s="5"/>
      <c r="M449" s="5"/>
    </row>
    <row r="450" spans="10:13" ht="12.75">
      <c r="J450" s="5"/>
      <c r="K450" s="5"/>
      <c r="L450" s="5"/>
      <c r="M450" s="5"/>
    </row>
    <row r="451" spans="1:13" ht="12.75">
      <c r="A451" s="445"/>
      <c r="K451" s="5"/>
      <c r="M451" s="5"/>
    </row>
    <row r="452" spans="10:13" ht="12.75">
      <c r="J452" s="5"/>
      <c r="K452" s="5"/>
      <c r="L452" s="5"/>
      <c r="M452" s="5"/>
    </row>
    <row r="453" spans="1:13" ht="12.75">
      <c r="A453" s="445"/>
      <c r="B453" s="5"/>
      <c r="J453" s="5"/>
      <c r="K453" s="5"/>
      <c r="L453" s="5"/>
      <c r="M453" s="5"/>
    </row>
    <row r="454" ht="12.75">
      <c r="M454" s="5"/>
    </row>
    <row r="455" ht="12.75">
      <c r="M455" s="5"/>
    </row>
    <row r="456" ht="12.75">
      <c r="M456" s="5"/>
    </row>
    <row r="457" ht="12.75">
      <c r="M457" s="5"/>
    </row>
    <row r="458" spans="10:13" ht="12.75">
      <c r="J458" s="5"/>
      <c r="K458" s="5"/>
      <c r="L458" s="5"/>
      <c r="M458" s="5"/>
    </row>
    <row r="459" spans="1:13" ht="12.75">
      <c r="A459" s="445"/>
      <c r="M459" s="5"/>
    </row>
    <row r="460" spans="10:13" ht="12.75">
      <c r="J460" s="5"/>
      <c r="K460" s="5"/>
      <c r="L460" s="5"/>
      <c r="M460" s="5"/>
    </row>
    <row r="461" spans="10:13" ht="12.75">
      <c r="J461" s="5"/>
      <c r="K461" s="5"/>
      <c r="L461" s="5"/>
      <c r="M461" s="5"/>
    </row>
    <row r="462" spans="10:13" ht="12.75">
      <c r="J462" s="5"/>
      <c r="K462" s="5"/>
      <c r="L462" s="5"/>
      <c r="M462" s="5"/>
    </row>
    <row r="463" spans="1:13" ht="12.75">
      <c r="A463" s="456"/>
      <c r="B463" s="456"/>
      <c r="J463" s="5"/>
      <c r="K463" s="5"/>
      <c r="L463" s="5"/>
      <c r="M463" s="5"/>
    </row>
    <row r="464" spans="5:6" ht="12.75">
      <c r="E464" s="441"/>
      <c r="F464" s="442"/>
    </row>
    <row r="465" spans="1:2" ht="12.75">
      <c r="A465" s="440"/>
      <c r="B465" s="440"/>
    </row>
    <row r="466" spans="2:6" ht="12.75">
      <c r="B466" s="443"/>
      <c r="C466" s="443"/>
      <c r="D466" s="443"/>
      <c r="E466" s="443"/>
      <c r="F466" s="443"/>
    </row>
    <row r="467" spans="2:6" ht="12.75">
      <c r="B467" s="444"/>
      <c r="C467" s="443"/>
      <c r="D467" s="443"/>
      <c r="E467" s="443"/>
      <c r="F467" s="443"/>
    </row>
    <row r="468" spans="2:6" ht="12.75">
      <c r="B468" s="444"/>
      <c r="C468" s="443"/>
      <c r="D468" s="443"/>
      <c r="E468" s="443"/>
      <c r="F468" s="443"/>
    </row>
    <row r="469" spans="1:7" ht="12.75">
      <c r="A469" s="445"/>
      <c r="G469" s="440"/>
    </row>
    <row r="470" spans="9:13" ht="12.75">
      <c r="I470" s="446"/>
      <c r="M470" s="444"/>
    </row>
    <row r="471" spans="1:13" ht="12.75">
      <c r="A471" s="445"/>
      <c r="I471" s="447"/>
      <c r="J471" s="448"/>
      <c r="K471" s="444"/>
      <c r="L471" s="444"/>
      <c r="M471" s="444"/>
    </row>
    <row r="472" spans="1:13" ht="12.75">
      <c r="A472" s="445"/>
      <c r="H472" s="449"/>
      <c r="J472" s="450"/>
      <c r="K472" s="98"/>
      <c r="M472" s="98"/>
    </row>
    <row r="473" spans="1:13" ht="12.75">
      <c r="A473" s="445"/>
      <c r="K473" s="172"/>
      <c r="L473" s="172"/>
      <c r="M473" s="451"/>
    </row>
    <row r="474" spans="1:13" ht="12.75">
      <c r="A474" s="445"/>
      <c r="G474" s="452"/>
      <c r="J474" s="5"/>
      <c r="K474" s="5"/>
      <c r="M474" s="5"/>
    </row>
    <row r="475" spans="1:13" ht="12.75">
      <c r="A475" s="445"/>
      <c r="G475" s="453"/>
      <c r="J475" s="5"/>
      <c r="K475" s="24"/>
      <c r="M475" s="24"/>
    </row>
    <row r="476" spans="1:13" ht="12.75">
      <c r="A476" s="445"/>
      <c r="G476" s="452"/>
      <c r="J476" s="5"/>
      <c r="K476" s="5"/>
      <c r="M476" s="5"/>
    </row>
    <row r="477" spans="7:13" ht="12.75">
      <c r="G477" s="452"/>
      <c r="J477" s="5"/>
      <c r="K477" s="24"/>
      <c r="M477" s="24"/>
    </row>
    <row r="478" spans="1:13" ht="12.75">
      <c r="A478" s="445"/>
      <c r="G478" s="452"/>
      <c r="J478" s="5"/>
      <c r="K478" s="24"/>
      <c r="M478" s="24"/>
    </row>
    <row r="479" spans="1:13" ht="12.75">
      <c r="A479" s="445"/>
      <c r="G479" s="454"/>
      <c r="J479" s="5"/>
      <c r="K479" s="5"/>
      <c r="M479" s="5"/>
    </row>
    <row r="480" spans="1:13" ht="12.75">
      <c r="A480" s="445"/>
      <c r="G480" s="454"/>
      <c r="K480" s="5"/>
      <c r="M480" s="5"/>
    </row>
    <row r="481" spans="10:13" ht="12.75">
      <c r="J481" s="5"/>
      <c r="K481" s="5"/>
      <c r="L481" s="5"/>
      <c r="M481" s="5"/>
    </row>
    <row r="482" spans="1:13" ht="12.75">
      <c r="A482" s="445"/>
      <c r="J482" s="5"/>
      <c r="K482" s="5"/>
      <c r="L482" s="5"/>
      <c r="M482" s="5"/>
    </row>
    <row r="483" spans="1:13" ht="12.75">
      <c r="A483" s="445"/>
      <c r="G483" s="455"/>
      <c r="J483" s="5"/>
      <c r="K483" s="5"/>
      <c r="M483" s="5"/>
    </row>
    <row r="484" spans="1:13" ht="12.75">
      <c r="A484" s="445"/>
      <c r="G484" s="455"/>
      <c r="J484" s="5"/>
      <c r="K484" s="5"/>
      <c r="M484" s="5"/>
    </row>
    <row r="485" spans="1:13" ht="12.75">
      <c r="A485" s="445"/>
      <c r="J485" s="5"/>
      <c r="K485" s="5"/>
      <c r="M485" s="5"/>
    </row>
    <row r="486" spans="1:13" ht="12.75">
      <c r="A486" s="445"/>
      <c r="J486" s="5"/>
      <c r="K486" s="5"/>
      <c r="M486" s="5"/>
    </row>
    <row r="487" spans="10:13" ht="12.75">
      <c r="J487" s="5"/>
      <c r="K487" s="5"/>
      <c r="L487" s="5"/>
      <c r="M487" s="5"/>
    </row>
    <row r="488" spans="1:13" ht="12.75">
      <c r="A488" s="445"/>
      <c r="J488" s="5"/>
      <c r="K488" s="5"/>
      <c r="L488" s="5"/>
      <c r="M488" s="5"/>
    </row>
    <row r="489" spans="10:13" ht="12.75">
      <c r="J489" s="5"/>
      <c r="K489" s="5"/>
      <c r="L489" s="5"/>
      <c r="M489" s="5"/>
    </row>
    <row r="490" spans="1:13" ht="12.75">
      <c r="A490" s="445"/>
      <c r="K490" s="5"/>
      <c r="M490" s="5"/>
    </row>
    <row r="491" spans="1:13" ht="12.75">
      <c r="A491" s="445"/>
      <c r="J491" s="5"/>
      <c r="K491" s="5"/>
      <c r="L491" s="5"/>
      <c r="M491" s="5"/>
    </row>
    <row r="492" spans="1:13" ht="12.75">
      <c r="A492" s="445"/>
      <c r="J492" s="5"/>
      <c r="K492" s="5"/>
      <c r="L492" s="5"/>
      <c r="M492" s="5"/>
    </row>
    <row r="493" spans="1:13" ht="12.75">
      <c r="A493" s="445"/>
      <c r="K493" s="5"/>
      <c r="M493" s="5"/>
    </row>
    <row r="494" spans="1:13" ht="12.75">
      <c r="A494" s="445"/>
      <c r="J494" s="5"/>
      <c r="K494" s="5"/>
      <c r="M494" s="5"/>
    </row>
    <row r="495" spans="1:13" ht="12.75">
      <c r="A495" s="445"/>
      <c r="K495" s="5"/>
      <c r="M495" s="5"/>
    </row>
    <row r="496" spans="10:13" ht="12.75">
      <c r="J496" s="5"/>
      <c r="K496" s="5"/>
      <c r="L496" s="5"/>
      <c r="M496" s="5"/>
    </row>
    <row r="497" spans="1:13" ht="12.75">
      <c r="A497" s="445"/>
      <c r="K497" s="5"/>
      <c r="M497" s="5"/>
    </row>
    <row r="498" spans="10:13" ht="12.75">
      <c r="J498" s="5"/>
      <c r="K498" s="5"/>
      <c r="L498" s="5"/>
      <c r="M498" s="5"/>
    </row>
    <row r="499" spans="1:13" ht="12.75">
      <c r="A499" s="445"/>
      <c r="B499" s="5"/>
      <c r="J499" s="5"/>
      <c r="K499" s="5"/>
      <c r="L499" s="5"/>
      <c r="M499" s="5"/>
    </row>
    <row r="500" ht="12.75">
      <c r="M500" s="5"/>
    </row>
    <row r="501" ht="12.75">
      <c r="M501" s="5"/>
    </row>
    <row r="502" ht="12.75">
      <c r="M502" s="5"/>
    </row>
    <row r="503" ht="12.75">
      <c r="M503" s="5"/>
    </row>
    <row r="504" spans="10:13" ht="12.75">
      <c r="J504" s="5"/>
      <c r="K504" s="5"/>
      <c r="L504" s="5"/>
      <c r="M504" s="5"/>
    </row>
    <row r="505" spans="1:13" ht="12.75">
      <c r="A505" s="445"/>
      <c r="M505" s="5"/>
    </row>
    <row r="506" spans="10:13" ht="12.75">
      <c r="J506" s="5"/>
      <c r="K506" s="5"/>
      <c r="L506" s="5"/>
      <c r="M506" s="5"/>
    </row>
    <row r="507" spans="10:13" ht="12.75">
      <c r="J507" s="5"/>
      <c r="K507" s="5"/>
      <c r="L507" s="5"/>
      <c r="M507" s="5"/>
    </row>
    <row r="508" spans="10:13" ht="12.75">
      <c r="J508" s="5"/>
      <c r="K508" s="5"/>
      <c r="L508" s="5"/>
      <c r="M508" s="5"/>
    </row>
    <row r="509" spans="1:13" ht="12.75">
      <c r="A509" s="456"/>
      <c r="B509" s="456"/>
      <c r="J509" s="5"/>
      <c r="K509" s="5"/>
      <c r="L509" s="5"/>
      <c r="M509" s="5"/>
    </row>
    <row r="510" spans="5:6" ht="12.75">
      <c r="E510" s="441"/>
      <c r="F510" s="442"/>
    </row>
    <row r="511" spans="1:2" ht="12.75">
      <c r="A511" s="440"/>
      <c r="B511" s="440"/>
    </row>
    <row r="512" spans="2:6" ht="12.75">
      <c r="B512" s="443"/>
      <c r="C512" s="443"/>
      <c r="D512" s="443"/>
      <c r="E512" s="443"/>
      <c r="F512" s="443"/>
    </row>
    <row r="513" spans="2:6" ht="12.75">
      <c r="B513" s="444"/>
      <c r="C513" s="443"/>
      <c r="D513" s="443"/>
      <c r="E513" s="443"/>
      <c r="F513" s="443"/>
    </row>
    <row r="514" spans="2:6" ht="12.75">
      <c r="B514" s="444"/>
      <c r="C514" s="443"/>
      <c r="D514" s="443"/>
      <c r="E514" s="443"/>
      <c r="F514" s="443"/>
    </row>
    <row r="515" spans="1:7" ht="12.75">
      <c r="A515" s="445"/>
      <c r="G515" s="440"/>
    </row>
    <row r="516" spans="9:13" ht="12.75">
      <c r="I516" s="446"/>
      <c r="M516" s="444"/>
    </row>
    <row r="517" spans="1:13" ht="12.75">
      <c r="A517" s="445"/>
      <c r="I517" s="447"/>
      <c r="J517" s="448"/>
      <c r="K517" s="444"/>
      <c r="L517" s="444"/>
      <c r="M517" s="444"/>
    </row>
    <row r="518" spans="1:13" ht="12.75">
      <c r="A518" s="445"/>
      <c r="H518" s="449"/>
      <c r="J518" s="450"/>
      <c r="K518" s="98"/>
      <c r="M518" s="98"/>
    </row>
    <row r="519" spans="1:13" ht="12.75">
      <c r="A519" s="445"/>
      <c r="K519" s="172"/>
      <c r="L519" s="172"/>
      <c r="M519" s="451"/>
    </row>
    <row r="520" spans="1:13" ht="12.75">
      <c r="A520" s="445"/>
      <c r="G520" s="452"/>
      <c r="J520" s="5"/>
      <c r="K520" s="5"/>
      <c r="M520" s="5"/>
    </row>
    <row r="521" spans="1:13" ht="12.75">
      <c r="A521" s="445"/>
      <c r="G521" s="453"/>
      <c r="J521" s="5"/>
      <c r="K521" s="24"/>
      <c r="M521" s="24"/>
    </row>
    <row r="522" spans="1:13" ht="12.75">
      <c r="A522" s="445"/>
      <c r="G522" s="452"/>
      <c r="J522" s="5"/>
      <c r="K522" s="5"/>
      <c r="M522" s="5"/>
    </row>
    <row r="523" spans="7:13" ht="12.75">
      <c r="G523" s="452"/>
      <c r="J523" s="5"/>
      <c r="K523" s="24"/>
      <c r="M523" s="24"/>
    </row>
    <row r="524" spans="1:13" ht="12.75">
      <c r="A524" s="445"/>
      <c r="G524" s="452"/>
      <c r="J524" s="5"/>
      <c r="K524" s="24"/>
      <c r="M524" s="24"/>
    </row>
    <row r="525" spans="1:13" ht="12.75">
      <c r="A525" s="445"/>
      <c r="G525" s="454"/>
      <c r="J525" s="5"/>
      <c r="K525" s="5"/>
      <c r="M525" s="5"/>
    </row>
    <row r="526" spans="1:13" ht="12.75">
      <c r="A526" s="445"/>
      <c r="G526" s="454"/>
      <c r="K526" s="5"/>
      <c r="M526" s="5"/>
    </row>
    <row r="527" spans="10:13" ht="12.75">
      <c r="J527" s="5"/>
      <c r="K527" s="5"/>
      <c r="L527" s="5"/>
      <c r="M527" s="5"/>
    </row>
    <row r="528" spans="1:13" ht="12.75">
      <c r="A528" s="445"/>
      <c r="J528" s="5"/>
      <c r="K528" s="5"/>
      <c r="L528" s="5"/>
      <c r="M528" s="5"/>
    </row>
    <row r="529" spans="1:13" ht="12.75">
      <c r="A529" s="445"/>
      <c r="G529" s="455"/>
      <c r="J529" s="5"/>
      <c r="K529" s="5"/>
      <c r="M529" s="5"/>
    </row>
    <row r="530" spans="1:13" ht="12.75">
      <c r="A530" s="445"/>
      <c r="G530" s="455"/>
      <c r="J530" s="5"/>
      <c r="K530" s="5"/>
      <c r="M530" s="5"/>
    </row>
    <row r="531" spans="1:13" ht="12.75">
      <c r="A531" s="445"/>
      <c r="J531" s="5"/>
      <c r="K531" s="5"/>
      <c r="M531" s="5"/>
    </row>
    <row r="532" spans="1:13" ht="12.75">
      <c r="A532" s="445"/>
      <c r="J532" s="5"/>
      <c r="K532" s="5"/>
      <c r="M532" s="5"/>
    </row>
    <row r="533" spans="10:13" ht="12.75">
      <c r="J533" s="5"/>
      <c r="K533" s="5"/>
      <c r="L533" s="5"/>
      <c r="M533" s="5"/>
    </row>
    <row r="534" spans="1:13" ht="12.75">
      <c r="A534" s="445"/>
      <c r="J534" s="5"/>
      <c r="K534" s="5"/>
      <c r="L534" s="5"/>
      <c r="M534" s="5"/>
    </row>
    <row r="535" spans="10:13" ht="12.75">
      <c r="J535" s="5"/>
      <c r="K535" s="5"/>
      <c r="L535" s="5"/>
      <c r="M535" s="5"/>
    </row>
    <row r="536" spans="1:13" ht="12.75">
      <c r="A536" s="445"/>
      <c r="K536" s="5"/>
      <c r="M536" s="5"/>
    </row>
    <row r="537" spans="1:13" ht="12.75">
      <c r="A537" s="445"/>
      <c r="J537" s="5"/>
      <c r="K537" s="5"/>
      <c r="L537" s="5"/>
      <c r="M537" s="5"/>
    </row>
    <row r="538" spans="1:13" ht="12.75">
      <c r="A538" s="445"/>
      <c r="J538" s="5"/>
      <c r="K538" s="5"/>
      <c r="L538" s="5"/>
      <c r="M538" s="5"/>
    </row>
    <row r="539" spans="1:13" ht="12.75">
      <c r="A539" s="445"/>
      <c r="K539" s="5"/>
      <c r="M539" s="5"/>
    </row>
    <row r="540" spans="1:13" ht="12.75">
      <c r="A540" s="445"/>
      <c r="J540" s="5"/>
      <c r="K540" s="5"/>
      <c r="M540" s="5"/>
    </row>
    <row r="541" spans="1:13" ht="12.75">
      <c r="A541" s="445"/>
      <c r="K541" s="5"/>
      <c r="M541" s="5"/>
    </row>
    <row r="542" spans="10:13" ht="12.75">
      <c r="J542" s="5"/>
      <c r="K542" s="5"/>
      <c r="L542" s="5"/>
      <c r="M542" s="5"/>
    </row>
    <row r="543" spans="1:13" ht="12.75">
      <c r="A543" s="445"/>
      <c r="K543" s="5"/>
      <c r="M543" s="5"/>
    </row>
    <row r="544" spans="10:13" ht="12.75">
      <c r="J544" s="5"/>
      <c r="K544" s="5"/>
      <c r="L544" s="5"/>
      <c r="M544" s="5"/>
    </row>
    <row r="545" spans="1:13" ht="12.75">
      <c r="A545" s="445"/>
      <c r="B545" s="5"/>
      <c r="J545" s="5"/>
      <c r="K545" s="5"/>
      <c r="L545" s="5"/>
      <c r="M545" s="5"/>
    </row>
    <row r="546" ht="12.75">
      <c r="M546" s="5"/>
    </row>
    <row r="547" ht="12.75">
      <c r="M547" s="5"/>
    </row>
    <row r="548" ht="12.75">
      <c r="M548" s="5"/>
    </row>
    <row r="549" ht="12.75">
      <c r="M549" s="5"/>
    </row>
    <row r="550" spans="10:13" ht="12.75">
      <c r="J550" s="5"/>
      <c r="K550" s="5"/>
      <c r="L550" s="5"/>
      <c r="M550" s="5"/>
    </row>
    <row r="551" spans="1:13" ht="12.75">
      <c r="A551" s="445"/>
      <c r="M551" s="5"/>
    </row>
    <row r="552" spans="10:13" ht="12.75">
      <c r="J552" s="5"/>
      <c r="K552" s="5"/>
      <c r="L552" s="5"/>
      <c r="M552" s="5"/>
    </row>
    <row r="553" spans="10:13" ht="12.75">
      <c r="J553" s="5"/>
      <c r="K553" s="5"/>
      <c r="L553" s="5"/>
      <c r="M553" s="5"/>
    </row>
    <row r="554" spans="10:13" ht="12.75">
      <c r="J554" s="5"/>
      <c r="K554" s="5"/>
      <c r="L554" s="5"/>
      <c r="M554" s="5"/>
    </row>
    <row r="555" spans="1:13" ht="12.75">
      <c r="A555" s="456"/>
      <c r="B555" s="456"/>
      <c r="J555" s="5"/>
      <c r="K555" s="5"/>
      <c r="L555" s="5"/>
      <c r="M555" s="5"/>
    </row>
    <row r="556" spans="5:6" ht="12.75">
      <c r="E556" s="441"/>
      <c r="F556" s="442"/>
    </row>
    <row r="557" spans="1:2" ht="12.75">
      <c r="A557" s="440"/>
      <c r="B557" s="440"/>
    </row>
    <row r="558" spans="2:6" ht="12.75">
      <c r="B558" s="443"/>
      <c r="C558" s="443"/>
      <c r="D558" s="443"/>
      <c r="E558" s="443"/>
      <c r="F558" s="443"/>
    </row>
    <row r="559" spans="2:6" ht="12.75">
      <c r="B559" s="444"/>
      <c r="C559" s="443"/>
      <c r="D559" s="443"/>
      <c r="E559" s="443"/>
      <c r="F559" s="443"/>
    </row>
    <row r="560" spans="2:6" ht="12.75">
      <c r="B560" s="444"/>
      <c r="C560" s="443"/>
      <c r="D560" s="443"/>
      <c r="E560" s="443"/>
      <c r="F560" s="443"/>
    </row>
    <row r="561" spans="1:7" ht="12.75">
      <c r="A561" s="445"/>
      <c r="G561" s="440"/>
    </row>
    <row r="562" spans="9:13" ht="12.75">
      <c r="I562" s="446"/>
      <c r="M562" s="444"/>
    </row>
    <row r="563" spans="1:13" ht="12.75">
      <c r="A563" s="445"/>
      <c r="I563" s="447"/>
      <c r="J563" s="448"/>
      <c r="K563" s="444"/>
      <c r="L563" s="444"/>
      <c r="M563" s="444"/>
    </row>
    <row r="564" spans="1:13" ht="12.75">
      <c r="A564" s="445"/>
      <c r="H564" s="449"/>
      <c r="J564" s="450"/>
      <c r="K564" s="98"/>
      <c r="M564" s="98"/>
    </row>
    <row r="565" spans="1:13" ht="12.75">
      <c r="A565" s="445"/>
      <c r="K565" s="172"/>
      <c r="L565" s="172"/>
      <c r="M565" s="451"/>
    </row>
    <row r="566" spans="1:13" ht="12.75">
      <c r="A566" s="445"/>
      <c r="G566" s="452"/>
      <c r="J566" s="5"/>
      <c r="K566" s="5"/>
      <c r="M566" s="5"/>
    </row>
    <row r="567" spans="1:13" ht="12.75">
      <c r="A567" s="445"/>
      <c r="G567" s="453"/>
      <c r="J567" s="5"/>
      <c r="K567" s="24"/>
      <c r="M567" s="24"/>
    </row>
    <row r="568" spans="1:13" ht="12.75">
      <c r="A568" s="445"/>
      <c r="G568" s="452"/>
      <c r="J568" s="5"/>
      <c r="K568" s="5"/>
      <c r="M568" s="5"/>
    </row>
    <row r="569" spans="7:13" ht="12.75">
      <c r="G569" s="452"/>
      <c r="J569" s="5"/>
      <c r="K569" s="24"/>
      <c r="M569" s="24"/>
    </row>
    <row r="570" spans="1:13" ht="12.75">
      <c r="A570" s="445"/>
      <c r="G570" s="452"/>
      <c r="J570" s="5"/>
      <c r="K570" s="24"/>
      <c r="M570" s="24"/>
    </row>
    <row r="571" spans="1:13" ht="12.75">
      <c r="A571" s="445"/>
      <c r="G571" s="454"/>
      <c r="J571" s="5"/>
      <c r="K571" s="5"/>
      <c r="M571" s="5"/>
    </row>
    <row r="572" spans="1:13" ht="12.75">
      <c r="A572" s="445"/>
      <c r="G572" s="454"/>
      <c r="K572" s="5"/>
      <c r="M572" s="5"/>
    </row>
    <row r="573" spans="10:13" ht="12.75">
      <c r="J573" s="5"/>
      <c r="K573" s="5"/>
      <c r="L573" s="5"/>
      <c r="M573" s="5"/>
    </row>
    <row r="574" spans="1:13" ht="12.75">
      <c r="A574" s="445"/>
      <c r="J574" s="5"/>
      <c r="K574" s="5"/>
      <c r="L574" s="5"/>
      <c r="M574" s="5"/>
    </row>
    <row r="575" spans="1:13" ht="12.75">
      <c r="A575" s="445"/>
      <c r="G575" s="455"/>
      <c r="J575" s="5"/>
      <c r="K575" s="5"/>
      <c r="M575" s="5"/>
    </row>
    <row r="576" spans="1:13" ht="12.75">
      <c r="A576" s="445"/>
      <c r="G576" s="455"/>
      <c r="J576" s="5"/>
      <c r="K576" s="5"/>
      <c r="M576" s="5"/>
    </row>
    <row r="577" spans="1:13" ht="12.75">
      <c r="A577" s="445"/>
      <c r="J577" s="5"/>
      <c r="K577" s="5"/>
      <c r="M577" s="5"/>
    </row>
    <row r="578" spans="1:13" ht="12.75">
      <c r="A578" s="445"/>
      <c r="J578" s="5"/>
      <c r="K578" s="5"/>
      <c r="M578" s="5"/>
    </row>
    <row r="579" spans="10:13" ht="12.75">
      <c r="J579" s="5"/>
      <c r="K579" s="5"/>
      <c r="L579" s="5"/>
      <c r="M579" s="5"/>
    </row>
    <row r="580" spans="1:13" ht="12.75">
      <c r="A580" s="445"/>
      <c r="J580" s="5"/>
      <c r="K580" s="5"/>
      <c r="L580" s="5"/>
      <c r="M580" s="5"/>
    </row>
    <row r="581" spans="10:13" ht="12.75">
      <c r="J581" s="5"/>
      <c r="K581" s="5"/>
      <c r="L581" s="5"/>
      <c r="M581" s="5"/>
    </row>
    <row r="582" spans="1:13" ht="12.75">
      <c r="A582" s="445"/>
      <c r="K582" s="5"/>
      <c r="M582" s="5"/>
    </row>
    <row r="583" spans="1:13" ht="12.75">
      <c r="A583" s="445"/>
      <c r="J583" s="5"/>
      <c r="K583" s="5"/>
      <c r="L583" s="5"/>
      <c r="M583" s="5"/>
    </row>
    <row r="584" spans="1:13" ht="12.75">
      <c r="A584" s="445"/>
      <c r="J584" s="5"/>
      <c r="K584" s="5"/>
      <c r="L584" s="5"/>
      <c r="M584" s="5"/>
    </row>
    <row r="585" spans="1:13" ht="12.75">
      <c r="A585" s="445"/>
      <c r="K585" s="5"/>
      <c r="M585" s="5"/>
    </row>
    <row r="586" spans="1:13" ht="12.75">
      <c r="A586" s="445"/>
      <c r="J586" s="5"/>
      <c r="K586" s="5"/>
      <c r="M586" s="5"/>
    </row>
    <row r="587" spans="1:13" ht="12.75">
      <c r="A587" s="445"/>
      <c r="K587" s="5"/>
      <c r="M587" s="5"/>
    </row>
    <row r="588" spans="10:13" ht="12.75">
      <c r="J588" s="5"/>
      <c r="K588" s="5"/>
      <c r="L588" s="5"/>
      <c r="M588" s="5"/>
    </row>
    <row r="589" spans="1:13" ht="12.75">
      <c r="A589" s="445"/>
      <c r="K589" s="5"/>
      <c r="M589" s="5"/>
    </row>
    <row r="590" spans="10:13" ht="12.75">
      <c r="J590" s="5"/>
      <c r="K590" s="5"/>
      <c r="L590" s="5"/>
      <c r="M590" s="5"/>
    </row>
    <row r="591" spans="1:13" ht="12.75">
      <c r="A591" s="445"/>
      <c r="B591" s="5"/>
      <c r="J591" s="5"/>
      <c r="K591" s="5"/>
      <c r="L591" s="5"/>
      <c r="M591" s="5"/>
    </row>
    <row r="592" ht="12.75">
      <c r="M592" s="5"/>
    </row>
    <row r="593" ht="12.75">
      <c r="M593" s="5"/>
    </row>
    <row r="594" ht="12.75">
      <c r="M594" s="5"/>
    </row>
    <row r="595" ht="12.75">
      <c r="M595" s="5"/>
    </row>
    <row r="596" spans="10:13" ht="12.75">
      <c r="J596" s="5"/>
      <c r="K596" s="5"/>
      <c r="L596" s="5"/>
      <c r="M596" s="5"/>
    </row>
    <row r="597" spans="1:13" ht="12.75">
      <c r="A597" s="445"/>
      <c r="M597" s="5"/>
    </row>
  </sheetData>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76"/>
  <sheetViews>
    <sheetView workbookViewId="0" topLeftCell="B1">
      <selection activeCell="Q28" sqref="Q28"/>
    </sheetView>
  </sheetViews>
  <sheetFormatPr defaultColWidth="9.140625" defaultRowHeight="12.75"/>
  <cols>
    <col min="1" max="1" width="9.140625" style="356" hidden="1" customWidth="1"/>
    <col min="2" max="2" width="5.28125" style="356" customWidth="1"/>
    <col min="3" max="3" width="9.28125" style="356" bestFit="1" customWidth="1"/>
    <col min="4" max="4" width="9.8515625" style="356" customWidth="1"/>
    <col min="5" max="5" width="11.57421875" style="356" customWidth="1"/>
    <col min="6" max="6" width="10.7109375" style="356" customWidth="1"/>
    <col min="7" max="7" width="10.8515625" style="356" bestFit="1" customWidth="1"/>
    <col min="8" max="8" width="10.28125" style="356" customWidth="1"/>
    <col min="9" max="9" width="16.8515625" style="356" customWidth="1"/>
    <col min="10" max="10" width="14.28125" style="356" customWidth="1"/>
    <col min="11" max="12" width="9.7109375" style="356" customWidth="1"/>
    <col min="13" max="13" width="10.8515625" style="356" customWidth="1"/>
    <col min="14" max="15" width="11.28125" style="356" bestFit="1" customWidth="1"/>
    <col min="16" max="16" width="9.28125" style="356" bestFit="1" customWidth="1"/>
    <col min="17" max="251" width="9.140625" style="356" customWidth="1"/>
    <col min="252" max="252" width="9.140625" style="356" hidden="1" customWidth="1"/>
    <col min="253" max="253" width="9.140625" style="356" customWidth="1"/>
    <col min="254" max="254" width="3.421875" style="356" customWidth="1"/>
    <col min="255" max="255" width="9.8515625" style="356" customWidth="1"/>
    <col min="256" max="256" width="3.57421875" style="356" customWidth="1"/>
    <col min="257" max="257" width="9.140625" style="356" customWidth="1"/>
    <col min="258" max="258" width="2.57421875" style="356" customWidth="1"/>
    <col min="259" max="259" width="9.7109375" style="356" customWidth="1"/>
    <col min="260" max="260" width="3.57421875" style="356" customWidth="1"/>
    <col min="261" max="261" width="9.140625" style="356" customWidth="1"/>
    <col min="262" max="262" width="2.8515625" style="356" customWidth="1"/>
    <col min="263" max="263" width="10.28125" style="356" customWidth="1"/>
    <col min="264" max="264" width="3.28125" style="356" customWidth="1"/>
    <col min="265" max="265" width="11.421875" style="356" customWidth="1"/>
    <col min="266" max="266" width="3.28125" style="356" customWidth="1"/>
    <col min="267" max="267" width="9.7109375" style="356" customWidth="1"/>
    <col min="268" max="268" width="2.7109375" style="356" customWidth="1"/>
    <col min="269" max="269" width="10.8515625" style="356" customWidth="1"/>
    <col min="270" max="507" width="9.140625" style="356" customWidth="1"/>
    <col min="508" max="508" width="9.140625" style="356" hidden="1" customWidth="1"/>
    <col min="509" max="509" width="9.140625" style="356" customWidth="1"/>
    <col min="510" max="510" width="3.421875" style="356" customWidth="1"/>
    <col min="511" max="511" width="9.8515625" style="356" customWidth="1"/>
    <col min="512" max="512" width="3.57421875" style="356" customWidth="1"/>
    <col min="513" max="513" width="9.140625" style="356" customWidth="1"/>
    <col min="514" max="514" width="2.57421875" style="356" customWidth="1"/>
    <col min="515" max="515" width="9.7109375" style="356" customWidth="1"/>
    <col min="516" max="516" width="3.57421875" style="356" customWidth="1"/>
    <col min="517" max="517" width="9.140625" style="356" customWidth="1"/>
    <col min="518" max="518" width="2.8515625" style="356" customWidth="1"/>
    <col min="519" max="519" width="10.28125" style="356" customWidth="1"/>
    <col min="520" max="520" width="3.28125" style="356" customWidth="1"/>
    <col min="521" max="521" width="11.421875" style="356" customWidth="1"/>
    <col min="522" max="522" width="3.28125" style="356" customWidth="1"/>
    <col min="523" max="523" width="9.7109375" style="356" customWidth="1"/>
    <col min="524" max="524" width="2.7109375" style="356" customWidth="1"/>
    <col min="525" max="525" width="10.8515625" style="356" customWidth="1"/>
    <col min="526" max="763" width="9.140625" style="356" customWidth="1"/>
    <col min="764" max="764" width="9.140625" style="356" hidden="1" customWidth="1"/>
    <col min="765" max="765" width="9.140625" style="356" customWidth="1"/>
    <col min="766" max="766" width="3.421875" style="356" customWidth="1"/>
    <col min="767" max="767" width="9.8515625" style="356" customWidth="1"/>
    <col min="768" max="768" width="3.57421875" style="356" customWidth="1"/>
    <col min="769" max="769" width="9.140625" style="356" customWidth="1"/>
    <col min="770" max="770" width="2.57421875" style="356" customWidth="1"/>
    <col min="771" max="771" width="9.7109375" style="356" customWidth="1"/>
    <col min="772" max="772" width="3.57421875" style="356" customWidth="1"/>
    <col min="773" max="773" width="9.140625" style="356" customWidth="1"/>
    <col min="774" max="774" width="2.8515625" style="356" customWidth="1"/>
    <col min="775" max="775" width="10.28125" style="356" customWidth="1"/>
    <col min="776" max="776" width="3.28125" style="356" customWidth="1"/>
    <col min="777" max="777" width="11.421875" style="356" customWidth="1"/>
    <col min="778" max="778" width="3.28125" style="356" customWidth="1"/>
    <col min="779" max="779" width="9.7109375" style="356" customWidth="1"/>
    <col min="780" max="780" width="2.7109375" style="356" customWidth="1"/>
    <col min="781" max="781" width="10.8515625" style="356" customWidth="1"/>
    <col min="782" max="1019" width="9.140625" style="356" customWidth="1"/>
    <col min="1020" max="1020" width="9.140625" style="356" hidden="1" customWidth="1"/>
    <col min="1021" max="1021" width="9.140625" style="356" customWidth="1"/>
    <col min="1022" max="1022" width="3.421875" style="356" customWidth="1"/>
    <col min="1023" max="1023" width="9.8515625" style="356" customWidth="1"/>
    <col min="1024" max="1024" width="3.57421875" style="356" customWidth="1"/>
    <col min="1025" max="1025" width="9.140625" style="356" customWidth="1"/>
    <col min="1026" max="1026" width="2.57421875" style="356" customWidth="1"/>
    <col min="1027" max="1027" width="9.7109375" style="356" customWidth="1"/>
    <col min="1028" max="1028" width="3.57421875" style="356" customWidth="1"/>
    <col min="1029" max="1029" width="9.140625" style="356" customWidth="1"/>
    <col min="1030" max="1030" width="2.8515625" style="356" customWidth="1"/>
    <col min="1031" max="1031" width="10.28125" style="356" customWidth="1"/>
    <col min="1032" max="1032" width="3.28125" style="356" customWidth="1"/>
    <col min="1033" max="1033" width="11.421875" style="356" customWidth="1"/>
    <col min="1034" max="1034" width="3.28125" style="356" customWidth="1"/>
    <col min="1035" max="1035" width="9.7109375" style="356" customWidth="1"/>
    <col min="1036" max="1036" width="2.7109375" style="356" customWidth="1"/>
    <col min="1037" max="1037" width="10.8515625" style="356" customWidth="1"/>
    <col min="1038" max="1275" width="9.140625" style="356" customWidth="1"/>
    <col min="1276" max="1276" width="9.140625" style="356" hidden="1" customWidth="1"/>
    <col min="1277" max="1277" width="9.140625" style="356" customWidth="1"/>
    <col min="1278" max="1278" width="3.421875" style="356" customWidth="1"/>
    <col min="1279" max="1279" width="9.8515625" style="356" customWidth="1"/>
    <col min="1280" max="1280" width="3.57421875" style="356" customWidth="1"/>
    <col min="1281" max="1281" width="9.140625" style="356" customWidth="1"/>
    <col min="1282" max="1282" width="2.57421875" style="356" customWidth="1"/>
    <col min="1283" max="1283" width="9.7109375" style="356" customWidth="1"/>
    <col min="1284" max="1284" width="3.57421875" style="356" customWidth="1"/>
    <col min="1285" max="1285" width="9.140625" style="356" customWidth="1"/>
    <col min="1286" max="1286" width="2.8515625" style="356" customWidth="1"/>
    <col min="1287" max="1287" width="10.28125" style="356" customWidth="1"/>
    <col min="1288" max="1288" width="3.28125" style="356" customWidth="1"/>
    <col min="1289" max="1289" width="11.421875" style="356" customWidth="1"/>
    <col min="1290" max="1290" width="3.28125" style="356" customWidth="1"/>
    <col min="1291" max="1291" width="9.7109375" style="356" customWidth="1"/>
    <col min="1292" max="1292" width="2.7109375" style="356" customWidth="1"/>
    <col min="1293" max="1293" width="10.8515625" style="356" customWidth="1"/>
    <col min="1294" max="1531" width="9.140625" style="356" customWidth="1"/>
    <col min="1532" max="1532" width="9.140625" style="356" hidden="1" customWidth="1"/>
    <col min="1533" max="1533" width="9.140625" style="356" customWidth="1"/>
    <col min="1534" max="1534" width="3.421875" style="356" customWidth="1"/>
    <col min="1535" max="1535" width="9.8515625" style="356" customWidth="1"/>
    <col min="1536" max="1536" width="3.57421875" style="356" customWidth="1"/>
    <col min="1537" max="1537" width="9.140625" style="356" customWidth="1"/>
    <col min="1538" max="1538" width="2.57421875" style="356" customWidth="1"/>
    <col min="1539" max="1539" width="9.7109375" style="356" customWidth="1"/>
    <col min="1540" max="1540" width="3.57421875" style="356" customWidth="1"/>
    <col min="1541" max="1541" width="9.140625" style="356" customWidth="1"/>
    <col min="1542" max="1542" width="2.8515625" style="356" customWidth="1"/>
    <col min="1543" max="1543" width="10.28125" style="356" customWidth="1"/>
    <col min="1544" max="1544" width="3.28125" style="356" customWidth="1"/>
    <col min="1545" max="1545" width="11.421875" style="356" customWidth="1"/>
    <col min="1546" max="1546" width="3.28125" style="356" customWidth="1"/>
    <col min="1547" max="1547" width="9.7109375" style="356" customWidth="1"/>
    <col min="1548" max="1548" width="2.7109375" style="356" customWidth="1"/>
    <col min="1549" max="1549" width="10.8515625" style="356" customWidth="1"/>
    <col min="1550" max="1787" width="9.140625" style="356" customWidth="1"/>
    <col min="1788" max="1788" width="9.140625" style="356" hidden="1" customWidth="1"/>
    <col min="1789" max="1789" width="9.140625" style="356" customWidth="1"/>
    <col min="1790" max="1790" width="3.421875" style="356" customWidth="1"/>
    <col min="1791" max="1791" width="9.8515625" style="356" customWidth="1"/>
    <col min="1792" max="1792" width="3.57421875" style="356" customWidth="1"/>
    <col min="1793" max="1793" width="9.140625" style="356" customWidth="1"/>
    <col min="1794" max="1794" width="2.57421875" style="356" customWidth="1"/>
    <col min="1795" max="1795" width="9.7109375" style="356" customWidth="1"/>
    <col min="1796" max="1796" width="3.57421875" style="356" customWidth="1"/>
    <col min="1797" max="1797" width="9.140625" style="356" customWidth="1"/>
    <col min="1798" max="1798" width="2.8515625" style="356" customWidth="1"/>
    <col min="1799" max="1799" width="10.28125" style="356" customWidth="1"/>
    <col min="1800" max="1800" width="3.28125" style="356" customWidth="1"/>
    <col min="1801" max="1801" width="11.421875" style="356" customWidth="1"/>
    <col min="1802" max="1802" width="3.28125" style="356" customWidth="1"/>
    <col min="1803" max="1803" width="9.7109375" style="356" customWidth="1"/>
    <col min="1804" max="1804" width="2.7109375" style="356" customWidth="1"/>
    <col min="1805" max="1805" width="10.8515625" style="356" customWidth="1"/>
    <col min="1806" max="2043" width="9.140625" style="356" customWidth="1"/>
    <col min="2044" max="2044" width="9.140625" style="356" hidden="1" customWidth="1"/>
    <col min="2045" max="2045" width="9.140625" style="356" customWidth="1"/>
    <col min="2046" max="2046" width="3.421875" style="356" customWidth="1"/>
    <col min="2047" max="2047" width="9.8515625" style="356" customWidth="1"/>
    <col min="2048" max="2048" width="3.57421875" style="356" customWidth="1"/>
    <col min="2049" max="2049" width="9.140625" style="356" customWidth="1"/>
    <col min="2050" max="2050" width="2.57421875" style="356" customWidth="1"/>
    <col min="2051" max="2051" width="9.7109375" style="356" customWidth="1"/>
    <col min="2052" max="2052" width="3.57421875" style="356" customWidth="1"/>
    <col min="2053" max="2053" width="9.140625" style="356" customWidth="1"/>
    <col min="2054" max="2054" width="2.8515625" style="356" customWidth="1"/>
    <col min="2055" max="2055" width="10.28125" style="356" customWidth="1"/>
    <col min="2056" max="2056" width="3.28125" style="356" customWidth="1"/>
    <col min="2057" max="2057" width="11.421875" style="356" customWidth="1"/>
    <col min="2058" max="2058" width="3.28125" style="356" customWidth="1"/>
    <col min="2059" max="2059" width="9.7109375" style="356" customWidth="1"/>
    <col min="2060" max="2060" width="2.7109375" style="356" customWidth="1"/>
    <col min="2061" max="2061" width="10.8515625" style="356" customWidth="1"/>
    <col min="2062" max="2299" width="9.140625" style="356" customWidth="1"/>
    <col min="2300" max="2300" width="9.140625" style="356" hidden="1" customWidth="1"/>
    <col min="2301" max="2301" width="9.140625" style="356" customWidth="1"/>
    <col min="2302" max="2302" width="3.421875" style="356" customWidth="1"/>
    <col min="2303" max="2303" width="9.8515625" style="356" customWidth="1"/>
    <col min="2304" max="2304" width="3.57421875" style="356" customWidth="1"/>
    <col min="2305" max="2305" width="9.140625" style="356" customWidth="1"/>
    <col min="2306" max="2306" width="2.57421875" style="356" customWidth="1"/>
    <col min="2307" max="2307" width="9.7109375" style="356" customWidth="1"/>
    <col min="2308" max="2308" width="3.57421875" style="356" customWidth="1"/>
    <col min="2309" max="2309" width="9.140625" style="356" customWidth="1"/>
    <col min="2310" max="2310" width="2.8515625" style="356" customWidth="1"/>
    <col min="2311" max="2311" width="10.28125" style="356" customWidth="1"/>
    <col min="2312" max="2312" width="3.28125" style="356" customWidth="1"/>
    <col min="2313" max="2313" width="11.421875" style="356" customWidth="1"/>
    <col min="2314" max="2314" width="3.28125" style="356" customWidth="1"/>
    <col min="2315" max="2315" width="9.7109375" style="356" customWidth="1"/>
    <col min="2316" max="2316" width="2.7109375" style="356" customWidth="1"/>
    <col min="2317" max="2317" width="10.8515625" style="356" customWidth="1"/>
    <col min="2318" max="2555" width="9.140625" style="356" customWidth="1"/>
    <col min="2556" max="2556" width="9.140625" style="356" hidden="1" customWidth="1"/>
    <col min="2557" max="2557" width="9.140625" style="356" customWidth="1"/>
    <col min="2558" max="2558" width="3.421875" style="356" customWidth="1"/>
    <col min="2559" max="2559" width="9.8515625" style="356" customWidth="1"/>
    <col min="2560" max="2560" width="3.57421875" style="356" customWidth="1"/>
    <col min="2561" max="2561" width="9.140625" style="356" customWidth="1"/>
    <col min="2562" max="2562" width="2.57421875" style="356" customWidth="1"/>
    <col min="2563" max="2563" width="9.7109375" style="356" customWidth="1"/>
    <col min="2564" max="2564" width="3.57421875" style="356" customWidth="1"/>
    <col min="2565" max="2565" width="9.140625" style="356" customWidth="1"/>
    <col min="2566" max="2566" width="2.8515625" style="356" customWidth="1"/>
    <col min="2567" max="2567" width="10.28125" style="356" customWidth="1"/>
    <col min="2568" max="2568" width="3.28125" style="356" customWidth="1"/>
    <col min="2569" max="2569" width="11.421875" style="356" customWidth="1"/>
    <col min="2570" max="2570" width="3.28125" style="356" customWidth="1"/>
    <col min="2571" max="2571" width="9.7109375" style="356" customWidth="1"/>
    <col min="2572" max="2572" width="2.7109375" style="356" customWidth="1"/>
    <col min="2573" max="2573" width="10.8515625" style="356" customWidth="1"/>
    <col min="2574" max="2811" width="9.140625" style="356" customWidth="1"/>
    <col min="2812" max="2812" width="9.140625" style="356" hidden="1" customWidth="1"/>
    <col min="2813" max="2813" width="9.140625" style="356" customWidth="1"/>
    <col min="2814" max="2814" width="3.421875" style="356" customWidth="1"/>
    <col min="2815" max="2815" width="9.8515625" style="356" customWidth="1"/>
    <col min="2816" max="2816" width="3.57421875" style="356" customWidth="1"/>
    <col min="2817" max="2817" width="9.140625" style="356" customWidth="1"/>
    <col min="2818" max="2818" width="2.57421875" style="356" customWidth="1"/>
    <col min="2819" max="2819" width="9.7109375" style="356" customWidth="1"/>
    <col min="2820" max="2820" width="3.57421875" style="356" customWidth="1"/>
    <col min="2821" max="2821" width="9.140625" style="356" customWidth="1"/>
    <col min="2822" max="2822" width="2.8515625" style="356" customWidth="1"/>
    <col min="2823" max="2823" width="10.28125" style="356" customWidth="1"/>
    <col min="2824" max="2824" width="3.28125" style="356" customWidth="1"/>
    <col min="2825" max="2825" width="11.421875" style="356" customWidth="1"/>
    <col min="2826" max="2826" width="3.28125" style="356" customWidth="1"/>
    <col min="2827" max="2827" width="9.7109375" style="356" customWidth="1"/>
    <col min="2828" max="2828" width="2.7109375" style="356" customWidth="1"/>
    <col min="2829" max="2829" width="10.8515625" style="356" customWidth="1"/>
    <col min="2830" max="3067" width="9.140625" style="356" customWidth="1"/>
    <col min="3068" max="3068" width="9.140625" style="356" hidden="1" customWidth="1"/>
    <col min="3069" max="3069" width="9.140625" style="356" customWidth="1"/>
    <col min="3070" max="3070" width="3.421875" style="356" customWidth="1"/>
    <col min="3071" max="3071" width="9.8515625" style="356" customWidth="1"/>
    <col min="3072" max="3072" width="3.57421875" style="356" customWidth="1"/>
    <col min="3073" max="3073" width="9.140625" style="356" customWidth="1"/>
    <col min="3074" max="3074" width="2.57421875" style="356" customWidth="1"/>
    <col min="3075" max="3075" width="9.7109375" style="356" customWidth="1"/>
    <col min="3076" max="3076" width="3.57421875" style="356" customWidth="1"/>
    <col min="3077" max="3077" width="9.140625" style="356" customWidth="1"/>
    <col min="3078" max="3078" width="2.8515625" style="356" customWidth="1"/>
    <col min="3079" max="3079" width="10.28125" style="356" customWidth="1"/>
    <col min="3080" max="3080" width="3.28125" style="356" customWidth="1"/>
    <col min="3081" max="3081" width="11.421875" style="356" customWidth="1"/>
    <col min="3082" max="3082" width="3.28125" style="356" customWidth="1"/>
    <col min="3083" max="3083" width="9.7109375" style="356" customWidth="1"/>
    <col min="3084" max="3084" width="2.7109375" style="356" customWidth="1"/>
    <col min="3085" max="3085" width="10.8515625" style="356" customWidth="1"/>
    <col min="3086" max="3323" width="9.140625" style="356" customWidth="1"/>
    <col min="3324" max="3324" width="9.140625" style="356" hidden="1" customWidth="1"/>
    <col min="3325" max="3325" width="9.140625" style="356" customWidth="1"/>
    <col min="3326" max="3326" width="3.421875" style="356" customWidth="1"/>
    <col min="3327" max="3327" width="9.8515625" style="356" customWidth="1"/>
    <col min="3328" max="3328" width="3.57421875" style="356" customWidth="1"/>
    <col min="3329" max="3329" width="9.140625" style="356" customWidth="1"/>
    <col min="3330" max="3330" width="2.57421875" style="356" customWidth="1"/>
    <col min="3331" max="3331" width="9.7109375" style="356" customWidth="1"/>
    <col min="3332" max="3332" width="3.57421875" style="356" customWidth="1"/>
    <col min="3333" max="3333" width="9.140625" style="356" customWidth="1"/>
    <col min="3334" max="3334" width="2.8515625" style="356" customWidth="1"/>
    <col min="3335" max="3335" width="10.28125" style="356" customWidth="1"/>
    <col min="3336" max="3336" width="3.28125" style="356" customWidth="1"/>
    <col min="3337" max="3337" width="11.421875" style="356" customWidth="1"/>
    <col min="3338" max="3338" width="3.28125" style="356" customWidth="1"/>
    <col min="3339" max="3339" width="9.7109375" style="356" customWidth="1"/>
    <col min="3340" max="3340" width="2.7109375" style="356" customWidth="1"/>
    <col min="3341" max="3341" width="10.8515625" style="356" customWidth="1"/>
    <col min="3342" max="3579" width="9.140625" style="356" customWidth="1"/>
    <col min="3580" max="3580" width="9.140625" style="356" hidden="1" customWidth="1"/>
    <col min="3581" max="3581" width="9.140625" style="356" customWidth="1"/>
    <col min="3582" max="3582" width="3.421875" style="356" customWidth="1"/>
    <col min="3583" max="3583" width="9.8515625" style="356" customWidth="1"/>
    <col min="3584" max="3584" width="3.57421875" style="356" customWidth="1"/>
    <col min="3585" max="3585" width="9.140625" style="356" customWidth="1"/>
    <col min="3586" max="3586" width="2.57421875" style="356" customWidth="1"/>
    <col min="3587" max="3587" width="9.7109375" style="356" customWidth="1"/>
    <col min="3588" max="3588" width="3.57421875" style="356" customWidth="1"/>
    <col min="3589" max="3589" width="9.140625" style="356" customWidth="1"/>
    <col min="3590" max="3590" width="2.8515625" style="356" customWidth="1"/>
    <col min="3591" max="3591" width="10.28125" style="356" customWidth="1"/>
    <col min="3592" max="3592" width="3.28125" style="356" customWidth="1"/>
    <col min="3593" max="3593" width="11.421875" style="356" customWidth="1"/>
    <col min="3594" max="3594" width="3.28125" style="356" customWidth="1"/>
    <col min="3595" max="3595" width="9.7109375" style="356" customWidth="1"/>
    <col min="3596" max="3596" width="2.7109375" style="356" customWidth="1"/>
    <col min="3597" max="3597" width="10.8515625" style="356" customWidth="1"/>
    <col min="3598" max="3835" width="9.140625" style="356" customWidth="1"/>
    <col min="3836" max="3836" width="9.140625" style="356" hidden="1" customWidth="1"/>
    <col min="3837" max="3837" width="9.140625" style="356" customWidth="1"/>
    <col min="3838" max="3838" width="3.421875" style="356" customWidth="1"/>
    <col min="3839" max="3839" width="9.8515625" style="356" customWidth="1"/>
    <col min="3840" max="3840" width="3.57421875" style="356" customWidth="1"/>
    <col min="3841" max="3841" width="9.140625" style="356" customWidth="1"/>
    <col min="3842" max="3842" width="2.57421875" style="356" customWidth="1"/>
    <col min="3843" max="3843" width="9.7109375" style="356" customWidth="1"/>
    <col min="3844" max="3844" width="3.57421875" style="356" customWidth="1"/>
    <col min="3845" max="3845" width="9.140625" style="356" customWidth="1"/>
    <col min="3846" max="3846" width="2.8515625" style="356" customWidth="1"/>
    <col min="3847" max="3847" width="10.28125" style="356" customWidth="1"/>
    <col min="3848" max="3848" width="3.28125" style="356" customWidth="1"/>
    <col min="3849" max="3849" width="11.421875" style="356" customWidth="1"/>
    <col min="3850" max="3850" width="3.28125" style="356" customWidth="1"/>
    <col min="3851" max="3851" width="9.7109375" style="356" customWidth="1"/>
    <col min="3852" max="3852" width="2.7109375" style="356" customWidth="1"/>
    <col min="3853" max="3853" width="10.8515625" style="356" customWidth="1"/>
    <col min="3854" max="4091" width="9.140625" style="356" customWidth="1"/>
    <col min="4092" max="4092" width="9.140625" style="356" hidden="1" customWidth="1"/>
    <col min="4093" max="4093" width="9.140625" style="356" customWidth="1"/>
    <col min="4094" max="4094" width="3.421875" style="356" customWidth="1"/>
    <col min="4095" max="4095" width="9.8515625" style="356" customWidth="1"/>
    <col min="4096" max="4096" width="3.57421875" style="356" customWidth="1"/>
    <col min="4097" max="4097" width="9.140625" style="356" customWidth="1"/>
    <col min="4098" max="4098" width="2.57421875" style="356" customWidth="1"/>
    <col min="4099" max="4099" width="9.7109375" style="356" customWidth="1"/>
    <col min="4100" max="4100" width="3.57421875" style="356" customWidth="1"/>
    <col min="4101" max="4101" width="9.140625" style="356" customWidth="1"/>
    <col min="4102" max="4102" width="2.8515625" style="356" customWidth="1"/>
    <col min="4103" max="4103" width="10.28125" style="356" customWidth="1"/>
    <col min="4104" max="4104" width="3.28125" style="356" customWidth="1"/>
    <col min="4105" max="4105" width="11.421875" style="356" customWidth="1"/>
    <col min="4106" max="4106" width="3.28125" style="356" customWidth="1"/>
    <col min="4107" max="4107" width="9.7109375" style="356" customWidth="1"/>
    <col min="4108" max="4108" width="2.7109375" style="356" customWidth="1"/>
    <col min="4109" max="4109" width="10.8515625" style="356" customWidth="1"/>
    <col min="4110" max="4347" width="9.140625" style="356" customWidth="1"/>
    <col min="4348" max="4348" width="9.140625" style="356" hidden="1" customWidth="1"/>
    <col min="4349" max="4349" width="9.140625" style="356" customWidth="1"/>
    <col min="4350" max="4350" width="3.421875" style="356" customWidth="1"/>
    <col min="4351" max="4351" width="9.8515625" style="356" customWidth="1"/>
    <col min="4352" max="4352" width="3.57421875" style="356" customWidth="1"/>
    <col min="4353" max="4353" width="9.140625" style="356" customWidth="1"/>
    <col min="4354" max="4354" width="2.57421875" style="356" customWidth="1"/>
    <col min="4355" max="4355" width="9.7109375" style="356" customWidth="1"/>
    <col min="4356" max="4356" width="3.57421875" style="356" customWidth="1"/>
    <col min="4357" max="4357" width="9.140625" style="356" customWidth="1"/>
    <col min="4358" max="4358" width="2.8515625" style="356" customWidth="1"/>
    <col min="4359" max="4359" width="10.28125" style="356" customWidth="1"/>
    <col min="4360" max="4360" width="3.28125" style="356" customWidth="1"/>
    <col min="4361" max="4361" width="11.421875" style="356" customWidth="1"/>
    <col min="4362" max="4362" width="3.28125" style="356" customWidth="1"/>
    <col min="4363" max="4363" width="9.7109375" style="356" customWidth="1"/>
    <col min="4364" max="4364" width="2.7109375" style="356" customWidth="1"/>
    <col min="4365" max="4365" width="10.8515625" style="356" customWidth="1"/>
    <col min="4366" max="4603" width="9.140625" style="356" customWidth="1"/>
    <col min="4604" max="4604" width="9.140625" style="356" hidden="1" customWidth="1"/>
    <col min="4605" max="4605" width="9.140625" style="356" customWidth="1"/>
    <col min="4606" max="4606" width="3.421875" style="356" customWidth="1"/>
    <col min="4607" max="4607" width="9.8515625" style="356" customWidth="1"/>
    <col min="4608" max="4608" width="3.57421875" style="356" customWidth="1"/>
    <col min="4609" max="4609" width="9.140625" style="356" customWidth="1"/>
    <col min="4610" max="4610" width="2.57421875" style="356" customWidth="1"/>
    <col min="4611" max="4611" width="9.7109375" style="356" customWidth="1"/>
    <col min="4612" max="4612" width="3.57421875" style="356" customWidth="1"/>
    <col min="4613" max="4613" width="9.140625" style="356" customWidth="1"/>
    <col min="4614" max="4614" width="2.8515625" style="356" customWidth="1"/>
    <col min="4615" max="4615" width="10.28125" style="356" customWidth="1"/>
    <col min="4616" max="4616" width="3.28125" style="356" customWidth="1"/>
    <col min="4617" max="4617" width="11.421875" style="356" customWidth="1"/>
    <col min="4618" max="4618" width="3.28125" style="356" customWidth="1"/>
    <col min="4619" max="4619" width="9.7109375" style="356" customWidth="1"/>
    <col min="4620" max="4620" width="2.7109375" style="356" customWidth="1"/>
    <col min="4621" max="4621" width="10.8515625" style="356" customWidth="1"/>
    <col min="4622" max="4859" width="9.140625" style="356" customWidth="1"/>
    <col min="4860" max="4860" width="9.140625" style="356" hidden="1" customWidth="1"/>
    <col min="4861" max="4861" width="9.140625" style="356" customWidth="1"/>
    <col min="4862" max="4862" width="3.421875" style="356" customWidth="1"/>
    <col min="4863" max="4863" width="9.8515625" style="356" customWidth="1"/>
    <col min="4864" max="4864" width="3.57421875" style="356" customWidth="1"/>
    <col min="4865" max="4865" width="9.140625" style="356" customWidth="1"/>
    <col min="4866" max="4866" width="2.57421875" style="356" customWidth="1"/>
    <col min="4867" max="4867" width="9.7109375" style="356" customWidth="1"/>
    <col min="4868" max="4868" width="3.57421875" style="356" customWidth="1"/>
    <col min="4869" max="4869" width="9.140625" style="356" customWidth="1"/>
    <col min="4870" max="4870" width="2.8515625" style="356" customWidth="1"/>
    <col min="4871" max="4871" width="10.28125" style="356" customWidth="1"/>
    <col min="4872" max="4872" width="3.28125" style="356" customWidth="1"/>
    <col min="4873" max="4873" width="11.421875" style="356" customWidth="1"/>
    <col min="4874" max="4874" width="3.28125" style="356" customWidth="1"/>
    <col min="4875" max="4875" width="9.7109375" style="356" customWidth="1"/>
    <col min="4876" max="4876" width="2.7109375" style="356" customWidth="1"/>
    <col min="4877" max="4877" width="10.8515625" style="356" customWidth="1"/>
    <col min="4878" max="5115" width="9.140625" style="356" customWidth="1"/>
    <col min="5116" max="5116" width="9.140625" style="356" hidden="1" customWidth="1"/>
    <col min="5117" max="5117" width="9.140625" style="356" customWidth="1"/>
    <col min="5118" max="5118" width="3.421875" style="356" customWidth="1"/>
    <col min="5119" max="5119" width="9.8515625" style="356" customWidth="1"/>
    <col min="5120" max="5120" width="3.57421875" style="356" customWidth="1"/>
    <col min="5121" max="5121" width="9.140625" style="356" customWidth="1"/>
    <col min="5122" max="5122" width="2.57421875" style="356" customWidth="1"/>
    <col min="5123" max="5123" width="9.7109375" style="356" customWidth="1"/>
    <col min="5124" max="5124" width="3.57421875" style="356" customWidth="1"/>
    <col min="5125" max="5125" width="9.140625" style="356" customWidth="1"/>
    <col min="5126" max="5126" width="2.8515625" style="356" customWidth="1"/>
    <col min="5127" max="5127" width="10.28125" style="356" customWidth="1"/>
    <col min="5128" max="5128" width="3.28125" style="356" customWidth="1"/>
    <col min="5129" max="5129" width="11.421875" style="356" customWidth="1"/>
    <col min="5130" max="5130" width="3.28125" style="356" customWidth="1"/>
    <col min="5131" max="5131" width="9.7109375" style="356" customWidth="1"/>
    <col min="5132" max="5132" width="2.7109375" style="356" customWidth="1"/>
    <col min="5133" max="5133" width="10.8515625" style="356" customWidth="1"/>
    <col min="5134" max="5371" width="9.140625" style="356" customWidth="1"/>
    <col min="5372" max="5372" width="9.140625" style="356" hidden="1" customWidth="1"/>
    <col min="5373" max="5373" width="9.140625" style="356" customWidth="1"/>
    <col min="5374" max="5374" width="3.421875" style="356" customWidth="1"/>
    <col min="5375" max="5375" width="9.8515625" style="356" customWidth="1"/>
    <col min="5376" max="5376" width="3.57421875" style="356" customWidth="1"/>
    <col min="5377" max="5377" width="9.140625" style="356" customWidth="1"/>
    <col min="5378" max="5378" width="2.57421875" style="356" customWidth="1"/>
    <col min="5379" max="5379" width="9.7109375" style="356" customWidth="1"/>
    <col min="5380" max="5380" width="3.57421875" style="356" customWidth="1"/>
    <col min="5381" max="5381" width="9.140625" style="356" customWidth="1"/>
    <col min="5382" max="5382" width="2.8515625" style="356" customWidth="1"/>
    <col min="5383" max="5383" width="10.28125" style="356" customWidth="1"/>
    <col min="5384" max="5384" width="3.28125" style="356" customWidth="1"/>
    <col min="5385" max="5385" width="11.421875" style="356" customWidth="1"/>
    <col min="5386" max="5386" width="3.28125" style="356" customWidth="1"/>
    <col min="5387" max="5387" width="9.7109375" style="356" customWidth="1"/>
    <col min="5388" max="5388" width="2.7109375" style="356" customWidth="1"/>
    <col min="5389" max="5389" width="10.8515625" style="356" customWidth="1"/>
    <col min="5390" max="5627" width="9.140625" style="356" customWidth="1"/>
    <col min="5628" max="5628" width="9.140625" style="356" hidden="1" customWidth="1"/>
    <col min="5629" max="5629" width="9.140625" style="356" customWidth="1"/>
    <col min="5630" max="5630" width="3.421875" style="356" customWidth="1"/>
    <col min="5631" max="5631" width="9.8515625" style="356" customWidth="1"/>
    <col min="5632" max="5632" width="3.57421875" style="356" customWidth="1"/>
    <col min="5633" max="5633" width="9.140625" style="356" customWidth="1"/>
    <col min="5634" max="5634" width="2.57421875" style="356" customWidth="1"/>
    <col min="5635" max="5635" width="9.7109375" style="356" customWidth="1"/>
    <col min="5636" max="5636" width="3.57421875" style="356" customWidth="1"/>
    <col min="5637" max="5637" width="9.140625" style="356" customWidth="1"/>
    <col min="5638" max="5638" width="2.8515625" style="356" customWidth="1"/>
    <col min="5639" max="5639" width="10.28125" style="356" customWidth="1"/>
    <col min="5640" max="5640" width="3.28125" style="356" customWidth="1"/>
    <col min="5641" max="5641" width="11.421875" style="356" customWidth="1"/>
    <col min="5642" max="5642" width="3.28125" style="356" customWidth="1"/>
    <col min="5643" max="5643" width="9.7109375" style="356" customWidth="1"/>
    <col min="5644" max="5644" width="2.7109375" style="356" customWidth="1"/>
    <col min="5645" max="5645" width="10.8515625" style="356" customWidth="1"/>
    <col min="5646" max="5883" width="9.140625" style="356" customWidth="1"/>
    <col min="5884" max="5884" width="9.140625" style="356" hidden="1" customWidth="1"/>
    <col min="5885" max="5885" width="9.140625" style="356" customWidth="1"/>
    <col min="5886" max="5886" width="3.421875" style="356" customWidth="1"/>
    <col min="5887" max="5887" width="9.8515625" style="356" customWidth="1"/>
    <col min="5888" max="5888" width="3.57421875" style="356" customWidth="1"/>
    <col min="5889" max="5889" width="9.140625" style="356" customWidth="1"/>
    <col min="5890" max="5890" width="2.57421875" style="356" customWidth="1"/>
    <col min="5891" max="5891" width="9.7109375" style="356" customWidth="1"/>
    <col min="5892" max="5892" width="3.57421875" style="356" customWidth="1"/>
    <col min="5893" max="5893" width="9.140625" style="356" customWidth="1"/>
    <col min="5894" max="5894" width="2.8515625" style="356" customWidth="1"/>
    <col min="5895" max="5895" width="10.28125" style="356" customWidth="1"/>
    <col min="5896" max="5896" width="3.28125" style="356" customWidth="1"/>
    <col min="5897" max="5897" width="11.421875" style="356" customWidth="1"/>
    <col min="5898" max="5898" width="3.28125" style="356" customWidth="1"/>
    <col min="5899" max="5899" width="9.7109375" style="356" customWidth="1"/>
    <col min="5900" max="5900" width="2.7109375" style="356" customWidth="1"/>
    <col min="5901" max="5901" width="10.8515625" style="356" customWidth="1"/>
    <col min="5902" max="6139" width="9.140625" style="356" customWidth="1"/>
    <col min="6140" max="6140" width="9.140625" style="356" hidden="1" customWidth="1"/>
    <col min="6141" max="6141" width="9.140625" style="356" customWidth="1"/>
    <col min="6142" max="6142" width="3.421875" style="356" customWidth="1"/>
    <col min="6143" max="6143" width="9.8515625" style="356" customWidth="1"/>
    <col min="6144" max="6144" width="3.57421875" style="356" customWidth="1"/>
    <col min="6145" max="6145" width="9.140625" style="356" customWidth="1"/>
    <col min="6146" max="6146" width="2.57421875" style="356" customWidth="1"/>
    <col min="6147" max="6147" width="9.7109375" style="356" customWidth="1"/>
    <col min="6148" max="6148" width="3.57421875" style="356" customWidth="1"/>
    <col min="6149" max="6149" width="9.140625" style="356" customWidth="1"/>
    <col min="6150" max="6150" width="2.8515625" style="356" customWidth="1"/>
    <col min="6151" max="6151" width="10.28125" style="356" customWidth="1"/>
    <col min="6152" max="6152" width="3.28125" style="356" customWidth="1"/>
    <col min="6153" max="6153" width="11.421875" style="356" customWidth="1"/>
    <col min="6154" max="6154" width="3.28125" style="356" customWidth="1"/>
    <col min="6155" max="6155" width="9.7109375" style="356" customWidth="1"/>
    <col min="6156" max="6156" width="2.7109375" style="356" customWidth="1"/>
    <col min="6157" max="6157" width="10.8515625" style="356" customWidth="1"/>
    <col min="6158" max="6395" width="9.140625" style="356" customWidth="1"/>
    <col min="6396" max="6396" width="9.140625" style="356" hidden="1" customWidth="1"/>
    <col min="6397" max="6397" width="9.140625" style="356" customWidth="1"/>
    <col min="6398" max="6398" width="3.421875" style="356" customWidth="1"/>
    <col min="6399" max="6399" width="9.8515625" style="356" customWidth="1"/>
    <col min="6400" max="6400" width="3.57421875" style="356" customWidth="1"/>
    <col min="6401" max="6401" width="9.140625" style="356" customWidth="1"/>
    <col min="6402" max="6402" width="2.57421875" style="356" customWidth="1"/>
    <col min="6403" max="6403" width="9.7109375" style="356" customWidth="1"/>
    <col min="6404" max="6404" width="3.57421875" style="356" customWidth="1"/>
    <col min="6405" max="6405" width="9.140625" style="356" customWidth="1"/>
    <col min="6406" max="6406" width="2.8515625" style="356" customWidth="1"/>
    <col min="6407" max="6407" width="10.28125" style="356" customWidth="1"/>
    <col min="6408" max="6408" width="3.28125" style="356" customWidth="1"/>
    <col min="6409" max="6409" width="11.421875" style="356" customWidth="1"/>
    <col min="6410" max="6410" width="3.28125" style="356" customWidth="1"/>
    <col min="6411" max="6411" width="9.7109375" style="356" customWidth="1"/>
    <col min="6412" max="6412" width="2.7109375" style="356" customWidth="1"/>
    <col min="6413" max="6413" width="10.8515625" style="356" customWidth="1"/>
    <col min="6414" max="6651" width="9.140625" style="356" customWidth="1"/>
    <col min="6652" max="6652" width="9.140625" style="356" hidden="1" customWidth="1"/>
    <col min="6653" max="6653" width="9.140625" style="356" customWidth="1"/>
    <col min="6654" max="6654" width="3.421875" style="356" customWidth="1"/>
    <col min="6655" max="6655" width="9.8515625" style="356" customWidth="1"/>
    <col min="6656" max="6656" width="3.57421875" style="356" customWidth="1"/>
    <col min="6657" max="6657" width="9.140625" style="356" customWidth="1"/>
    <col min="6658" max="6658" width="2.57421875" style="356" customWidth="1"/>
    <col min="6659" max="6659" width="9.7109375" style="356" customWidth="1"/>
    <col min="6660" max="6660" width="3.57421875" style="356" customWidth="1"/>
    <col min="6661" max="6661" width="9.140625" style="356" customWidth="1"/>
    <col min="6662" max="6662" width="2.8515625" style="356" customWidth="1"/>
    <col min="6663" max="6663" width="10.28125" style="356" customWidth="1"/>
    <col min="6664" max="6664" width="3.28125" style="356" customWidth="1"/>
    <col min="6665" max="6665" width="11.421875" style="356" customWidth="1"/>
    <col min="6666" max="6666" width="3.28125" style="356" customWidth="1"/>
    <col min="6667" max="6667" width="9.7109375" style="356" customWidth="1"/>
    <col min="6668" max="6668" width="2.7109375" style="356" customWidth="1"/>
    <col min="6669" max="6669" width="10.8515625" style="356" customWidth="1"/>
    <col min="6670" max="6907" width="9.140625" style="356" customWidth="1"/>
    <col min="6908" max="6908" width="9.140625" style="356" hidden="1" customWidth="1"/>
    <col min="6909" max="6909" width="9.140625" style="356" customWidth="1"/>
    <col min="6910" max="6910" width="3.421875" style="356" customWidth="1"/>
    <col min="6911" max="6911" width="9.8515625" style="356" customWidth="1"/>
    <col min="6912" max="6912" width="3.57421875" style="356" customWidth="1"/>
    <col min="6913" max="6913" width="9.140625" style="356" customWidth="1"/>
    <col min="6914" max="6914" width="2.57421875" style="356" customWidth="1"/>
    <col min="6915" max="6915" width="9.7109375" style="356" customWidth="1"/>
    <col min="6916" max="6916" width="3.57421875" style="356" customWidth="1"/>
    <col min="6917" max="6917" width="9.140625" style="356" customWidth="1"/>
    <col min="6918" max="6918" width="2.8515625" style="356" customWidth="1"/>
    <col min="6919" max="6919" width="10.28125" style="356" customWidth="1"/>
    <col min="6920" max="6920" width="3.28125" style="356" customWidth="1"/>
    <col min="6921" max="6921" width="11.421875" style="356" customWidth="1"/>
    <col min="6922" max="6922" width="3.28125" style="356" customWidth="1"/>
    <col min="6923" max="6923" width="9.7109375" style="356" customWidth="1"/>
    <col min="6924" max="6924" width="2.7109375" style="356" customWidth="1"/>
    <col min="6925" max="6925" width="10.8515625" style="356" customWidth="1"/>
    <col min="6926" max="7163" width="9.140625" style="356" customWidth="1"/>
    <col min="7164" max="7164" width="9.140625" style="356" hidden="1" customWidth="1"/>
    <col min="7165" max="7165" width="9.140625" style="356" customWidth="1"/>
    <col min="7166" max="7166" width="3.421875" style="356" customWidth="1"/>
    <col min="7167" max="7167" width="9.8515625" style="356" customWidth="1"/>
    <col min="7168" max="7168" width="3.57421875" style="356" customWidth="1"/>
    <col min="7169" max="7169" width="9.140625" style="356" customWidth="1"/>
    <col min="7170" max="7170" width="2.57421875" style="356" customWidth="1"/>
    <col min="7171" max="7171" width="9.7109375" style="356" customWidth="1"/>
    <col min="7172" max="7172" width="3.57421875" style="356" customWidth="1"/>
    <col min="7173" max="7173" width="9.140625" style="356" customWidth="1"/>
    <col min="7174" max="7174" width="2.8515625" style="356" customWidth="1"/>
    <col min="7175" max="7175" width="10.28125" style="356" customWidth="1"/>
    <col min="7176" max="7176" width="3.28125" style="356" customWidth="1"/>
    <col min="7177" max="7177" width="11.421875" style="356" customWidth="1"/>
    <col min="7178" max="7178" width="3.28125" style="356" customWidth="1"/>
    <col min="7179" max="7179" width="9.7109375" style="356" customWidth="1"/>
    <col min="7180" max="7180" width="2.7109375" style="356" customWidth="1"/>
    <col min="7181" max="7181" width="10.8515625" style="356" customWidth="1"/>
    <col min="7182" max="7419" width="9.140625" style="356" customWidth="1"/>
    <col min="7420" max="7420" width="9.140625" style="356" hidden="1" customWidth="1"/>
    <col min="7421" max="7421" width="9.140625" style="356" customWidth="1"/>
    <col min="7422" max="7422" width="3.421875" style="356" customWidth="1"/>
    <col min="7423" max="7423" width="9.8515625" style="356" customWidth="1"/>
    <col min="7424" max="7424" width="3.57421875" style="356" customWidth="1"/>
    <col min="7425" max="7425" width="9.140625" style="356" customWidth="1"/>
    <col min="7426" max="7426" width="2.57421875" style="356" customWidth="1"/>
    <col min="7427" max="7427" width="9.7109375" style="356" customWidth="1"/>
    <col min="7428" max="7428" width="3.57421875" style="356" customWidth="1"/>
    <col min="7429" max="7429" width="9.140625" style="356" customWidth="1"/>
    <col min="7430" max="7430" width="2.8515625" style="356" customWidth="1"/>
    <col min="7431" max="7431" width="10.28125" style="356" customWidth="1"/>
    <col min="7432" max="7432" width="3.28125" style="356" customWidth="1"/>
    <col min="7433" max="7433" width="11.421875" style="356" customWidth="1"/>
    <col min="7434" max="7434" width="3.28125" style="356" customWidth="1"/>
    <col min="7435" max="7435" width="9.7109375" style="356" customWidth="1"/>
    <col min="7436" max="7436" width="2.7109375" style="356" customWidth="1"/>
    <col min="7437" max="7437" width="10.8515625" style="356" customWidth="1"/>
    <col min="7438" max="7675" width="9.140625" style="356" customWidth="1"/>
    <col min="7676" max="7676" width="9.140625" style="356" hidden="1" customWidth="1"/>
    <col min="7677" max="7677" width="9.140625" style="356" customWidth="1"/>
    <col min="7678" max="7678" width="3.421875" style="356" customWidth="1"/>
    <col min="7679" max="7679" width="9.8515625" style="356" customWidth="1"/>
    <col min="7680" max="7680" width="3.57421875" style="356" customWidth="1"/>
    <col min="7681" max="7681" width="9.140625" style="356" customWidth="1"/>
    <col min="7682" max="7682" width="2.57421875" style="356" customWidth="1"/>
    <col min="7683" max="7683" width="9.7109375" style="356" customWidth="1"/>
    <col min="7684" max="7684" width="3.57421875" style="356" customWidth="1"/>
    <col min="7685" max="7685" width="9.140625" style="356" customWidth="1"/>
    <col min="7686" max="7686" width="2.8515625" style="356" customWidth="1"/>
    <col min="7687" max="7687" width="10.28125" style="356" customWidth="1"/>
    <col min="7688" max="7688" width="3.28125" style="356" customWidth="1"/>
    <col min="7689" max="7689" width="11.421875" style="356" customWidth="1"/>
    <col min="7690" max="7690" width="3.28125" style="356" customWidth="1"/>
    <col min="7691" max="7691" width="9.7109375" style="356" customWidth="1"/>
    <col min="7692" max="7692" width="2.7109375" style="356" customWidth="1"/>
    <col min="7693" max="7693" width="10.8515625" style="356" customWidth="1"/>
    <col min="7694" max="7931" width="9.140625" style="356" customWidth="1"/>
    <col min="7932" max="7932" width="9.140625" style="356" hidden="1" customWidth="1"/>
    <col min="7933" max="7933" width="9.140625" style="356" customWidth="1"/>
    <col min="7934" max="7934" width="3.421875" style="356" customWidth="1"/>
    <col min="7935" max="7935" width="9.8515625" style="356" customWidth="1"/>
    <col min="7936" max="7936" width="3.57421875" style="356" customWidth="1"/>
    <col min="7937" max="7937" width="9.140625" style="356" customWidth="1"/>
    <col min="7938" max="7938" width="2.57421875" style="356" customWidth="1"/>
    <col min="7939" max="7939" width="9.7109375" style="356" customWidth="1"/>
    <col min="7940" max="7940" width="3.57421875" style="356" customWidth="1"/>
    <col min="7941" max="7941" width="9.140625" style="356" customWidth="1"/>
    <col min="7942" max="7942" width="2.8515625" style="356" customWidth="1"/>
    <col min="7943" max="7943" width="10.28125" style="356" customWidth="1"/>
    <col min="7944" max="7944" width="3.28125" style="356" customWidth="1"/>
    <col min="7945" max="7945" width="11.421875" style="356" customWidth="1"/>
    <col min="7946" max="7946" width="3.28125" style="356" customWidth="1"/>
    <col min="7947" max="7947" width="9.7109375" style="356" customWidth="1"/>
    <col min="7948" max="7948" width="2.7109375" style="356" customWidth="1"/>
    <col min="7949" max="7949" width="10.8515625" style="356" customWidth="1"/>
    <col min="7950" max="8187" width="9.140625" style="356" customWidth="1"/>
    <col min="8188" max="8188" width="9.140625" style="356" hidden="1" customWidth="1"/>
    <col min="8189" max="8189" width="9.140625" style="356" customWidth="1"/>
    <col min="8190" max="8190" width="3.421875" style="356" customWidth="1"/>
    <col min="8191" max="8191" width="9.8515625" style="356" customWidth="1"/>
    <col min="8192" max="8192" width="3.57421875" style="356" customWidth="1"/>
    <col min="8193" max="8193" width="9.140625" style="356" customWidth="1"/>
    <col min="8194" max="8194" width="2.57421875" style="356" customWidth="1"/>
    <col min="8195" max="8195" width="9.7109375" style="356" customWidth="1"/>
    <col min="8196" max="8196" width="3.57421875" style="356" customWidth="1"/>
    <col min="8197" max="8197" width="9.140625" style="356" customWidth="1"/>
    <col min="8198" max="8198" width="2.8515625" style="356" customWidth="1"/>
    <col min="8199" max="8199" width="10.28125" style="356" customWidth="1"/>
    <col min="8200" max="8200" width="3.28125" style="356" customWidth="1"/>
    <col min="8201" max="8201" width="11.421875" style="356" customWidth="1"/>
    <col min="8202" max="8202" width="3.28125" style="356" customWidth="1"/>
    <col min="8203" max="8203" width="9.7109375" style="356" customWidth="1"/>
    <col min="8204" max="8204" width="2.7109375" style="356" customWidth="1"/>
    <col min="8205" max="8205" width="10.8515625" style="356" customWidth="1"/>
    <col min="8206" max="8443" width="9.140625" style="356" customWidth="1"/>
    <col min="8444" max="8444" width="9.140625" style="356" hidden="1" customWidth="1"/>
    <col min="8445" max="8445" width="9.140625" style="356" customWidth="1"/>
    <col min="8446" max="8446" width="3.421875" style="356" customWidth="1"/>
    <col min="8447" max="8447" width="9.8515625" style="356" customWidth="1"/>
    <col min="8448" max="8448" width="3.57421875" style="356" customWidth="1"/>
    <col min="8449" max="8449" width="9.140625" style="356" customWidth="1"/>
    <col min="8450" max="8450" width="2.57421875" style="356" customWidth="1"/>
    <col min="8451" max="8451" width="9.7109375" style="356" customWidth="1"/>
    <col min="8452" max="8452" width="3.57421875" style="356" customWidth="1"/>
    <col min="8453" max="8453" width="9.140625" style="356" customWidth="1"/>
    <col min="8454" max="8454" width="2.8515625" style="356" customWidth="1"/>
    <col min="8455" max="8455" width="10.28125" style="356" customWidth="1"/>
    <col min="8456" max="8456" width="3.28125" style="356" customWidth="1"/>
    <col min="8457" max="8457" width="11.421875" style="356" customWidth="1"/>
    <col min="8458" max="8458" width="3.28125" style="356" customWidth="1"/>
    <col min="8459" max="8459" width="9.7109375" style="356" customWidth="1"/>
    <col min="8460" max="8460" width="2.7109375" style="356" customWidth="1"/>
    <col min="8461" max="8461" width="10.8515625" style="356" customWidth="1"/>
    <col min="8462" max="8699" width="9.140625" style="356" customWidth="1"/>
    <col min="8700" max="8700" width="9.140625" style="356" hidden="1" customWidth="1"/>
    <col min="8701" max="8701" width="9.140625" style="356" customWidth="1"/>
    <col min="8702" max="8702" width="3.421875" style="356" customWidth="1"/>
    <col min="8703" max="8703" width="9.8515625" style="356" customWidth="1"/>
    <col min="8704" max="8704" width="3.57421875" style="356" customWidth="1"/>
    <col min="8705" max="8705" width="9.140625" style="356" customWidth="1"/>
    <col min="8706" max="8706" width="2.57421875" style="356" customWidth="1"/>
    <col min="8707" max="8707" width="9.7109375" style="356" customWidth="1"/>
    <col min="8708" max="8708" width="3.57421875" style="356" customWidth="1"/>
    <col min="8709" max="8709" width="9.140625" style="356" customWidth="1"/>
    <col min="8710" max="8710" width="2.8515625" style="356" customWidth="1"/>
    <col min="8711" max="8711" width="10.28125" style="356" customWidth="1"/>
    <col min="8712" max="8712" width="3.28125" style="356" customWidth="1"/>
    <col min="8713" max="8713" width="11.421875" style="356" customWidth="1"/>
    <col min="8714" max="8714" width="3.28125" style="356" customWidth="1"/>
    <col min="8715" max="8715" width="9.7109375" style="356" customWidth="1"/>
    <col min="8716" max="8716" width="2.7109375" style="356" customWidth="1"/>
    <col min="8717" max="8717" width="10.8515625" style="356" customWidth="1"/>
    <col min="8718" max="8955" width="9.140625" style="356" customWidth="1"/>
    <col min="8956" max="8956" width="9.140625" style="356" hidden="1" customWidth="1"/>
    <col min="8957" max="8957" width="9.140625" style="356" customWidth="1"/>
    <col min="8958" max="8958" width="3.421875" style="356" customWidth="1"/>
    <col min="8959" max="8959" width="9.8515625" style="356" customWidth="1"/>
    <col min="8960" max="8960" width="3.57421875" style="356" customWidth="1"/>
    <col min="8961" max="8961" width="9.140625" style="356" customWidth="1"/>
    <col min="8962" max="8962" width="2.57421875" style="356" customWidth="1"/>
    <col min="8963" max="8963" width="9.7109375" style="356" customWidth="1"/>
    <col min="8964" max="8964" width="3.57421875" style="356" customWidth="1"/>
    <col min="8965" max="8965" width="9.140625" style="356" customWidth="1"/>
    <col min="8966" max="8966" width="2.8515625" style="356" customWidth="1"/>
    <col min="8967" max="8967" width="10.28125" style="356" customWidth="1"/>
    <col min="8968" max="8968" width="3.28125" style="356" customWidth="1"/>
    <col min="8969" max="8969" width="11.421875" style="356" customWidth="1"/>
    <col min="8970" max="8970" width="3.28125" style="356" customWidth="1"/>
    <col min="8971" max="8971" width="9.7109375" style="356" customWidth="1"/>
    <col min="8972" max="8972" width="2.7109375" style="356" customWidth="1"/>
    <col min="8973" max="8973" width="10.8515625" style="356" customWidth="1"/>
    <col min="8974" max="9211" width="9.140625" style="356" customWidth="1"/>
    <col min="9212" max="9212" width="9.140625" style="356" hidden="1" customWidth="1"/>
    <col min="9213" max="9213" width="9.140625" style="356" customWidth="1"/>
    <col min="9214" max="9214" width="3.421875" style="356" customWidth="1"/>
    <col min="9215" max="9215" width="9.8515625" style="356" customWidth="1"/>
    <col min="9216" max="9216" width="3.57421875" style="356" customWidth="1"/>
    <col min="9217" max="9217" width="9.140625" style="356" customWidth="1"/>
    <col min="9218" max="9218" width="2.57421875" style="356" customWidth="1"/>
    <col min="9219" max="9219" width="9.7109375" style="356" customWidth="1"/>
    <col min="9220" max="9220" width="3.57421875" style="356" customWidth="1"/>
    <col min="9221" max="9221" width="9.140625" style="356" customWidth="1"/>
    <col min="9222" max="9222" width="2.8515625" style="356" customWidth="1"/>
    <col min="9223" max="9223" width="10.28125" style="356" customWidth="1"/>
    <col min="9224" max="9224" width="3.28125" style="356" customWidth="1"/>
    <col min="9225" max="9225" width="11.421875" style="356" customWidth="1"/>
    <col min="9226" max="9226" width="3.28125" style="356" customWidth="1"/>
    <col min="9227" max="9227" width="9.7109375" style="356" customWidth="1"/>
    <col min="9228" max="9228" width="2.7109375" style="356" customWidth="1"/>
    <col min="9229" max="9229" width="10.8515625" style="356" customWidth="1"/>
    <col min="9230" max="9467" width="9.140625" style="356" customWidth="1"/>
    <col min="9468" max="9468" width="9.140625" style="356" hidden="1" customWidth="1"/>
    <col min="9469" max="9469" width="9.140625" style="356" customWidth="1"/>
    <col min="9470" max="9470" width="3.421875" style="356" customWidth="1"/>
    <col min="9471" max="9471" width="9.8515625" style="356" customWidth="1"/>
    <col min="9472" max="9472" width="3.57421875" style="356" customWidth="1"/>
    <col min="9473" max="9473" width="9.140625" style="356" customWidth="1"/>
    <col min="9474" max="9474" width="2.57421875" style="356" customWidth="1"/>
    <col min="9475" max="9475" width="9.7109375" style="356" customWidth="1"/>
    <col min="9476" max="9476" width="3.57421875" style="356" customWidth="1"/>
    <col min="9477" max="9477" width="9.140625" style="356" customWidth="1"/>
    <col min="9478" max="9478" width="2.8515625" style="356" customWidth="1"/>
    <col min="9479" max="9479" width="10.28125" style="356" customWidth="1"/>
    <col min="9480" max="9480" width="3.28125" style="356" customWidth="1"/>
    <col min="9481" max="9481" width="11.421875" style="356" customWidth="1"/>
    <col min="9482" max="9482" width="3.28125" style="356" customWidth="1"/>
    <col min="9483" max="9483" width="9.7109375" style="356" customWidth="1"/>
    <col min="9484" max="9484" width="2.7109375" style="356" customWidth="1"/>
    <col min="9485" max="9485" width="10.8515625" style="356" customWidth="1"/>
    <col min="9486" max="9723" width="9.140625" style="356" customWidth="1"/>
    <col min="9724" max="9724" width="9.140625" style="356" hidden="1" customWidth="1"/>
    <col min="9725" max="9725" width="9.140625" style="356" customWidth="1"/>
    <col min="9726" max="9726" width="3.421875" style="356" customWidth="1"/>
    <col min="9727" max="9727" width="9.8515625" style="356" customWidth="1"/>
    <col min="9728" max="9728" width="3.57421875" style="356" customWidth="1"/>
    <col min="9729" max="9729" width="9.140625" style="356" customWidth="1"/>
    <col min="9730" max="9730" width="2.57421875" style="356" customWidth="1"/>
    <col min="9731" max="9731" width="9.7109375" style="356" customWidth="1"/>
    <col min="9732" max="9732" width="3.57421875" style="356" customWidth="1"/>
    <col min="9733" max="9733" width="9.140625" style="356" customWidth="1"/>
    <col min="9734" max="9734" width="2.8515625" style="356" customWidth="1"/>
    <col min="9735" max="9735" width="10.28125" style="356" customWidth="1"/>
    <col min="9736" max="9736" width="3.28125" style="356" customWidth="1"/>
    <col min="9737" max="9737" width="11.421875" style="356" customWidth="1"/>
    <col min="9738" max="9738" width="3.28125" style="356" customWidth="1"/>
    <col min="9739" max="9739" width="9.7109375" style="356" customWidth="1"/>
    <col min="9740" max="9740" width="2.7109375" style="356" customWidth="1"/>
    <col min="9741" max="9741" width="10.8515625" style="356" customWidth="1"/>
    <col min="9742" max="9979" width="9.140625" style="356" customWidth="1"/>
    <col min="9980" max="9980" width="9.140625" style="356" hidden="1" customWidth="1"/>
    <col min="9981" max="9981" width="9.140625" style="356" customWidth="1"/>
    <col min="9982" max="9982" width="3.421875" style="356" customWidth="1"/>
    <col min="9983" max="9983" width="9.8515625" style="356" customWidth="1"/>
    <col min="9984" max="9984" width="3.57421875" style="356" customWidth="1"/>
    <col min="9985" max="9985" width="9.140625" style="356" customWidth="1"/>
    <col min="9986" max="9986" width="2.57421875" style="356" customWidth="1"/>
    <col min="9987" max="9987" width="9.7109375" style="356" customWidth="1"/>
    <col min="9988" max="9988" width="3.57421875" style="356" customWidth="1"/>
    <col min="9989" max="9989" width="9.140625" style="356" customWidth="1"/>
    <col min="9990" max="9990" width="2.8515625" style="356" customWidth="1"/>
    <col min="9991" max="9991" width="10.28125" style="356" customWidth="1"/>
    <col min="9992" max="9992" width="3.28125" style="356" customWidth="1"/>
    <col min="9993" max="9993" width="11.421875" style="356" customWidth="1"/>
    <col min="9994" max="9994" width="3.28125" style="356" customWidth="1"/>
    <col min="9995" max="9995" width="9.7109375" style="356" customWidth="1"/>
    <col min="9996" max="9996" width="2.7109375" style="356" customWidth="1"/>
    <col min="9997" max="9997" width="10.8515625" style="356" customWidth="1"/>
    <col min="9998" max="10235" width="9.140625" style="356" customWidth="1"/>
    <col min="10236" max="10236" width="9.140625" style="356" hidden="1" customWidth="1"/>
    <col min="10237" max="10237" width="9.140625" style="356" customWidth="1"/>
    <col min="10238" max="10238" width="3.421875" style="356" customWidth="1"/>
    <col min="10239" max="10239" width="9.8515625" style="356" customWidth="1"/>
    <col min="10240" max="10240" width="3.57421875" style="356" customWidth="1"/>
    <col min="10241" max="10241" width="9.140625" style="356" customWidth="1"/>
    <col min="10242" max="10242" width="2.57421875" style="356" customWidth="1"/>
    <col min="10243" max="10243" width="9.7109375" style="356" customWidth="1"/>
    <col min="10244" max="10244" width="3.57421875" style="356" customWidth="1"/>
    <col min="10245" max="10245" width="9.140625" style="356" customWidth="1"/>
    <col min="10246" max="10246" width="2.8515625" style="356" customWidth="1"/>
    <col min="10247" max="10247" width="10.28125" style="356" customWidth="1"/>
    <col min="10248" max="10248" width="3.28125" style="356" customWidth="1"/>
    <col min="10249" max="10249" width="11.421875" style="356" customWidth="1"/>
    <col min="10250" max="10250" width="3.28125" style="356" customWidth="1"/>
    <col min="10251" max="10251" width="9.7109375" style="356" customWidth="1"/>
    <col min="10252" max="10252" width="2.7109375" style="356" customWidth="1"/>
    <col min="10253" max="10253" width="10.8515625" style="356" customWidth="1"/>
    <col min="10254" max="10491" width="9.140625" style="356" customWidth="1"/>
    <col min="10492" max="10492" width="9.140625" style="356" hidden="1" customWidth="1"/>
    <col min="10493" max="10493" width="9.140625" style="356" customWidth="1"/>
    <col min="10494" max="10494" width="3.421875" style="356" customWidth="1"/>
    <col min="10495" max="10495" width="9.8515625" style="356" customWidth="1"/>
    <col min="10496" max="10496" width="3.57421875" style="356" customWidth="1"/>
    <col min="10497" max="10497" width="9.140625" style="356" customWidth="1"/>
    <col min="10498" max="10498" width="2.57421875" style="356" customWidth="1"/>
    <col min="10499" max="10499" width="9.7109375" style="356" customWidth="1"/>
    <col min="10500" max="10500" width="3.57421875" style="356" customWidth="1"/>
    <col min="10501" max="10501" width="9.140625" style="356" customWidth="1"/>
    <col min="10502" max="10502" width="2.8515625" style="356" customWidth="1"/>
    <col min="10503" max="10503" width="10.28125" style="356" customWidth="1"/>
    <col min="10504" max="10504" width="3.28125" style="356" customWidth="1"/>
    <col min="10505" max="10505" width="11.421875" style="356" customWidth="1"/>
    <col min="10506" max="10506" width="3.28125" style="356" customWidth="1"/>
    <col min="10507" max="10507" width="9.7109375" style="356" customWidth="1"/>
    <col min="10508" max="10508" width="2.7109375" style="356" customWidth="1"/>
    <col min="10509" max="10509" width="10.8515625" style="356" customWidth="1"/>
    <col min="10510" max="10747" width="9.140625" style="356" customWidth="1"/>
    <col min="10748" max="10748" width="9.140625" style="356" hidden="1" customWidth="1"/>
    <col min="10749" max="10749" width="9.140625" style="356" customWidth="1"/>
    <col min="10750" max="10750" width="3.421875" style="356" customWidth="1"/>
    <col min="10751" max="10751" width="9.8515625" style="356" customWidth="1"/>
    <col min="10752" max="10752" width="3.57421875" style="356" customWidth="1"/>
    <col min="10753" max="10753" width="9.140625" style="356" customWidth="1"/>
    <col min="10754" max="10754" width="2.57421875" style="356" customWidth="1"/>
    <col min="10755" max="10755" width="9.7109375" style="356" customWidth="1"/>
    <col min="10756" max="10756" width="3.57421875" style="356" customWidth="1"/>
    <col min="10757" max="10757" width="9.140625" style="356" customWidth="1"/>
    <col min="10758" max="10758" width="2.8515625" style="356" customWidth="1"/>
    <col min="10759" max="10759" width="10.28125" style="356" customWidth="1"/>
    <col min="10760" max="10760" width="3.28125" style="356" customWidth="1"/>
    <col min="10761" max="10761" width="11.421875" style="356" customWidth="1"/>
    <col min="10762" max="10762" width="3.28125" style="356" customWidth="1"/>
    <col min="10763" max="10763" width="9.7109375" style="356" customWidth="1"/>
    <col min="10764" max="10764" width="2.7109375" style="356" customWidth="1"/>
    <col min="10765" max="10765" width="10.8515625" style="356" customWidth="1"/>
    <col min="10766" max="11003" width="9.140625" style="356" customWidth="1"/>
    <col min="11004" max="11004" width="9.140625" style="356" hidden="1" customWidth="1"/>
    <col min="11005" max="11005" width="9.140625" style="356" customWidth="1"/>
    <col min="11006" max="11006" width="3.421875" style="356" customWidth="1"/>
    <col min="11007" max="11007" width="9.8515625" style="356" customWidth="1"/>
    <col min="11008" max="11008" width="3.57421875" style="356" customWidth="1"/>
    <col min="11009" max="11009" width="9.140625" style="356" customWidth="1"/>
    <col min="11010" max="11010" width="2.57421875" style="356" customWidth="1"/>
    <col min="11011" max="11011" width="9.7109375" style="356" customWidth="1"/>
    <col min="11012" max="11012" width="3.57421875" style="356" customWidth="1"/>
    <col min="11013" max="11013" width="9.140625" style="356" customWidth="1"/>
    <col min="11014" max="11014" width="2.8515625" style="356" customWidth="1"/>
    <col min="11015" max="11015" width="10.28125" style="356" customWidth="1"/>
    <col min="11016" max="11016" width="3.28125" style="356" customWidth="1"/>
    <col min="11017" max="11017" width="11.421875" style="356" customWidth="1"/>
    <col min="11018" max="11018" width="3.28125" style="356" customWidth="1"/>
    <col min="11019" max="11019" width="9.7109375" style="356" customWidth="1"/>
    <col min="11020" max="11020" width="2.7109375" style="356" customWidth="1"/>
    <col min="11021" max="11021" width="10.8515625" style="356" customWidth="1"/>
    <col min="11022" max="11259" width="9.140625" style="356" customWidth="1"/>
    <col min="11260" max="11260" width="9.140625" style="356" hidden="1" customWidth="1"/>
    <col min="11261" max="11261" width="9.140625" style="356" customWidth="1"/>
    <col min="11262" max="11262" width="3.421875" style="356" customWidth="1"/>
    <col min="11263" max="11263" width="9.8515625" style="356" customWidth="1"/>
    <col min="11264" max="11264" width="3.57421875" style="356" customWidth="1"/>
    <col min="11265" max="11265" width="9.140625" style="356" customWidth="1"/>
    <col min="11266" max="11266" width="2.57421875" style="356" customWidth="1"/>
    <col min="11267" max="11267" width="9.7109375" style="356" customWidth="1"/>
    <col min="11268" max="11268" width="3.57421875" style="356" customWidth="1"/>
    <col min="11269" max="11269" width="9.140625" style="356" customWidth="1"/>
    <col min="11270" max="11270" width="2.8515625" style="356" customWidth="1"/>
    <col min="11271" max="11271" width="10.28125" style="356" customWidth="1"/>
    <col min="11272" max="11272" width="3.28125" style="356" customWidth="1"/>
    <col min="11273" max="11273" width="11.421875" style="356" customWidth="1"/>
    <col min="11274" max="11274" width="3.28125" style="356" customWidth="1"/>
    <col min="11275" max="11275" width="9.7109375" style="356" customWidth="1"/>
    <col min="11276" max="11276" width="2.7109375" style="356" customWidth="1"/>
    <col min="11277" max="11277" width="10.8515625" style="356" customWidth="1"/>
    <col min="11278" max="11515" width="9.140625" style="356" customWidth="1"/>
    <col min="11516" max="11516" width="9.140625" style="356" hidden="1" customWidth="1"/>
    <col min="11517" max="11517" width="9.140625" style="356" customWidth="1"/>
    <col min="11518" max="11518" width="3.421875" style="356" customWidth="1"/>
    <col min="11519" max="11519" width="9.8515625" style="356" customWidth="1"/>
    <col min="11520" max="11520" width="3.57421875" style="356" customWidth="1"/>
    <col min="11521" max="11521" width="9.140625" style="356" customWidth="1"/>
    <col min="11522" max="11522" width="2.57421875" style="356" customWidth="1"/>
    <col min="11523" max="11523" width="9.7109375" style="356" customWidth="1"/>
    <col min="11524" max="11524" width="3.57421875" style="356" customWidth="1"/>
    <col min="11525" max="11525" width="9.140625" style="356" customWidth="1"/>
    <col min="11526" max="11526" width="2.8515625" style="356" customWidth="1"/>
    <col min="11527" max="11527" width="10.28125" style="356" customWidth="1"/>
    <col min="11528" max="11528" width="3.28125" style="356" customWidth="1"/>
    <col min="11529" max="11529" width="11.421875" style="356" customWidth="1"/>
    <col min="11530" max="11530" width="3.28125" style="356" customWidth="1"/>
    <col min="11531" max="11531" width="9.7109375" style="356" customWidth="1"/>
    <col min="11532" max="11532" width="2.7109375" style="356" customWidth="1"/>
    <col min="11533" max="11533" width="10.8515625" style="356" customWidth="1"/>
    <col min="11534" max="11771" width="9.140625" style="356" customWidth="1"/>
    <col min="11772" max="11772" width="9.140625" style="356" hidden="1" customWidth="1"/>
    <col min="11773" max="11773" width="9.140625" style="356" customWidth="1"/>
    <col min="11774" max="11774" width="3.421875" style="356" customWidth="1"/>
    <col min="11775" max="11775" width="9.8515625" style="356" customWidth="1"/>
    <col min="11776" max="11776" width="3.57421875" style="356" customWidth="1"/>
    <col min="11777" max="11777" width="9.140625" style="356" customWidth="1"/>
    <col min="11778" max="11778" width="2.57421875" style="356" customWidth="1"/>
    <col min="11779" max="11779" width="9.7109375" style="356" customWidth="1"/>
    <col min="11780" max="11780" width="3.57421875" style="356" customWidth="1"/>
    <col min="11781" max="11781" width="9.140625" style="356" customWidth="1"/>
    <col min="11782" max="11782" width="2.8515625" style="356" customWidth="1"/>
    <col min="11783" max="11783" width="10.28125" style="356" customWidth="1"/>
    <col min="11784" max="11784" width="3.28125" style="356" customWidth="1"/>
    <col min="11785" max="11785" width="11.421875" style="356" customWidth="1"/>
    <col min="11786" max="11786" width="3.28125" style="356" customWidth="1"/>
    <col min="11787" max="11787" width="9.7109375" style="356" customWidth="1"/>
    <col min="11788" max="11788" width="2.7109375" style="356" customWidth="1"/>
    <col min="11789" max="11789" width="10.8515625" style="356" customWidth="1"/>
    <col min="11790" max="12027" width="9.140625" style="356" customWidth="1"/>
    <col min="12028" max="12028" width="9.140625" style="356" hidden="1" customWidth="1"/>
    <col min="12029" max="12029" width="9.140625" style="356" customWidth="1"/>
    <col min="12030" max="12030" width="3.421875" style="356" customWidth="1"/>
    <col min="12031" max="12031" width="9.8515625" style="356" customWidth="1"/>
    <col min="12032" max="12032" width="3.57421875" style="356" customWidth="1"/>
    <col min="12033" max="12033" width="9.140625" style="356" customWidth="1"/>
    <col min="12034" max="12034" width="2.57421875" style="356" customWidth="1"/>
    <col min="12035" max="12035" width="9.7109375" style="356" customWidth="1"/>
    <col min="12036" max="12036" width="3.57421875" style="356" customWidth="1"/>
    <col min="12037" max="12037" width="9.140625" style="356" customWidth="1"/>
    <col min="12038" max="12038" width="2.8515625" style="356" customWidth="1"/>
    <col min="12039" max="12039" width="10.28125" style="356" customWidth="1"/>
    <col min="12040" max="12040" width="3.28125" style="356" customWidth="1"/>
    <col min="12041" max="12041" width="11.421875" style="356" customWidth="1"/>
    <col min="12042" max="12042" width="3.28125" style="356" customWidth="1"/>
    <col min="12043" max="12043" width="9.7109375" style="356" customWidth="1"/>
    <col min="12044" max="12044" width="2.7109375" style="356" customWidth="1"/>
    <col min="12045" max="12045" width="10.8515625" style="356" customWidth="1"/>
    <col min="12046" max="12283" width="9.140625" style="356" customWidth="1"/>
    <col min="12284" max="12284" width="9.140625" style="356" hidden="1" customWidth="1"/>
    <col min="12285" max="12285" width="9.140625" style="356" customWidth="1"/>
    <col min="12286" max="12286" width="3.421875" style="356" customWidth="1"/>
    <col min="12287" max="12287" width="9.8515625" style="356" customWidth="1"/>
    <col min="12288" max="12288" width="3.57421875" style="356" customWidth="1"/>
    <col min="12289" max="12289" width="9.140625" style="356" customWidth="1"/>
    <col min="12290" max="12290" width="2.57421875" style="356" customWidth="1"/>
    <col min="12291" max="12291" width="9.7109375" style="356" customWidth="1"/>
    <col min="12292" max="12292" width="3.57421875" style="356" customWidth="1"/>
    <col min="12293" max="12293" width="9.140625" style="356" customWidth="1"/>
    <col min="12294" max="12294" width="2.8515625" style="356" customWidth="1"/>
    <col min="12295" max="12295" width="10.28125" style="356" customWidth="1"/>
    <col min="12296" max="12296" width="3.28125" style="356" customWidth="1"/>
    <col min="12297" max="12297" width="11.421875" style="356" customWidth="1"/>
    <col min="12298" max="12298" width="3.28125" style="356" customWidth="1"/>
    <col min="12299" max="12299" width="9.7109375" style="356" customWidth="1"/>
    <col min="12300" max="12300" width="2.7109375" style="356" customWidth="1"/>
    <col min="12301" max="12301" width="10.8515625" style="356" customWidth="1"/>
    <col min="12302" max="12539" width="9.140625" style="356" customWidth="1"/>
    <col min="12540" max="12540" width="9.140625" style="356" hidden="1" customWidth="1"/>
    <col min="12541" max="12541" width="9.140625" style="356" customWidth="1"/>
    <col min="12542" max="12542" width="3.421875" style="356" customWidth="1"/>
    <col min="12543" max="12543" width="9.8515625" style="356" customWidth="1"/>
    <col min="12544" max="12544" width="3.57421875" style="356" customWidth="1"/>
    <col min="12545" max="12545" width="9.140625" style="356" customWidth="1"/>
    <col min="12546" max="12546" width="2.57421875" style="356" customWidth="1"/>
    <col min="12547" max="12547" width="9.7109375" style="356" customWidth="1"/>
    <col min="12548" max="12548" width="3.57421875" style="356" customWidth="1"/>
    <col min="12549" max="12549" width="9.140625" style="356" customWidth="1"/>
    <col min="12550" max="12550" width="2.8515625" style="356" customWidth="1"/>
    <col min="12551" max="12551" width="10.28125" style="356" customWidth="1"/>
    <col min="12552" max="12552" width="3.28125" style="356" customWidth="1"/>
    <col min="12553" max="12553" width="11.421875" style="356" customWidth="1"/>
    <col min="12554" max="12554" width="3.28125" style="356" customWidth="1"/>
    <col min="12555" max="12555" width="9.7109375" style="356" customWidth="1"/>
    <col min="12556" max="12556" width="2.7109375" style="356" customWidth="1"/>
    <col min="12557" max="12557" width="10.8515625" style="356" customWidth="1"/>
    <col min="12558" max="12795" width="9.140625" style="356" customWidth="1"/>
    <col min="12796" max="12796" width="9.140625" style="356" hidden="1" customWidth="1"/>
    <col min="12797" max="12797" width="9.140625" style="356" customWidth="1"/>
    <col min="12798" max="12798" width="3.421875" style="356" customWidth="1"/>
    <col min="12799" max="12799" width="9.8515625" style="356" customWidth="1"/>
    <col min="12800" max="12800" width="3.57421875" style="356" customWidth="1"/>
    <col min="12801" max="12801" width="9.140625" style="356" customWidth="1"/>
    <col min="12802" max="12802" width="2.57421875" style="356" customWidth="1"/>
    <col min="12803" max="12803" width="9.7109375" style="356" customWidth="1"/>
    <col min="12804" max="12804" width="3.57421875" style="356" customWidth="1"/>
    <col min="12805" max="12805" width="9.140625" style="356" customWidth="1"/>
    <col min="12806" max="12806" width="2.8515625" style="356" customWidth="1"/>
    <col min="12807" max="12807" width="10.28125" style="356" customWidth="1"/>
    <col min="12808" max="12808" width="3.28125" style="356" customWidth="1"/>
    <col min="12809" max="12809" width="11.421875" style="356" customWidth="1"/>
    <col min="12810" max="12810" width="3.28125" style="356" customWidth="1"/>
    <col min="12811" max="12811" width="9.7109375" style="356" customWidth="1"/>
    <col min="12812" max="12812" width="2.7109375" style="356" customWidth="1"/>
    <col min="12813" max="12813" width="10.8515625" style="356" customWidth="1"/>
    <col min="12814" max="13051" width="9.140625" style="356" customWidth="1"/>
    <col min="13052" max="13052" width="9.140625" style="356" hidden="1" customWidth="1"/>
    <col min="13053" max="13053" width="9.140625" style="356" customWidth="1"/>
    <col min="13054" max="13054" width="3.421875" style="356" customWidth="1"/>
    <col min="13055" max="13055" width="9.8515625" style="356" customWidth="1"/>
    <col min="13056" max="13056" width="3.57421875" style="356" customWidth="1"/>
    <col min="13057" max="13057" width="9.140625" style="356" customWidth="1"/>
    <col min="13058" max="13058" width="2.57421875" style="356" customWidth="1"/>
    <col min="13059" max="13059" width="9.7109375" style="356" customWidth="1"/>
    <col min="13060" max="13060" width="3.57421875" style="356" customWidth="1"/>
    <col min="13061" max="13061" width="9.140625" style="356" customWidth="1"/>
    <col min="13062" max="13062" width="2.8515625" style="356" customWidth="1"/>
    <col min="13063" max="13063" width="10.28125" style="356" customWidth="1"/>
    <col min="13064" max="13064" width="3.28125" style="356" customWidth="1"/>
    <col min="13065" max="13065" width="11.421875" style="356" customWidth="1"/>
    <col min="13066" max="13066" width="3.28125" style="356" customWidth="1"/>
    <col min="13067" max="13067" width="9.7109375" style="356" customWidth="1"/>
    <col min="13068" max="13068" width="2.7109375" style="356" customWidth="1"/>
    <col min="13069" max="13069" width="10.8515625" style="356" customWidth="1"/>
    <col min="13070" max="13307" width="9.140625" style="356" customWidth="1"/>
    <col min="13308" max="13308" width="9.140625" style="356" hidden="1" customWidth="1"/>
    <col min="13309" max="13309" width="9.140625" style="356" customWidth="1"/>
    <col min="13310" max="13310" width="3.421875" style="356" customWidth="1"/>
    <col min="13311" max="13311" width="9.8515625" style="356" customWidth="1"/>
    <col min="13312" max="13312" width="3.57421875" style="356" customWidth="1"/>
    <col min="13313" max="13313" width="9.140625" style="356" customWidth="1"/>
    <col min="13314" max="13314" width="2.57421875" style="356" customWidth="1"/>
    <col min="13315" max="13315" width="9.7109375" style="356" customWidth="1"/>
    <col min="13316" max="13316" width="3.57421875" style="356" customWidth="1"/>
    <col min="13317" max="13317" width="9.140625" style="356" customWidth="1"/>
    <col min="13318" max="13318" width="2.8515625" style="356" customWidth="1"/>
    <col min="13319" max="13319" width="10.28125" style="356" customWidth="1"/>
    <col min="13320" max="13320" width="3.28125" style="356" customWidth="1"/>
    <col min="13321" max="13321" width="11.421875" style="356" customWidth="1"/>
    <col min="13322" max="13322" width="3.28125" style="356" customWidth="1"/>
    <col min="13323" max="13323" width="9.7109375" style="356" customWidth="1"/>
    <col min="13324" max="13324" width="2.7109375" style="356" customWidth="1"/>
    <col min="13325" max="13325" width="10.8515625" style="356" customWidth="1"/>
    <col min="13326" max="13563" width="9.140625" style="356" customWidth="1"/>
    <col min="13564" max="13564" width="9.140625" style="356" hidden="1" customWidth="1"/>
    <col min="13565" max="13565" width="9.140625" style="356" customWidth="1"/>
    <col min="13566" max="13566" width="3.421875" style="356" customWidth="1"/>
    <col min="13567" max="13567" width="9.8515625" style="356" customWidth="1"/>
    <col min="13568" max="13568" width="3.57421875" style="356" customWidth="1"/>
    <col min="13569" max="13569" width="9.140625" style="356" customWidth="1"/>
    <col min="13570" max="13570" width="2.57421875" style="356" customWidth="1"/>
    <col min="13571" max="13571" width="9.7109375" style="356" customWidth="1"/>
    <col min="13572" max="13572" width="3.57421875" style="356" customWidth="1"/>
    <col min="13573" max="13573" width="9.140625" style="356" customWidth="1"/>
    <col min="13574" max="13574" width="2.8515625" style="356" customWidth="1"/>
    <col min="13575" max="13575" width="10.28125" style="356" customWidth="1"/>
    <col min="13576" max="13576" width="3.28125" style="356" customWidth="1"/>
    <col min="13577" max="13577" width="11.421875" style="356" customWidth="1"/>
    <col min="13578" max="13578" width="3.28125" style="356" customWidth="1"/>
    <col min="13579" max="13579" width="9.7109375" style="356" customWidth="1"/>
    <col min="13580" max="13580" width="2.7109375" style="356" customWidth="1"/>
    <col min="13581" max="13581" width="10.8515625" style="356" customWidth="1"/>
    <col min="13582" max="13819" width="9.140625" style="356" customWidth="1"/>
    <col min="13820" max="13820" width="9.140625" style="356" hidden="1" customWidth="1"/>
    <col min="13821" max="13821" width="9.140625" style="356" customWidth="1"/>
    <col min="13822" max="13822" width="3.421875" style="356" customWidth="1"/>
    <col min="13823" max="13823" width="9.8515625" style="356" customWidth="1"/>
    <col min="13824" max="13824" width="3.57421875" style="356" customWidth="1"/>
    <col min="13825" max="13825" width="9.140625" style="356" customWidth="1"/>
    <col min="13826" max="13826" width="2.57421875" style="356" customWidth="1"/>
    <col min="13827" max="13827" width="9.7109375" style="356" customWidth="1"/>
    <col min="13828" max="13828" width="3.57421875" style="356" customWidth="1"/>
    <col min="13829" max="13829" width="9.140625" style="356" customWidth="1"/>
    <col min="13830" max="13830" width="2.8515625" style="356" customWidth="1"/>
    <col min="13831" max="13831" width="10.28125" style="356" customWidth="1"/>
    <col min="13832" max="13832" width="3.28125" style="356" customWidth="1"/>
    <col min="13833" max="13833" width="11.421875" style="356" customWidth="1"/>
    <col min="13834" max="13834" width="3.28125" style="356" customWidth="1"/>
    <col min="13835" max="13835" width="9.7109375" style="356" customWidth="1"/>
    <col min="13836" max="13836" width="2.7109375" style="356" customWidth="1"/>
    <col min="13837" max="13837" width="10.8515625" style="356" customWidth="1"/>
    <col min="13838" max="14075" width="9.140625" style="356" customWidth="1"/>
    <col min="14076" max="14076" width="9.140625" style="356" hidden="1" customWidth="1"/>
    <col min="14077" max="14077" width="9.140625" style="356" customWidth="1"/>
    <col min="14078" max="14078" width="3.421875" style="356" customWidth="1"/>
    <col min="14079" max="14079" width="9.8515625" style="356" customWidth="1"/>
    <col min="14080" max="14080" width="3.57421875" style="356" customWidth="1"/>
    <col min="14081" max="14081" width="9.140625" style="356" customWidth="1"/>
    <col min="14082" max="14082" width="2.57421875" style="356" customWidth="1"/>
    <col min="14083" max="14083" width="9.7109375" style="356" customWidth="1"/>
    <col min="14084" max="14084" width="3.57421875" style="356" customWidth="1"/>
    <col min="14085" max="14085" width="9.140625" style="356" customWidth="1"/>
    <col min="14086" max="14086" width="2.8515625" style="356" customWidth="1"/>
    <col min="14087" max="14087" width="10.28125" style="356" customWidth="1"/>
    <col min="14088" max="14088" width="3.28125" style="356" customWidth="1"/>
    <col min="14089" max="14089" width="11.421875" style="356" customWidth="1"/>
    <col min="14090" max="14090" width="3.28125" style="356" customWidth="1"/>
    <col min="14091" max="14091" width="9.7109375" style="356" customWidth="1"/>
    <col min="14092" max="14092" width="2.7109375" style="356" customWidth="1"/>
    <col min="14093" max="14093" width="10.8515625" style="356" customWidth="1"/>
    <col min="14094" max="14331" width="9.140625" style="356" customWidth="1"/>
    <col min="14332" max="14332" width="9.140625" style="356" hidden="1" customWidth="1"/>
    <col min="14333" max="14333" width="9.140625" style="356" customWidth="1"/>
    <col min="14334" max="14334" width="3.421875" style="356" customWidth="1"/>
    <col min="14335" max="14335" width="9.8515625" style="356" customWidth="1"/>
    <col min="14336" max="14336" width="3.57421875" style="356" customWidth="1"/>
    <col min="14337" max="14337" width="9.140625" style="356" customWidth="1"/>
    <col min="14338" max="14338" width="2.57421875" style="356" customWidth="1"/>
    <col min="14339" max="14339" width="9.7109375" style="356" customWidth="1"/>
    <col min="14340" max="14340" width="3.57421875" style="356" customWidth="1"/>
    <col min="14341" max="14341" width="9.140625" style="356" customWidth="1"/>
    <col min="14342" max="14342" width="2.8515625" style="356" customWidth="1"/>
    <col min="14343" max="14343" width="10.28125" style="356" customWidth="1"/>
    <col min="14344" max="14344" width="3.28125" style="356" customWidth="1"/>
    <col min="14345" max="14345" width="11.421875" style="356" customWidth="1"/>
    <col min="14346" max="14346" width="3.28125" style="356" customWidth="1"/>
    <col min="14347" max="14347" width="9.7109375" style="356" customWidth="1"/>
    <col min="14348" max="14348" width="2.7109375" style="356" customWidth="1"/>
    <col min="14349" max="14349" width="10.8515625" style="356" customWidth="1"/>
    <col min="14350" max="14587" width="9.140625" style="356" customWidth="1"/>
    <col min="14588" max="14588" width="9.140625" style="356" hidden="1" customWidth="1"/>
    <col min="14589" max="14589" width="9.140625" style="356" customWidth="1"/>
    <col min="14590" max="14590" width="3.421875" style="356" customWidth="1"/>
    <col min="14591" max="14591" width="9.8515625" style="356" customWidth="1"/>
    <col min="14592" max="14592" width="3.57421875" style="356" customWidth="1"/>
    <col min="14593" max="14593" width="9.140625" style="356" customWidth="1"/>
    <col min="14594" max="14594" width="2.57421875" style="356" customWidth="1"/>
    <col min="14595" max="14595" width="9.7109375" style="356" customWidth="1"/>
    <col min="14596" max="14596" width="3.57421875" style="356" customWidth="1"/>
    <col min="14597" max="14597" width="9.140625" style="356" customWidth="1"/>
    <col min="14598" max="14598" width="2.8515625" style="356" customWidth="1"/>
    <col min="14599" max="14599" width="10.28125" style="356" customWidth="1"/>
    <col min="14600" max="14600" width="3.28125" style="356" customWidth="1"/>
    <col min="14601" max="14601" width="11.421875" style="356" customWidth="1"/>
    <col min="14602" max="14602" width="3.28125" style="356" customWidth="1"/>
    <col min="14603" max="14603" width="9.7109375" style="356" customWidth="1"/>
    <col min="14604" max="14604" width="2.7109375" style="356" customWidth="1"/>
    <col min="14605" max="14605" width="10.8515625" style="356" customWidth="1"/>
    <col min="14606" max="14843" width="9.140625" style="356" customWidth="1"/>
    <col min="14844" max="14844" width="9.140625" style="356" hidden="1" customWidth="1"/>
    <col min="14845" max="14845" width="9.140625" style="356" customWidth="1"/>
    <col min="14846" max="14846" width="3.421875" style="356" customWidth="1"/>
    <col min="14847" max="14847" width="9.8515625" style="356" customWidth="1"/>
    <col min="14848" max="14848" width="3.57421875" style="356" customWidth="1"/>
    <col min="14849" max="14849" width="9.140625" style="356" customWidth="1"/>
    <col min="14850" max="14850" width="2.57421875" style="356" customWidth="1"/>
    <col min="14851" max="14851" width="9.7109375" style="356" customWidth="1"/>
    <col min="14852" max="14852" width="3.57421875" style="356" customWidth="1"/>
    <col min="14853" max="14853" width="9.140625" style="356" customWidth="1"/>
    <col min="14854" max="14854" width="2.8515625" style="356" customWidth="1"/>
    <col min="14855" max="14855" width="10.28125" style="356" customWidth="1"/>
    <col min="14856" max="14856" width="3.28125" style="356" customWidth="1"/>
    <col min="14857" max="14857" width="11.421875" style="356" customWidth="1"/>
    <col min="14858" max="14858" width="3.28125" style="356" customWidth="1"/>
    <col min="14859" max="14859" width="9.7109375" style="356" customWidth="1"/>
    <col min="14860" max="14860" width="2.7109375" style="356" customWidth="1"/>
    <col min="14861" max="14861" width="10.8515625" style="356" customWidth="1"/>
    <col min="14862" max="15099" width="9.140625" style="356" customWidth="1"/>
    <col min="15100" max="15100" width="9.140625" style="356" hidden="1" customWidth="1"/>
    <col min="15101" max="15101" width="9.140625" style="356" customWidth="1"/>
    <col min="15102" max="15102" width="3.421875" style="356" customWidth="1"/>
    <col min="15103" max="15103" width="9.8515625" style="356" customWidth="1"/>
    <col min="15104" max="15104" width="3.57421875" style="356" customWidth="1"/>
    <col min="15105" max="15105" width="9.140625" style="356" customWidth="1"/>
    <col min="15106" max="15106" width="2.57421875" style="356" customWidth="1"/>
    <col min="15107" max="15107" width="9.7109375" style="356" customWidth="1"/>
    <col min="15108" max="15108" width="3.57421875" style="356" customWidth="1"/>
    <col min="15109" max="15109" width="9.140625" style="356" customWidth="1"/>
    <col min="15110" max="15110" width="2.8515625" style="356" customWidth="1"/>
    <col min="15111" max="15111" width="10.28125" style="356" customWidth="1"/>
    <col min="15112" max="15112" width="3.28125" style="356" customWidth="1"/>
    <col min="15113" max="15113" width="11.421875" style="356" customWidth="1"/>
    <col min="15114" max="15114" width="3.28125" style="356" customWidth="1"/>
    <col min="15115" max="15115" width="9.7109375" style="356" customWidth="1"/>
    <col min="15116" max="15116" width="2.7109375" style="356" customWidth="1"/>
    <col min="15117" max="15117" width="10.8515625" style="356" customWidth="1"/>
    <col min="15118" max="15355" width="9.140625" style="356" customWidth="1"/>
    <col min="15356" max="15356" width="9.140625" style="356" hidden="1" customWidth="1"/>
    <col min="15357" max="15357" width="9.140625" style="356" customWidth="1"/>
    <col min="15358" max="15358" width="3.421875" style="356" customWidth="1"/>
    <col min="15359" max="15359" width="9.8515625" style="356" customWidth="1"/>
    <col min="15360" max="15360" width="3.57421875" style="356" customWidth="1"/>
    <col min="15361" max="15361" width="9.140625" style="356" customWidth="1"/>
    <col min="15362" max="15362" width="2.57421875" style="356" customWidth="1"/>
    <col min="15363" max="15363" width="9.7109375" style="356" customWidth="1"/>
    <col min="15364" max="15364" width="3.57421875" style="356" customWidth="1"/>
    <col min="15365" max="15365" width="9.140625" style="356" customWidth="1"/>
    <col min="15366" max="15366" width="2.8515625" style="356" customWidth="1"/>
    <col min="15367" max="15367" width="10.28125" style="356" customWidth="1"/>
    <col min="15368" max="15368" width="3.28125" style="356" customWidth="1"/>
    <col min="15369" max="15369" width="11.421875" style="356" customWidth="1"/>
    <col min="15370" max="15370" width="3.28125" style="356" customWidth="1"/>
    <col min="15371" max="15371" width="9.7109375" style="356" customWidth="1"/>
    <col min="15372" max="15372" width="2.7109375" style="356" customWidth="1"/>
    <col min="15373" max="15373" width="10.8515625" style="356" customWidth="1"/>
    <col min="15374" max="15611" width="9.140625" style="356" customWidth="1"/>
    <col min="15612" max="15612" width="9.140625" style="356" hidden="1" customWidth="1"/>
    <col min="15613" max="15613" width="9.140625" style="356" customWidth="1"/>
    <col min="15614" max="15614" width="3.421875" style="356" customWidth="1"/>
    <col min="15615" max="15615" width="9.8515625" style="356" customWidth="1"/>
    <col min="15616" max="15616" width="3.57421875" style="356" customWidth="1"/>
    <col min="15617" max="15617" width="9.140625" style="356" customWidth="1"/>
    <col min="15618" max="15618" width="2.57421875" style="356" customWidth="1"/>
    <col min="15619" max="15619" width="9.7109375" style="356" customWidth="1"/>
    <col min="15620" max="15620" width="3.57421875" style="356" customWidth="1"/>
    <col min="15621" max="15621" width="9.140625" style="356" customWidth="1"/>
    <col min="15622" max="15622" width="2.8515625" style="356" customWidth="1"/>
    <col min="15623" max="15623" width="10.28125" style="356" customWidth="1"/>
    <col min="15624" max="15624" width="3.28125" style="356" customWidth="1"/>
    <col min="15625" max="15625" width="11.421875" style="356" customWidth="1"/>
    <col min="15626" max="15626" width="3.28125" style="356" customWidth="1"/>
    <col min="15627" max="15627" width="9.7109375" style="356" customWidth="1"/>
    <col min="15628" max="15628" width="2.7109375" style="356" customWidth="1"/>
    <col min="15629" max="15629" width="10.8515625" style="356" customWidth="1"/>
    <col min="15630" max="15867" width="9.140625" style="356" customWidth="1"/>
    <col min="15868" max="15868" width="9.140625" style="356" hidden="1" customWidth="1"/>
    <col min="15869" max="15869" width="9.140625" style="356" customWidth="1"/>
    <col min="15870" max="15870" width="3.421875" style="356" customWidth="1"/>
    <col min="15871" max="15871" width="9.8515625" style="356" customWidth="1"/>
    <col min="15872" max="15872" width="3.57421875" style="356" customWidth="1"/>
    <col min="15873" max="15873" width="9.140625" style="356" customWidth="1"/>
    <col min="15874" max="15874" width="2.57421875" style="356" customWidth="1"/>
    <col min="15875" max="15875" width="9.7109375" style="356" customWidth="1"/>
    <col min="15876" max="15876" width="3.57421875" style="356" customWidth="1"/>
    <col min="15877" max="15877" width="9.140625" style="356" customWidth="1"/>
    <col min="15878" max="15878" width="2.8515625" style="356" customWidth="1"/>
    <col min="15879" max="15879" width="10.28125" style="356" customWidth="1"/>
    <col min="15880" max="15880" width="3.28125" style="356" customWidth="1"/>
    <col min="15881" max="15881" width="11.421875" style="356" customWidth="1"/>
    <col min="15882" max="15882" width="3.28125" style="356" customWidth="1"/>
    <col min="15883" max="15883" width="9.7109375" style="356" customWidth="1"/>
    <col min="15884" max="15884" width="2.7109375" style="356" customWidth="1"/>
    <col min="15885" max="15885" width="10.8515625" style="356" customWidth="1"/>
    <col min="15886" max="16123" width="9.140625" style="356" customWidth="1"/>
    <col min="16124" max="16124" width="9.140625" style="356" hidden="1" customWidth="1"/>
    <col min="16125" max="16125" width="9.140625" style="356" customWidth="1"/>
    <col min="16126" max="16126" width="3.421875" style="356" customWidth="1"/>
    <col min="16127" max="16127" width="9.8515625" style="356" customWidth="1"/>
    <col min="16128" max="16128" width="3.57421875" style="356" customWidth="1"/>
    <col min="16129" max="16129" width="9.140625" style="356" customWidth="1"/>
    <col min="16130" max="16130" width="2.57421875" style="356" customWidth="1"/>
    <col min="16131" max="16131" width="9.7109375" style="356" customWidth="1"/>
    <col min="16132" max="16132" width="3.57421875" style="356" customWidth="1"/>
    <col min="16133" max="16133" width="9.140625" style="356" customWidth="1"/>
    <col min="16134" max="16134" width="2.8515625" style="356" customWidth="1"/>
    <col min="16135" max="16135" width="10.28125" style="356" customWidth="1"/>
    <col min="16136" max="16136" width="3.28125" style="356" customWidth="1"/>
    <col min="16137" max="16137" width="11.421875" style="356" customWidth="1"/>
    <col min="16138" max="16138" width="3.28125" style="356" customWidth="1"/>
    <col min="16139" max="16139" width="9.7109375" style="356" customWidth="1"/>
    <col min="16140" max="16140" width="2.7109375" style="356" customWidth="1"/>
    <col min="16141" max="16141" width="10.8515625" style="356" customWidth="1"/>
    <col min="16142" max="16384" width="9.140625" style="356" customWidth="1"/>
  </cols>
  <sheetData>
    <row r="1" spans="3:13" ht="12.75">
      <c r="C1" s="487" t="s">
        <v>652</v>
      </c>
      <c r="D1" s="487"/>
      <c r="E1" s="487"/>
      <c r="F1" s="487"/>
      <c r="G1" s="487"/>
      <c r="H1" s="487"/>
      <c r="I1" s="487"/>
      <c r="J1" s="487"/>
      <c r="K1" s="487"/>
      <c r="L1" s="487"/>
      <c r="M1" s="487"/>
    </row>
    <row r="2" spans="3:13" ht="12.75">
      <c r="C2" s="487" t="s">
        <v>626</v>
      </c>
      <c r="D2" s="487"/>
      <c r="E2" s="487"/>
      <c r="F2" s="487"/>
      <c r="G2" s="487"/>
      <c r="H2" s="487"/>
      <c r="I2" s="487"/>
      <c r="J2" s="487"/>
      <c r="K2" s="487"/>
      <c r="L2" s="487"/>
      <c r="M2" s="487"/>
    </row>
    <row r="3" spans="3:13" ht="12.75">
      <c r="C3" s="487" t="s">
        <v>875</v>
      </c>
      <c r="D3" s="487"/>
      <c r="E3" s="487"/>
      <c r="F3" s="487"/>
      <c r="G3" s="487"/>
      <c r="H3" s="487"/>
      <c r="I3" s="487"/>
      <c r="J3" s="487"/>
      <c r="K3" s="487"/>
      <c r="L3" s="487"/>
      <c r="M3" s="487"/>
    </row>
    <row r="4" spans="3:13" ht="12.75">
      <c r="C4" s="487" t="s">
        <v>246</v>
      </c>
      <c r="D4" s="487"/>
      <c r="E4" s="487"/>
      <c r="F4" s="487"/>
      <c r="G4" s="487"/>
      <c r="H4" s="487"/>
      <c r="I4" s="487"/>
      <c r="J4" s="487"/>
      <c r="K4" s="487"/>
      <c r="L4" s="487"/>
      <c r="M4" s="487"/>
    </row>
    <row r="5" spans="3:13" ht="12.75" customHeight="1">
      <c r="C5" s="357"/>
      <c r="D5" s="358"/>
      <c r="E5" s="358"/>
      <c r="F5" s="358"/>
      <c r="G5" s="358"/>
      <c r="H5" s="358"/>
      <c r="I5" s="358"/>
      <c r="J5" s="358"/>
      <c r="K5" s="358"/>
      <c r="L5" s="358"/>
      <c r="M5" s="358"/>
    </row>
    <row r="6" spans="3:12" ht="14.25">
      <c r="C6" s="359" t="s">
        <v>156</v>
      </c>
      <c r="D6" s="360" t="s">
        <v>157</v>
      </c>
      <c r="E6" s="360" t="s">
        <v>158</v>
      </c>
      <c r="F6" s="360" t="s">
        <v>159</v>
      </c>
      <c r="G6" s="360" t="s">
        <v>160</v>
      </c>
      <c r="H6" s="360" t="s">
        <v>161</v>
      </c>
      <c r="I6" s="361" t="s">
        <v>249</v>
      </c>
      <c r="J6" s="360" t="s">
        <v>250</v>
      </c>
      <c r="K6" s="360" t="s">
        <v>251</v>
      </c>
      <c r="L6" s="360" t="s">
        <v>252</v>
      </c>
    </row>
    <row r="7" spans="3:13" ht="15.75">
      <c r="C7" s="362"/>
      <c r="D7" s="363"/>
      <c r="E7" s="363"/>
      <c r="F7" s="363"/>
      <c r="G7" s="363"/>
      <c r="H7" s="363"/>
      <c r="I7" s="363"/>
      <c r="J7" s="364" t="s">
        <v>48</v>
      </c>
      <c r="K7" s="363"/>
      <c r="L7" s="364"/>
      <c r="M7" s="363"/>
    </row>
    <row r="8" spans="3:13" ht="12.75">
      <c r="C8" s="364"/>
      <c r="D8" s="364"/>
      <c r="E8" s="364"/>
      <c r="F8" s="364" t="s">
        <v>225</v>
      </c>
      <c r="G8" s="364"/>
      <c r="H8" s="364"/>
      <c r="I8" s="364"/>
      <c r="J8" s="364" t="s">
        <v>600</v>
      </c>
      <c r="K8" s="364"/>
      <c r="M8" s="364"/>
    </row>
    <row r="9" spans="3:13" ht="12.75">
      <c r="C9" s="364"/>
      <c r="D9" s="364"/>
      <c r="E9" s="364" t="s">
        <v>606</v>
      </c>
      <c r="F9" s="364" t="s">
        <v>601</v>
      </c>
      <c r="G9" s="364"/>
      <c r="H9" s="364"/>
      <c r="I9" s="364" t="s">
        <v>627</v>
      </c>
      <c r="J9" s="364" t="s">
        <v>602</v>
      </c>
      <c r="K9" s="364"/>
      <c r="L9" s="364" t="s">
        <v>822</v>
      </c>
      <c r="M9" s="364" t="s">
        <v>603</v>
      </c>
    </row>
    <row r="10" spans="3:13" ht="12.75">
      <c r="C10" s="364" t="s">
        <v>604</v>
      </c>
      <c r="D10" s="364" t="s">
        <v>605</v>
      </c>
      <c r="E10" s="364" t="s">
        <v>617</v>
      </c>
      <c r="F10" s="364" t="s">
        <v>607</v>
      </c>
      <c r="G10" s="364"/>
      <c r="H10" s="364" t="s">
        <v>608</v>
      </c>
      <c r="I10" s="364" t="s">
        <v>749</v>
      </c>
      <c r="J10" s="364" t="s">
        <v>609</v>
      </c>
      <c r="K10" s="364" t="s">
        <v>872</v>
      </c>
      <c r="L10" s="364" t="s">
        <v>823</v>
      </c>
      <c r="M10" s="364" t="s">
        <v>225</v>
      </c>
    </row>
    <row r="11" spans="3:13" ht="12.75">
      <c r="C11" s="364" t="s">
        <v>72</v>
      </c>
      <c r="D11" s="364" t="s">
        <v>225</v>
      </c>
      <c r="E11" s="364" t="s">
        <v>616</v>
      </c>
      <c r="F11" s="364" t="s">
        <v>610</v>
      </c>
      <c r="G11" s="364" t="s">
        <v>115</v>
      </c>
      <c r="H11" s="364" t="s">
        <v>611</v>
      </c>
      <c r="I11" s="364" t="s">
        <v>771</v>
      </c>
      <c r="J11" s="364" t="s">
        <v>597</v>
      </c>
      <c r="K11" s="364" t="s">
        <v>823</v>
      </c>
      <c r="L11" s="364" t="s">
        <v>824</v>
      </c>
      <c r="M11" s="364" t="s">
        <v>612</v>
      </c>
    </row>
    <row r="12" spans="3:13" ht="12.75">
      <c r="C12" s="357"/>
      <c r="D12" s="358"/>
      <c r="E12" s="358"/>
      <c r="F12" s="358"/>
      <c r="G12" s="358"/>
      <c r="H12" s="358"/>
      <c r="I12" s="358"/>
      <c r="J12" s="358"/>
      <c r="K12" s="358"/>
      <c r="L12" s="358"/>
      <c r="M12" s="358"/>
    </row>
    <row r="13" spans="3:13" ht="12.75">
      <c r="C13" s="365" t="s">
        <v>613</v>
      </c>
      <c r="D13" s="358"/>
      <c r="E13" s="358"/>
      <c r="F13" s="358"/>
      <c r="G13" s="358"/>
      <c r="H13" s="358"/>
      <c r="I13" s="358"/>
      <c r="J13" s="358"/>
      <c r="K13" s="358"/>
      <c r="L13" s="358"/>
      <c r="M13" s="358"/>
    </row>
    <row r="14" spans="1:15" ht="12.75">
      <c r="A14" s="358"/>
      <c r="B14" s="357">
        <v>1</v>
      </c>
      <c r="C14" s="357">
        <v>2018</v>
      </c>
      <c r="D14" s="366">
        <v>124640.09349000001</v>
      </c>
      <c r="E14" s="366">
        <v>0</v>
      </c>
      <c r="F14" s="367" t="s">
        <v>772</v>
      </c>
      <c r="G14" s="366">
        <v>-14705.82681</v>
      </c>
      <c r="H14" s="358">
        <f>SUM(D14:G14)</f>
        <v>109934.26668000002</v>
      </c>
      <c r="I14" s="366">
        <v>11627.71409</v>
      </c>
      <c r="J14" s="366">
        <v>-45936.984</v>
      </c>
      <c r="K14" s="366">
        <v>-1939.2374200000002</v>
      </c>
      <c r="L14" s="367" t="s">
        <v>772</v>
      </c>
      <c r="M14" s="366">
        <f>SUM(H14:K14)</f>
        <v>73685.75935000001</v>
      </c>
      <c r="O14" s="358"/>
    </row>
    <row r="15" spans="1:15" ht="12.75">
      <c r="A15" s="358"/>
      <c r="B15" s="357">
        <v>2</v>
      </c>
      <c r="C15" s="368">
        <v>2019</v>
      </c>
      <c r="D15" s="366">
        <v>124236.29325</v>
      </c>
      <c r="E15" s="366">
        <v>0</v>
      </c>
      <c r="F15" s="367" t="s">
        <v>772</v>
      </c>
      <c r="G15" s="366">
        <v>-16730.03558</v>
      </c>
      <c r="H15" s="366">
        <f aca="true" t="shared" si="0" ref="H15">SUM(D15:G15)</f>
        <v>107506.25767</v>
      </c>
      <c r="I15" s="366">
        <v>10747.467939999999</v>
      </c>
      <c r="J15" s="366">
        <v>-45936.984</v>
      </c>
      <c r="K15" s="366">
        <v>-6832.467799999999</v>
      </c>
      <c r="L15" s="367" t="s">
        <v>772</v>
      </c>
      <c r="M15" s="366">
        <f>SUM(H15:K15)</f>
        <v>65484.27381000001</v>
      </c>
      <c r="O15" s="358"/>
    </row>
    <row r="16" spans="1:15" ht="12.75">
      <c r="A16" s="358"/>
      <c r="B16" s="357">
        <v>3</v>
      </c>
      <c r="C16" s="368">
        <v>2020</v>
      </c>
      <c r="D16" s="366">
        <v>100992.98522</v>
      </c>
      <c r="E16" s="366">
        <v>0</v>
      </c>
      <c r="F16" s="367" t="s">
        <v>772</v>
      </c>
      <c r="G16" s="366">
        <v>-12848.103519999999</v>
      </c>
      <c r="H16" s="366">
        <f aca="true" t="shared" si="1" ref="H16">SUM(D16:G16)</f>
        <v>88144.8817</v>
      </c>
      <c r="I16" s="366">
        <v>250035.72650999998</v>
      </c>
      <c r="J16" s="366">
        <v>-45936.984</v>
      </c>
      <c r="K16" s="366">
        <v>-1085.60374</v>
      </c>
      <c r="L16" s="366">
        <v>-12072.90222</v>
      </c>
      <c r="M16" s="366">
        <f>SUM(H16:L16)</f>
        <v>279085.11825</v>
      </c>
      <c r="O16" s="358"/>
    </row>
    <row r="17" spans="1:15" s="375" customFormat="1" ht="12.75">
      <c r="A17" s="366"/>
      <c r="B17" s="357">
        <v>4</v>
      </c>
      <c r="C17" s="368">
        <v>2021</v>
      </c>
      <c r="D17" s="366">
        <v>98678</v>
      </c>
      <c r="E17" s="366">
        <v>0</v>
      </c>
      <c r="F17" s="367" t="s">
        <v>772</v>
      </c>
      <c r="G17" s="366">
        <v>-11136</v>
      </c>
      <c r="H17" s="366">
        <f>SUM(D17:G17)</f>
        <v>87542</v>
      </c>
      <c r="I17" s="366">
        <v>219439</v>
      </c>
      <c r="J17" s="366">
        <v>-45937</v>
      </c>
      <c r="K17" s="366">
        <v>-285</v>
      </c>
      <c r="L17" s="366">
        <v>-200928</v>
      </c>
      <c r="M17" s="366">
        <f>SUM(H17:L17)</f>
        <v>59831</v>
      </c>
      <c r="O17" s="366"/>
    </row>
    <row r="18" spans="1:16" ht="12.75">
      <c r="A18" s="358"/>
      <c r="B18" s="357">
        <v>5</v>
      </c>
      <c r="C18" s="368">
        <v>2022</v>
      </c>
      <c r="D18" s="366">
        <v>95535</v>
      </c>
      <c r="E18" s="358">
        <v>0</v>
      </c>
      <c r="F18" s="367" t="s">
        <v>772</v>
      </c>
      <c r="G18" s="366">
        <v>-10166</v>
      </c>
      <c r="H18" s="366">
        <f>SUM(D18:G18)</f>
        <v>85369</v>
      </c>
      <c r="I18" s="366">
        <v>206043</v>
      </c>
      <c r="J18" s="366">
        <f>-45937</f>
        <v>-45937</v>
      </c>
      <c r="K18" s="366">
        <v>-6875</v>
      </c>
      <c r="L18" s="366">
        <v>-20318</v>
      </c>
      <c r="M18" s="366">
        <f>SUM(H18:L18)</f>
        <v>218282</v>
      </c>
      <c r="O18" s="370"/>
      <c r="P18" s="371"/>
    </row>
    <row r="19" spans="1:15" ht="12.75">
      <c r="A19" s="358"/>
      <c r="B19" s="357">
        <v>6</v>
      </c>
      <c r="C19" s="369" t="s">
        <v>614</v>
      </c>
      <c r="D19" s="366"/>
      <c r="E19" s="366"/>
      <c r="F19" s="366"/>
      <c r="G19" s="366"/>
      <c r="H19" s="366"/>
      <c r="I19" s="366"/>
      <c r="J19" s="366"/>
      <c r="K19" s="366"/>
      <c r="L19" s="367"/>
      <c r="M19" s="366"/>
      <c r="O19" s="358"/>
    </row>
    <row r="20" spans="1:16" ht="12.75">
      <c r="A20" s="358"/>
      <c r="B20" s="357">
        <v>7</v>
      </c>
      <c r="C20" s="357">
        <f>C18+1</f>
        <v>2023</v>
      </c>
      <c r="D20" s="358">
        <v>104751</v>
      </c>
      <c r="E20" s="358">
        <f>+'Inputs for Evans Tables'!H8</f>
        <v>0</v>
      </c>
      <c r="F20" s="367" t="s">
        <v>772</v>
      </c>
      <c r="G20" s="358">
        <v>-14160</v>
      </c>
      <c r="H20" s="358">
        <f>SUM(D20:G20)</f>
        <v>90591</v>
      </c>
      <c r="I20" s="366">
        <v>217478</v>
      </c>
      <c r="J20" s="358">
        <f>-45937</f>
        <v>-45937</v>
      </c>
      <c r="K20" s="358">
        <v>-8700</v>
      </c>
      <c r="L20" s="358">
        <v>-13714</v>
      </c>
      <c r="M20" s="358">
        <f>SUM(H20:L20)</f>
        <v>239718</v>
      </c>
      <c r="O20" s="371"/>
      <c r="P20" s="371"/>
    </row>
    <row r="21" spans="1:15" ht="12.75">
      <c r="A21" s="358"/>
      <c r="B21" s="357">
        <v>8</v>
      </c>
      <c r="C21" s="369" t="s">
        <v>595</v>
      </c>
      <c r="D21" s="366"/>
      <c r="E21" s="366"/>
      <c r="F21" s="366"/>
      <c r="G21" s="366"/>
      <c r="H21" s="366"/>
      <c r="I21" s="366"/>
      <c r="J21" s="366"/>
      <c r="K21" s="366"/>
      <c r="L21" s="367"/>
      <c r="M21" s="366"/>
      <c r="O21" s="358"/>
    </row>
    <row r="22" spans="1:16" ht="12.75">
      <c r="A22" s="372">
        <v>298215.6203</v>
      </c>
      <c r="B22" s="357">
        <v>9</v>
      </c>
      <c r="C22" s="357">
        <f>+C20+1</f>
        <v>2024</v>
      </c>
      <c r="D22" s="358">
        <f>+'Income Statement Cash Flows'!E29+'Income Statement Cash Flows'!E31</f>
        <v>73964</v>
      </c>
      <c r="E22" s="358">
        <f>+'Inputs for Evans Tables'!H6</f>
        <v>11089.973</v>
      </c>
      <c r="F22" s="358">
        <f>-'Inputs for Evans Tables'!O6</f>
        <v>-421</v>
      </c>
      <c r="G22" s="358">
        <f>+'Income Statement Cash Flows'!E36</f>
        <v>-17821.3925</v>
      </c>
      <c r="H22" s="358">
        <f>SUM(D22:G22)</f>
        <v>66811.5805</v>
      </c>
      <c r="I22" s="366">
        <f>+'Income Statement Cash Flows'!E33+'Income Statement Cash Flows'!E34+'Income Statement Cash Flows'!E35</f>
        <v>200276.66321652336</v>
      </c>
      <c r="J22" s="358">
        <f>J$20</f>
        <v>-45937</v>
      </c>
      <c r="K22" s="358">
        <f>+'Revised Revenue Test'!E39+'Revised Revenue Test'!E40-'Statement D Table D-2'!F22</f>
        <v>-14324.492043551398</v>
      </c>
      <c r="L22" s="358">
        <f>+'Income Statement Cash Flows'!E39</f>
        <v>-4335.0951722724485</v>
      </c>
      <c r="M22" s="358">
        <f>SUM(H22:L22)</f>
        <v>202491.6565006995</v>
      </c>
      <c r="N22" s="373"/>
      <c r="O22" s="329"/>
      <c r="P22" s="371"/>
    </row>
    <row r="23" spans="1:16" ht="12.75">
      <c r="A23" s="372">
        <v>307479.22</v>
      </c>
      <c r="B23" s="357">
        <v>10</v>
      </c>
      <c r="C23" s="357">
        <f>C22+1</f>
        <v>2025</v>
      </c>
      <c r="D23" s="358">
        <f>+'Income Statement Cash Flows'!F29+'Income Statement Cash Flows'!F31</f>
        <v>66863</v>
      </c>
      <c r="E23" s="358">
        <f>+'Inputs for Evans Tables'!H7</f>
        <v>604.825</v>
      </c>
      <c r="F23" s="358">
        <f>-'Inputs for Evans Tables'!O7</f>
        <v>-855</v>
      </c>
      <c r="G23" s="358">
        <f>+'Income Statement Cash Flows'!F36</f>
        <v>-18137.16688</v>
      </c>
      <c r="H23" s="358">
        <f aca="true" t="shared" si="2" ref="H23">SUM(D23:G23)</f>
        <v>48475.65811999999</v>
      </c>
      <c r="I23" s="366">
        <f>+'Income Statement Cash Flows'!F33+'Income Statement Cash Flows'!F34+'Income Statement Cash Flows'!F35</f>
        <v>193029.01853294348</v>
      </c>
      <c r="J23" s="358">
        <f>J$20</f>
        <v>-45937</v>
      </c>
      <c r="K23" s="358">
        <f>+'Revised Revenue Test'!F40+'Revised Revenue Test'!F39-F23</f>
        <v>-16789.90123698998</v>
      </c>
      <c r="L23" s="358">
        <f>+'Income Statement Cash Flows'!F39</f>
        <v>-4607.879206155341</v>
      </c>
      <c r="M23" s="358">
        <f aca="true" t="shared" si="3" ref="M23">SUM(H23:L23)</f>
        <v>174169.89620979817</v>
      </c>
      <c r="N23" s="373"/>
      <c r="O23" s="329"/>
      <c r="P23" s="371"/>
    </row>
    <row r="24" spans="1:16" ht="12.75">
      <c r="A24" s="358"/>
      <c r="B24" s="357">
        <v>11</v>
      </c>
      <c r="C24" s="369" t="s">
        <v>615</v>
      </c>
      <c r="D24" s="358"/>
      <c r="E24" s="358"/>
      <c r="F24" s="358"/>
      <c r="G24" s="358"/>
      <c r="H24" s="358"/>
      <c r="I24" s="366"/>
      <c r="J24" s="358"/>
      <c r="K24" s="358"/>
      <c r="L24" s="358"/>
      <c r="M24" s="358"/>
      <c r="O24" s="356" t="s">
        <v>876</v>
      </c>
      <c r="P24" s="371"/>
    </row>
    <row r="25" spans="1:16" ht="12.75">
      <c r="A25" s="372"/>
      <c r="B25" s="357">
        <v>12</v>
      </c>
      <c r="C25" s="357">
        <f>C23+1</f>
        <v>2026</v>
      </c>
      <c r="D25" s="358">
        <f>+'Inputs for Evans Tables'!N7-'Inputs for Evans Tables'!O7</f>
        <v>65758.72499999999</v>
      </c>
      <c r="E25" s="358">
        <f>+'Inputs for Evans Tables'!H7</f>
        <v>604.825</v>
      </c>
      <c r="F25" s="358">
        <f>-'Inputs for Evans Tables'!O7</f>
        <v>-855</v>
      </c>
      <c r="G25" s="358">
        <f>+G23</f>
        <v>-18137.16688</v>
      </c>
      <c r="H25" s="358">
        <f aca="true" t="shared" si="4" ref="H25:H74">SUM(D25:G25)</f>
        <v>47371.383119999984</v>
      </c>
      <c r="I25" s="366">
        <f>+'Inputs for Evans Tables'!F7+O25</f>
        <v>229325.79712404596</v>
      </c>
      <c r="J25" s="358">
        <f aca="true" t="shared" si="5" ref="J25:J72">J$20</f>
        <v>-45937</v>
      </c>
      <c r="K25" s="358">
        <f>+K23</f>
        <v>-16789.90123698998</v>
      </c>
      <c r="L25" s="358">
        <f>+L23</f>
        <v>-4607.879206155341</v>
      </c>
      <c r="M25" s="358">
        <f>SUM(H25:L25)</f>
        <v>209362.3998009006</v>
      </c>
      <c r="N25" s="373"/>
      <c r="O25" s="4">
        <v>3329.456124045985</v>
      </c>
      <c r="P25" s="371"/>
    </row>
    <row r="26" spans="1:16" ht="12.75">
      <c r="A26" s="372">
        <v>316670.11</v>
      </c>
      <c r="B26" s="357">
        <v>13</v>
      </c>
      <c r="C26" s="357">
        <f aca="true" t="shared" si="6" ref="C26:C74">C25+1</f>
        <v>2027</v>
      </c>
      <c r="D26" s="358">
        <f>+'Inputs for Evans Tables'!N8-'Inputs for Evans Tables'!O8</f>
        <v>63026.574</v>
      </c>
      <c r="E26" s="358">
        <f>+'Inputs for Evans Tables'!H8</f>
        <v>0</v>
      </c>
      <c r="F26" s="358">
        <f>-'Inputs for Evans Tables'!O8</f>
        <v>-742</v>
      </c>
      <c r="G26" s="358">
        <f>+G25</f>
        <v>-18137.16688</v>
      </c>
      <c r="H26" s="358">
        <f t="shared" si="4"/>
        <v>44147.40712</v>
      </c>
      <c r="I26" s="366">
        <f>+'Inputs for Evans Tables'!F8+O26</f>
        <v>216007.65339678669</v>
      </c>
      <c r="J26" s="358">
        <f t="shared" si="5"/>
        <v>-45937</v>
      </c>
      <c r="K26" s="358">
        <f>+K25</f>
        <v>-16789.90123698998</v>
      </c>
      <c r="L26" s="358">
        <f>+L25</f>
        <v>-4607.879206155341</v>
      </c>
      <c r="M26" s="358">
        <f>SUM(H26:L26)</f>
        <v>192820.2800736414</v>
      </c>
      <c r="N26" s="373"/>
      <c r="O26" s="4">
        <v>2064.1223967866927</v>
      </c>
      <c r="P26" s="371"/>
    </row>
    <row r="27" spans="1:16" ht="12.75">
      <c r="A27" s="372">
        <v>321241.82</v>
      </c>
      <c r="B27" s="357">
        <v>14</v>
      </c>
      <c r="C27" s="357">
        <f t="shared" si="6"/>
        <v>2028</v>
      </c>
      <c r="D27" s="358">
        <f>+'Inputs for Evans Tables'!N9-'Inputs for Evans Tables'!O9</f>
        <v>64384.629</v>
      </c>
      <c r="E27" s="358">
        <f>+'Inputs for Evans Tables'!H9</f>
        <v>-117.351</v>
      </c>
      <c r="F27" s="358">
        <f>-'Inputs for Evans Tables'!O9</f>
        <v>-250</v>
      </c>
      <c r="G27" s="358">
        <f aca="true" t="shared" si="7" ref="G27:G74">+G26</f>
        <v>-18137.16688</v>
      </c>
      <c r="H27" s="358">
        <f t="shared" si="4"/>
        <v>45880.11112</v>
      </c>
      <c r="I27" s="366">
        <f>+'Inputs for Evans Tables'!F9+O27</f>
        <v>195602.0439955284</v>
      </c>
      <c r="J27" s="358">
        <f t="shared" si="5"/>
        <v>-45937</v>
      </c>
      <c r="K27" s="358">
        <f aca="true" t="shared" si="8" ref="K27:K74">+K26</f>
        <v>-16789.90123698998</v>
      </c>
      <c r="L27" s="358">
        <f aca="true" t="shared" si="9" ref="L27:L74">+L26</f>
        <v>-4607.879206155341</v>
      </c>
      <c r="M27" s="358">
        <f aca="true" t="shared" si="10" ref="M27:M74">SUM(H27:L27)</f>
        <v>174147.37467238307</v>
      </c>
      <c r="N27" s="373"/>
      <c r="O27" s="4">
        <v>740.067995528412</v>
      </c>
      <c r="P27" s="371"/>
    </row>
    <row r="28" spans="1:16" ht="12.75">
      <c r="A28" s="372">
        <v>318458.77</v>
      </c>
      <c r="B28" s="357">
        <v>15</v>
      </c>
      <c r="C28" s="357">
        <f t="shared" si="6"/>
        <v>2029</v>
      </c>
      <c r="D28" s="358">
        <f>+'Inputs for Evans Tables'!N10-'Inputs for Evans Tables'!O10</f>
        <v>69284.04</v>
      </c>
      <c r="E28" s="358">
        <f>+'Inputs for Evans Tables'!H10</f>
        <v>-1634.695</v>
      </c>
      <c r="F28" s="358">
        <f>-'Inputs for Evans Tables'!O10</f>
        <v>-266</v>
      </c>
      <c r="G28" s="358">
        <f t="shared" si="7"/>
        <v>-18137.16688</v>
      </c>
      <c r="H28" s="358">
        <f t="shared" si="4"/>
        <v>49246.17811999998</v>
      </c>
      <c r="I28" s="366">
        <f>+'Inputs for Evans Tables'!F10+O28</f>
        <v>174837.429</v>
      </c>
      <c r="J28" s="358">
        <f t="shared" si="5"/>
        <v>-45937</v>
      </c>
      <c r="K28" s="358">
        <f t="shared" si="8"/>
        <v>-16789.90123698998</v>
      </c>
      <c r="L28" s="358">
        <f t="shared" si="9"/>
        <v>-4607.879206155341</v>
      </c>
      <c r="M28" s="358">
        <f t="shared" si="10"/>
        <v>156748.8266768547</v>
      </c>
      <c r="N28" s="373"/>
      <c r="O28" s="297"/>
      <c r="P28" s="371"/>
    </row>
    <row r="29" spans="1:16" ht="12.75">
      <c r="A29" s="372">
        <v>317349.24</v>
      </c>
      <c r="B29" s="357">
        <v>16</v>
      </c>
      <c r="C29" s="357">
        <f t="shared" si="6"/>
        <v>2030</v>
      </c>
      <c r="D29" s="358">
        <f>+'Inputs for Evans Tables'!N11-'Inputs for Evans Tables'!O11</f>
        <v>73274.75099999999</v>
      </c>
      <c r="E29" s="358">
        <f>+'Inputs for Evans Tables'!H11</f>
        <v>-2519.365</v>
      </c>
      <c r="F29" s="358">
        <f>-'Inputs for Evans Tables'!O11</f>
        <v>-771</v>
      </c>
      <c r="G29" s="358">
        <f t="shared" si="7"/>
        <v>-18137.16688</v>
      </c>
      <c r="H29" s="358">
        <f t="shared" si="4"/>
        <v>51847.21911999998</v>
      </c>
      <c r="I29" s="366">
        <f>+'Inputs for Evans Tables'!F11+O29</f>
        <v>153938.804</v>
      </c>
      <c r="J29" s="358">
        <f t="shared" si="5"/>
        <v>-45937</v>
      </c>
      <c r="K29" s="358">
        <f t="shared" si="8"/>
        <v>-16789.90123698998</v>
      </c>
      <c r="L29" s="358">
        <f t="shared" si="9"/>
        <v>-4607.879206155341</v>
      </c>
      <c r="M29" s="358">
        <f t="shared" si="10"/>
        <v>138451.24267685466</v>
      </c>
      <c r="N29" s="373"/>
      <c r="O29" s="297"/>
      <c r="P29" s="371"/>
    </row>
    <row r="30" spans="1:16" ht="12.75">
      <c r="A30" s="372">
        <v>310398.41</v>
      </c>
      <c r="B30" s="357">
        <v>17</v>
      </c>
      <c r="C30" s="357">
        <f t="shared" si="6"/>
        <v>2031</v>
      </c>
      <c r="D30" s="358">
        <f>+'Inputs for Evans Tables'!N12-'Inputs for Evans Tables'!O12</f>
        <v>73318.694</v>
      </c>
      <c r="E30" s="358">
        <f>+'Inputs for Evans Tables'!H12</f>
        <v>0</v>
      </c>
      <c r="F30" s="358">
        <f>-'Inputs for Evans Tables'!O12</f>
        <v>-528</v>
      </c>
      <c r="G30" s="358">
        <f t="shared" si="7"/>
        <v>-18137.16688</v>
      </c>
      <c r="H30" s="358">
        <f t="shared" si="4"/>
        <v>54653.52712</v>
      </c>
      <c r="I30" s="366">
        <f>+'Inputs for Evans Tables'!F12+O30</f>
        <v>148056.801</v>
      </c>
      <c r="J30" s="358">
        <f t="shared" si="5"/>
        <v>-45937</v>
      </c>
      <c r="K30" s="358">
        <f t="shared" si="8"/>
        <v>-16789.90123698998</v>
      </c>
      <c r="L30" s="358">
        <f t="shared" si="9"/>
        <v>-4607.879206155341</v>
      </c>
      <c r="M30" s="358">
        <f t="shared" si="10"/>
        <v>135375.5476768547</v>
      </c>
      <c r="N30" s="373"/>
      <c r="O30" s="297"/>
      <c r="P30" s="371"/>
    </row>
    <row r="31" spans="1:16" ht="12.75">
      <c r="A31" s="372">
        <v>300349.87</v>
      </c>
      <c r="B31" s="357">
        <v>18</v>
      </c>
      <c r="C31" s="357">
        <f t="shared" si="6"/>
        <v>2032</v>
      </c>
      <c r="D31" s="358">
        <f>+'Inputs for Evans Tables'!N13-'Inputs for Evans Tables'!O13</f>
        <v>67363.876</v>
      </c>
      <c r="E31" s="358">
        <f>+'Inputs for Evans Tables'!H13</f>
        <v>-8239.773</v>
      </c>
      <c r="F31" s="358">
        <f>-'Inputs for Evans Tables'!O13</f>
        <v>-491</v>
      </c>
      <c r="G31" s="358">
        <f t="shared" si="7"/>
        <v>-18137.16688</v>
      </c>
      <c r="H31" s="358">
        <f t="shared" si="4"/>
        <v>40495.93612</v>
      </c>
      <c r="I31" s="366">
        <f>+'Inputs for Evans Tables'!F13+O31</f>
        <v>137293.728</v>
      </c>
      <c r="J31" s="358">
        <f t="shared" si="5"/>
        <v>-45937</v>
      </c>
      <c r="K31" s="358">
        <f t="shared" si="8"/>
        <v>-16789.90123698998</v>
      </c>
      <c r="L31" s="358">
        <f t="shared" si="9"/>
        <v>-4607.879206155341</v>
      </c>
      <c r="M31" s="358">
        <f t="shared" si="10"/>
        <v>110454.88367685469</v>
      </c>
      <c r="N31" s="373"/>
      <c r="O31" s="373"/>
      <c r="P31" s="371"/>
    </row>
    <row r="32" spans="1:16" ht="12.75">
      <c r="A32" s="372">
        <v>293368.77</v>
      </c>
      <c r="B32" s="357">
        <v>19</v>
      </c>
      <c r="C32" s="357">
        <f t="shared" si="6"/>
        <v>2033</v>
      </c>
      <c r="D32" s="358">
        <f>+'Inputs for Evans Tables'!N14-'Inputs for Evans Tables'!O14</f>
        <v>75483.6</v>
      </c>
      <c r="E32" s="358">
        <f>+'Inputs for Evans Tables'!H14</f>
        <v>-3192.067</v>
      </c>
      <c r="F32" s="358">
        <f>-'Inputs for Evans Tables'!O14</f>
        <v>-453</v>
      </c>
      <c r="G32" s="358">
        <f t="shared" si="7"/>
        <v>-18137.16688</v>
      </c>
      <c r="H32" s="358">
        <f t="shared" si="4"/>
        <v>53701.366120000006</v>
      </c>
      <c r="I32" s="366">
        <f>+'Inputs for Evans Tables'!F14+O32</f>
        <v>125055.087</v>
      </c>
      <c r="J32" s="358">
        <f t="shared" si="5"/>
        <v>-45937</v>
      </c>
      <c r="K32" s="358">
        <f t="shared" si="8"/>
        <v>-16789.90123698998</v>
      </c>
      <c r="L32" s="358">
        <f t="shared" si="9"/>
        <v>-4607.879206155341</v>
      </c>
      <c r="M32" s="358">
        <f t="shared" si="10"/>
        <v>111421.67267685471</v>
      </c>
      <c r="N32" s="373"/>
      <c r="P32" s="371"/>
    </row>
    <row r="33" spans="1:16" ht="12.75">
      <c r="A33" s="372">
        <v>276138.87</v>
      </c>
      <c r="B33" s="357">
        <v>20</v>
      </c>
      <c r="C33" s="357">
        <f t="shared" si="6"/>
        <v>2034</v>
      </c>
      <c r="D33" s="358">
        <f>+'Inputs for Evans Tables'!N15-'Inputs for Evans Tables'!O15</f>
        <v>79867.687</v>
      </c>
      <c r="E33" s="358">
        <f>+'Inputs for Evans Tables'!H15</f>
        <v>-2563.303</v>
      </c>
      <c r="F33" s="358">
        <f>-'Inputs for Evans Tables'!O15</f>
        <v>-492</v>
      </c>
      <c r="G33" s="358">
        <f t="shared" si="7"/>
        <v>-18137.16688</v>
      </c>
      <c r="H33" s="358">
        <f t="shared" si="4"/>
        <v>58675.21712</v>
      </c>
      <c r="I33" s="366">
        <f>+'Inputs for Evans Tables'!F15+O33</f>
        <v>111149.767</v>
      </c>
      <c r="J33" s="358">
        <f t="shared" si="5"/>
        <v>-45937</v>
      </c>
      <c r="K33" s="358">
        <f t="shared" si="8"/>
        <v>-16789.90123698998</v>
      </c>
      <c r="L33" s="358">
        <f t="shared" si="9"/>
        <v>-4607.879206155341</v>
      </c>
      <c r="M33" s="358">
        <f t="shared" si="10"/>
        <v>102490.2036768547</v>
      </c>
      <c r="N33" s="373"/>
      <c r="P33" s="371"/>
    </row>
    <row r="34" spans="1:16" ht="12.75">
      <c r="A34" s="372">
        <v>244584.68</v>
      </c>
      <c r="B34" s="357">
        <v>21</v>
      </c>
      <c r="C34" s="357">
        <f t="shared" si="6"/>
        <v>2035</v>
      </c>
      <c r="D34" s="358">
        <f>+'Inputs for Evans Tables'!N16-'Inputs for Evans Tables'!O16</f>
        <v>44967.674999999996</v>
      </c>
      <c r="E34" s="358">
        <f>+'Inputs for Evans Tables'!H16</f>
        <v>-40379.452</v>
      </c>
      <c r="F34" s="358">
        <f>-'Inputs for Evans Tables'!O16</f>
        <v>-531</v>
      </c>
      <c r="G34" s="358">
        <f t="shared" si="7"/>
        <v>-18137.16688</v>
      </c>
      <c r="H34" s="358">
        <f t="shared" si="4"/>
        <v>-14079.943880000003</v>
      </c>
      <c r="I34" s="366">
        <f>+'Inputs for Evans Tables'!F16+O34</f>
        <v>97596.285</v>
      </c>
      <c r="J34" s="358">
        <f t="shared" si="5"/>
        <v>-45937</v>
      </c>
      <c r="K34" s="358">
        <f t="shared" si="8"/>
        <v>-16789.90123698998</v>
      </c>
      <c r="L34" s="358">
        <f t="shared" si="9"/>
        <v>-4607.879206155341</v>
      </c>
      <c r="M34" s="358">
        <f t="shared" si="10"/>
        <v>16181.560676854677</v>
      </c>
      <c r="N34" s="373"/>
      <c r="P34" s="371"/>
    </row>
    <row r="35" spans="1:16" ht="12.75">
      <c r="A35" s="372">
        <v>217047.18</v>
      </c>
      <c r="B35" s="357">
        <v>22</v>
      </c>
      <c r="C35" s="357">
        <f t="shared" si="6"/>
        <v>2036</v>
      </c>
      <c r="D35" s="358">
        <f>+'Inputs for Evans Tables'!N17-'Inputs for Evans Tables'!O17</f>
        <v>61348.935999999994</v>
      </c>
      <c r="E35" s="358">
        <f>+'Inputs for Evans Tables'!H17</f>
        <v>-27722.426</v>
      </c>
      <c r="F35" s="358">
        <f>-'Inputs for Evans Tables'!O17</f>
        <v>-545</v>
      </c>
      <c r="G35" s="358">
        <f t="shared" si="7"/>
        <v>-18137.16688</v>
      </c>
      <c r="H35" s="358">
        <f t="shared" si="4"/>
        <v>14944.343119999994</v>
      </c>
      <c r="I35" s="366">
        <f>+'Inputs for Evans Tables'!F17+O35</f>
        <v>85084.489</v>
      </c>
      <c r="J35" s="358">
        <f t="shared" si="5"/>
        <v>-45937</v>
      </c>
      <c r="K35" s="358">
        <f t="shared" si="8"/>
        <v>-16789.90123698998</v>
      </c>
      <c r="L35" s="358">
        <f t="shared" si="9"/>
        <v>-4607.879206155341</v>
      </c>
      <c r="M35" s="358">
        <f t="shared" si="10"/>
        <v>32694.051676854673</v>
      </c>
      <c r="N35" s="373"/>
      <c r="P35" s="371"/>
    </row>
    <row r="36" spans="1:16" ht="12.75">
      <c r="A36" s="372">
        <v>190939.16</v>
      </c>
      <c r="B36" s="357">
        <v>23</v>
      </c>
      <c r="C36" s="357">
        <f t="shared" si="6"/>
        <v>2037</v>
      </c>
      <c r="D36" s="358">
        <f>+'Inputs for Evans Tables'!N18-'Inputs for Evans Tables'!O18</f>
        <v>92142.237</v>
      </c>
      <c r="E36" s="358">
        <f>+'Inputs for Evans Tables'!H18</f>
        <v>0</v>
      </c>
      <c r="F36" s="358">
        <f>-'Inputs for Evans Tables'!O18</f>
        <v>-533</v>
      </c>
      <c r="G36" s="358">
        <f t="shared" si="7"/>
        <v>-18137.16688</v>
      </c>
      <c r="H36" s="358">
        <f t="shared" si="4"/>
        <v>73472.07011999999</v>
      </c>
      <c r="I36" s="366">
        <f>+'Inputs for Evans Tables'!F18+O36</f>
        <v>71968.289</v>
      </c>
      <c r="J36" s="358">
        <f t="shared" si="5"/>
        <v>-45937</v>
      </c>
      <c r="K36" s="358">
        <f t="shared" si="8"/>
        <v>-16789.90123698998</v>
      </c>
      <c r="L36" s="358">
        <f t="shared" si="9"/>
        <v>-4607.879206155341</v>
      </c>
      <c r="M36" s="358">
        <f t="shared" si="10"/>
        <v>78105.57867685467</v>
      </c>
      <c r="N36" s="373"/>
      <c r="P36" s="371"/>
    </row>
    <row r="37" spans="1:16" ht="12.75">
      <c r="A37" s="372">
        <v>165004.53</v>
      </c>
      <c r="B37" s="357">
        <v>24</v>
      </c>
      <c r="C37" s="357">
        <f t="shared" si="6"/>
        <v>2038</v>
      </c>
      <c r="D37" s="358">
        <f>+'Inputs for Evans Tables'!N19-'Inputs for Evans Tables'!O19</f>
        <v>91718.529</v>
      </c>
      <c r="E37" s="358">
        <f>+'Inputs for Evans Tables'!H19</f>
        <v>0</v>
      </c>
      <c r="F37" s="358">
        <f>-'Inputs for Evans Tables'!O19</f>
        <v>-610</v>
      </c>
      <c r="G37" s="358">
        <f t="shared" si="7"/>
        <v>-18137.16688</v>
      </c>
      <c r="H37" s="358">
        <f t="shared" si="4"/>
        <v>72971.36211999999</v>
      </c>
      <c r="I37" s="366">
        <f>+'Inputs for Evans Tables'!F19+O37</f>
        <v>57745.38</v>
      </c>
      <c r="J37" s="358">
        <f t="shared" si="5"/>
        <v>-45937</v>
      </c>
      <c r="K37" s="358">
        <f t="shared" si="8"/>
        <v>-16789.90123698998</v>
      </c>
      <c r="L37" s="358">
        <f t="shared" si="9"/>
        <v>-4607.879206155341</v>
      </c>
      <c r="M37" s="358">
        <f t="shared" si="10"/>
        <v>63381.96167685467</v>
      </c>
      <c r="N37" s="373"/>
      <c r="P37" s="371"/>
    </row>
    <row r="38" spans="1:16" ht="12.75">
      <c r="A38" s="372">
        <v>137794.55</v>
      </c>
      <c r="B38" s="357">
        <v>25</v>
      </c>
      <c r="C38" s="357">
        <f t="shared" si="6"/>
        <v>2039</v>
      </c>
      <c r="D38" s="358">
        <f>+'Inputs for Evans Tables'!N20-'Inputs for Evans Tables'!O20</f>
        <v>87998.584</v>
      </c>
      <c r="E38" s="358">
        <f>+'Inputs for Evans Tables'!H20</f>
        <v>0</v>
      </c>
      <c r="F38" s="358">
        <f>-'Inputs for Evans Tables'!O20</f>
        <v>-775</v>
      </c>
      <c r="G38" s="358">
        <f t="shared" si="7"/>
        <v>-18137.16688</v>
      </c>
      <c r="H38" s="358">
        <f t="shared" si="4"/>
        <v>69086.41712</v>
      </c>
      <c r="I38" s="366">
        <f>+'Inputs for Evans Tables'!F20+O38</f>
        <v>45027.485</v>
      </c>
      <c r="J38" s="358">
        <f t="shared" si="5"/>
        <v>-45937</v>
      </c>
      <c r="K38" s="358">
        <f t="shared" si="8"/>
        <v>-16789.90123698998</v>
      </c>
      <c r="L38" s="358">
        <f t="shared" si="9"/>
        <v>-4607.879206155341</v>
      </c>
      <c r="M38" s="358">
        <f t="shared" si="10"/>
        <v>46779.12167685468</v>
      </c>
      <c r="N38" s="373"/>
      <c r="P38" s="371"/>
    </row>
    <row r="39" spans="1:16" ht="12.75">
      <c r="A39" s="372">
        <v>108696.3234</v>
      </c>
      <c r="B39" s="357">
        <v>26</v>
      </c>
      <c r="C39" s="357">
        <f t="shared" si="6"/>
        <v>2040</v>
      </c>
      <c r="D39" s="358">
        <f>+'Inputs for Evans Tables'!N21-'Inputs for Evans Tables'!O21</f>
        <v>82143.801</v>
      </c>
      <c r="E39" s="358">
        <f>+'Inputs for Evans Tables'!H21</f>
        <v>0</v>
      </c>
      <c r="F39" s="358">
        <f>-'Inputs for Evans Tables'!O21</f>
        <v>-822</v>
      </c>
      <c r="G39" s="358">
        <f t="shared" si="7"/>
        <v>-18137.16688</v>
      </c>
      <c r="H39" s="358">
        <f t="shared" si="4"/>
        <v>63184.63412</v>
      </c>
      <c r="I39" s="366">
        <f>+'Inputs for Evans Tables'!F21+O39</f>
        <v>36510.581</v>
      </c>
      <c r="J39" s="358">
        <f t="shared" si="5"/>
        <v>-45937</v>
      </c>
      <c r="K39" s="358">
        <f t="shared" si="8"/>
        <v>-16789.90123698998</v>
      </c>
      <c r="L39" s="358">
        <f t="shared" si="9"/>
        <v>-4607.879206155341</v>
      </c>
      <c r="M39" s="358">
        <f t="shared" si="10"/>
        <v>32360.43467685469</v>
      </c>
      <c r="N39" s="373"/>
      <c r="P39" s="371"/>
    </row>
    <row r="40" spans="1:16" ht="12.75">
      <c r="A40" s="372">
        <v>83809.3891</v>
      </c>
      <c r="B40" s="357">
        <v>27</v>
      </c>
      <c r="C40" s="357">
        <f t="shared" si="6"/>
        <v>2041</v>
      </c>
      <c r="D40" s="358">
        <f>+'Inputs for Evans Tables'!N22-'Inputs for Evans Tables'!O22</f>
        <v>75529.886</v>
      </c>
      <c r="E40" s="358">
        <f>+'Inputs for Evans Tables'!H22</f>
        <v>0</v>
      </c>
      <c r="F40" s="358">
        <f>-'Inputs for Evans Tables'!O22</f>
        <v>-842</v>
      </c>
      <c r="G40" s="358">
        <f t="shared" si="7"/>
        <v>-18137.16688</v>
      </c>
      <c r="H40" s="358">
        <f t="shared" si="4"/>
        <v>56550.719119999994</v>
      </c>
      <c r="I40" s="366">
        <f>+'Inputs for Evans Tables'!F22+O40</f>
        <v>28725.622</v>
      </c>
      <c r="J40" s="358">
        <f t="shared" si="5"/>
        <v>-45937</v>
      </c>
      <c r="K40" s="358">
        <f t="shared" si="8"/>
        <v>-16789.90123698998</v>
      </c>
      <c r="L40" s="358">
        <f t="shared" si="9"/>
        <v>-4607.879206155341</v>
      </c>
      <c r="M40" s="358">
        <f t="shared" si="10"/>
        <v>17941.56067685468</v>
      </c>
      <c r="N40" s="373"/>
      <c r="P40" s="371"/>
    </row>
    <row r="41" spans="1:16" ht="12.75">
      <c r="A41" s="372">
        <v>48851.131</v>
      </c>
      <c r="B41" s="357">
        <v>28</v>
      </c>
      <c r="C41" s="357">
        <f t="shared" si="6"/>
        <v>2042</v>
      </c>
      <c r="D41" s="358">
        <f>+'Inputs for Evans Tables'!N23-'Inputs for Evans Tables'!O23</f>
        <v>69621.991</v>
      </c>
      <c r="E41" s="358">
        <f>+'Inputs for Evans Tables'!H23</f>
        <v>0</v>
      </c>
      <c r="F41" s="358">
        <f>-'Inputs for Evans Tables'!O23</f>
        <v>-849</v>
      </c>
      <c r="G41" s="358">
        <f t="shared" si="7"/>
        <v>-18137.16688</v>
      </c>
      <c r="H41" s="358">
        <f t="shared" si="4"/>
        <v>50635.82411999999</v>
      </c>
      <c r="I41" s="366">
        <f>+'Inputs for Evans Tables'!F23+O41</f>
        <v>20800.459</v>
      </c>
      <c r="J41" s="358">
        <f t="shared" si="5"/>
        <v>-45937</v>
      </c>
      <c r="K41" s="358">
        <f t="shared" si="8"/>
        <v>-16789.90123698998</v>
      </c>
      <c r="L41" s="358">
        <f t="shared" si="9"/>
        <v>-4607.879206155341</v>
      </c>
      <c r="M41" s="358">
        <f t="shared" si="10"/>
        <v>4101.502676854672</v>
      </c>
      <c r="N41" s="373"/>
      <c r="P41" s="371"/>
    </row>
    <row r="42" spans="1:16" ht="12.75">
      <c r="A42" s="372">
        <v>19281.6547</v>
      </c>
      <c r="B42" s="357">
        <v>29</v>
      </c>
      <c r="C42" s="357">
        <f t="shared" si="6"/>
        <v>2043</v>
      </c>
      <c r="D42" s="358">
        <f>+'Inputs for Evans Tables'!N24-'Inputs for Evans Tables'!O24</f>
        <v>63201.366</v>
      </c>
      <c r="E42" s="358">
        <f>+'Inputs for Evans Tables'!H24</f>
        <v>0</v>
      </c>
      <c r="F42" s="358">
        <f>-'Inputs for Evans Tables'!O24</f>
        <v>-876</v>
      </c>
      <c r="G42" s="358">
        <f t="shared" si="7"/>
        <v>-18137.16688</v>
      </c>
      <c r="H42" s="358">
        <f t="shared" si="4"/>
        <v>44188.199120000005</v>
      </c>
      <c r="I42" s="366">
        <f>+'Inputs for Evans Tables'!F24+O42</f>
        <v>12846.999</v>
      </c>
      <c r="J42" s="358">
        <f t="shared" si="5"/>
        <v>-45937</v>
      </c>
      <c r="K42" s="358">
        <f t="shared" si="8"/>
        <v>-16789.90123698998</v>
      </c>
      <c r="L42" s="358">
        <f t="shared" si="9"/>
        <v>-4607.879206155341</v>
      </c>
      <c r="M42" s="358">
        <f t="shared" si="10"/>
        <v>-10299.58232314532</v>
      </c>
      <c r="N42" s="373"/>
      <c r="P42" s="371"/>
    </row>
    <row r="43" spans="1:16" ht="12.75">
      <c r="A43" s="372">
        <v>-8154.65</v>
      </c>
      <c r="B43" s="357">
        <v>30</v>
      </c>
      <c r="C43" s="357">
        <f t="shared" si="6"/>
        <v>2044</v>
      </c>
      <c r="D43" s="358">
        <f>+'Inputs for Evans Tables'!N25-'Inputs for Evans Tables'!O25</f>
        <v>52779.092</v>
      </c>
      <c r="E43" s="358">
        <f>+'Inputs for Evans Tables'!H25</f>
        <v>0</v>
      </c>
      <c r="F43" s="358">
        <f>-'Inputs for Evans Tables'!O25</f>
        <v>-1058</v>
      </c>
      <c r="G43" s="358">
        <f t="shared" si="7"/>
        <v>-18137.16688</v>
      </c>
      <c r="H43" s="358">
        <f t="shared" si="4"/>
        <v>33583.92512</v>
      </c>
      <c r="I43" s="366">
        <f>+'Inputs for Evans Tables'!F25+O43</f>
        <v>5823.308</v>
      </c>
      <c r="J43" s="358">
        <f t="shared" si="5"/>
        <v>-45937</v>
      </c>
      <c r="K43" s="358">
        <f t="shared" si="8"/>
        <v>-16789.90123698998</v>
      </c>
      <c r="L43" s="358">
        <f t="shared" si="9"/>
        <v>-4607.879206155341</v>
      </c>
      <c r="M43" s="358">
        <f t="shared" si="10"/>
        <v>-27927.54732314532</v>
      </c>
      <c r="P43" s="371"/>
    </row>
    <row r="44" spans="1:16" ht="12.75">
      <c r="A44" s="372">
        <v>-8481.35</v>
      </c>
      <c r="B44" s="357">
        <v>31</v>
      </c>
      <c r="C44" s="357">
        <f t="shared" si="6"/>
        <v>2045</v>
      </c>
      <c r="D44" s="358">
        <f>+'Inputs for Evans Tables'!N26-'Inputs for Evans Tables'!O26</f>
        <v>42798.728</v>
      </c>
      <c r="E44" s="358">
        <f>+'Inputs for Evans Tables'!H26</f>
        <v>0</v>
      </c>
      <c r="F44" s="358">
        <f>-'Inputs for Evans Tables'!O26</f>
        <v>-884</v>
      </c>
      <c r="G44" s="358">
        <f t="shared" si="7"/>
        <v>-18137.16688</v>
      </c>
      <c r="H44" s="358">
        <f t="shared" si="4"/>
        <v>23777.561120000002</v>
      </c>
      <c r="I44" s="366">
        <f>+'Inputs for Evans Tables'!F26+O44</f>
        <v>2769.736</v>
      </c>
      <c r="J44" s="358">
        <f t="shared" si="5"/>
        <v>-45937</v>
      </c>
      <c r="K44" s="358">
        <f t="shared" si="8"/>
        <v>-16789.90123698998</v>
      </c>
      <c r="L44" s="358">
        <f t="shared" si="9"/>
        <v>-4607.879206155341</v>
      </c>
      <c r="M44" s="358">
        <f t="shared" si="10"/>
        <v>-40787.483323145316</v>
      </c>
      <c r="P44" s="371"/>
    </row>
    <row r="45" spans="1:16" ht="12.75">
      <c r="A45" s="372">
        <v>-8487.22</v>
      </c>
      <c r="B45" s="357">
        <v>32</v>
      </c>
      <c r="C45" s="357">
        <f t="shared" si="6"/>
        <v>2046</v>
      </c>
      <c r="D45" s="358">
        <f>+'Inputs for Evans Tables'!N27-'Inputs for Evans Tables'!O27</f>
        <v>39879.674</v>
      </c>
      <c r="E45" s="358">
        <f>+'Inputs for Evans Tables'!H27</f>
        <v>0</v>
      </c>
      <c r="F45" s="358">
        <f>-'Inputs for Evans Tables'!O27</f>
        <v>-450</v>
      </c>
      <c r="G45" s="358">
        <f t="shared" si="7"/>
        <v>-18137.16688</v>
      </c>
      <c r="H45" s="358">
        <f t="shared" si="4"/>
        <v>21292.50712</v>
      </c>
      <c r="I45" s="366">
        <f>+'Inputs for Evans Tables'!F27+O45</f>
        <v>0</v>
      </c>
      <c r="J45" s="358">
        <f t="shared" si="5"/>
        <v>-45937</v>
      </c>
      <c r="K45" s="358">
        <f t="shared" si="8"/>
        <v>-16789.90123698998</v>
      </c>
      <c r="L45" s="358">
        <f t="shared" si="9"/>
        <v>-4607.879206155341</v>
      </c>
      <c r="M45" s="358">
        <f t="shared" si="10"/>
        <v>-46042.27332314532</v>
      </c>
      <c r="P45" s="371"/>
    </row>
    <row r="46" spans="1:16" ht="12.75">
      <c r="A46" s="372">
        <v>-8481.29</v>
      </c>
      <c r="B46" s="357">
        <v>33</v>
      </c>
      <c r="C46" s="357">
        <f t="shared" si="6"/>
        <v>2047</v>
      </c>
      <c r="D46" s="358">
        <f>+'Inputs for Evans Tables'!N28-'Inputs for Evans Tables'!O28</f>
        <v>40683.347</v>
      </c>
      <c r="E46" s="358">
        <f>+'Inputs for Evans Tables'!H28</f>
        <v>0</v>
      </c>
      <c r="F46" s="358">
        <f>-'Inputs for Evans Tables'!O28</f>
        <v>-449</v>
      </c>
      <c r="G46" s="358">
        <f t="shared" si="7"/>
        <v>-18137.16688</v>
      </c>
      <c r="H46" s="358">
        <f t="shared" si="4"/>
        <v>22097.18012</v>
      </c>
      <c r="I46" s="366">
        <f>+'Inputs for Evans Tables'!F28+O46</f>
        <v>0</v>
      </c>
      <c r="J46" s="358">
        <f t="shared" si="5"/>
        <v>-45937</v>
      </c>
      <c r="K46" s="358">
        <f t="shared" si="8"/>
        <v>-16789.90123698998</v>
      </c>
      <c r="L46" s="358">
        <f t="shared" si="9"/>
        <v>-4607.879206155341</v>
      </c>
      <c r="M46" s="358">
        <f t="shared" si="10"/>
        <v>-45237.60032314532</v>
      </c>
      <c r="P46" s="371"/>
    </row>
    <row r="47" spans="1:16" ht="12.75">
      <c r="A47" s="372">
        <v>-8481.36</v>
      </c>
      <c r="B47" s="357">
        <v>34</v>
      </c>
      <c r="C47" s="357">
        <f t="shared" si="6"/>
        <v>2048</v>
      </c>
      <c r="D47" s="358">
        <f>+'Inputs for Evans Tables'!N29-'Inputs for Evans Tables'!O29</f>
        <v>41297.69</v>
      </c>
      <c r="E47" s="358">
        <f>+'Inputs for Evans Tables'!H29</f>
        <v>0</v>
      </c>
      <c r="F47" s="358">
        <f>-'Inputs for Evans Tables'!O29</f>
        <v>-448</v>
      </c>
      <c r="G47" s="358">
        <f t="shared" si="7"/>
        <v>-18137.16688</v>
      </c>
      <c r="H47" s="358">
        <f t="shared" si="4"/>
        <v>22712.52312</v>
      </c>
      <c r="I47" s="366">
        <f>+'Inputs for Evans Tables'!F29+O47</f>
        <v>0</v>
      </c>
      <c r="J47" s="358">
        <f t="shared" si="5"/>
        <v>-45937</v>
      </c>
      <c r="K47" s="358">
        <f t="shared" si="8"/>
        <v>-16789.90123698998</v>
      </c>
      <c r="L47" s="358">
        <f t="shared" si="9"/>
        <v>-4607.879206155341</v>
      </c>
      <c r="M47" s="358">
        <f t="shared" si="10"/>
        <v>-44622.25732314531</v>
      </c>
      <c r="P47" s="371"/>
    </row>
    <row r="48" spans="1:13" ht="12.75">
      <c r="A48" s="372">
        <v>-8481.37</v>
      </c>
      <c r="B48" s="357">
        <v>35</v>
      </c>
      <c r="C48" s="357">
        <f t="shared" si="6"/>
        <v>2049</v>
      </c>
      <c r="D48" s="358">
        <f>+'Inputs for Evans Tables'!N30-'Inputs for Evans Tables'!O30</f>
        <v>41933.327</v>
      </c>
      <c r="E48" s="358">
        <f>+'Inputs for Evans Tables'!H30</f>
        <v>0</v>
      </c>
      <c r="F48" s="358">
        <f>-'Inputs for Evans Tables'!O30</f>
        <v>-448</v>
      </c>
      <c r="G48" s="358">
        <f t="shared" si="7"/>
        <v>-18137.16688</v>
      </c>
      <c r="H48" s="358">
        <f t="shared" si="4"/>
        <v>23348.160119999997</v>
      </c>
      <c r="I48" s="366">
        <f>+'Inputs for Evans Tables'!F30+O48</f>
        <v>0</v>
      </c>
      <c r="J48" s="358">
        <f t="shared" si="5"/>
        <v>-45937</v>
      </c>
      <c r="K48" s="358">
        <f t="shared" si="8"/>
        <v>-16789.90123698998</v>
      </c>
      <c r="L48" s="358">
        <f t="shared" si="9"/>
        <v>-4607.879206155341</v>
      </c>
      <c r="M48" s="358">
        <f t="shared" si="10"/>
        <v>-43986.620323145326</v>
      </c>
    </row>
    <row r="49" spans="1:13" ht="12.75">
      <c r="A49" s="372">
        <v>-8481.34</v>
      </c>
      <c r="B49" s="357">
        <v>36</v>
      </c>
      <c r="C49" s="357">
        <f t="shared" si="6"/>
        <v>2050</v>
      </c>
      <c r="D49" s="358">
        <f>+'Inputs for Evans Tables'!N31-'Inputs for Evans Tables'!O31</f>
        <v>42593.055</v>
      </c>
      <c r="E49" s="358">
        <f>+'Inputs for Evans Tables'!H31</f>
        <v>0</v>
      </c>
      <c r="F49" s="358">
        <f>-'Inputs for Evans Tables'!O31</f>
        <v>-447</v>
      </c>
      <c r="G49" s="358">
        <f t="shared" si="7"/>
        <v>-18137.16688</v>
      </c>
      <c r="H49" s="358">
        <f t="shared" si="4"/>
        <v>24008.88812</v>
      </c>
      <c r="I49" s="366">
        <f>+'Inputs for Evans Tables'!F31+O49</f>
        <v>0</v>
      </c>
      <c r="J49" s="358">
        <f t="shared" si="5"/>
        <v>-45937</v>
      </c>
      <c r="K49" s="358">
        <f t="shared" si="8"/>
        <v>-16789.90123698998</v>
      </c>
      <c r="L49" s="358">
        <f t="shared" si="9"/>
        <v>-4607.879206155341</v>
      </c>
      <c r="M49" s="358">
        <f t="shared" si="10"/>
        <v>-43325.89232314532</v>
      </c>
    </row>
    <row r="50" spans="1:13" ht="12.75">
      <c r="A50" s="372">
        <v>-8481.3</v>
      </c>
      <c r="B50" s="357">
        <v>37</v>
      </c>
      <c r="C50" s="357">
        <f t="shared" si="6"/>
        <v>2051</v>
      </c>
      <c r="D50" s="358">
        <f>+'Inputs for Evans Tables'!N32-'Inputs for Evans Tables'!O32</f>
        <v>43275.741</v>
      </c>
      <c r="E50" s="358">
        <f>+'Inputs for Evans Tables'!H32</f>
        <v>0</v>
      </c>
      <c r="F50" s="358">
        <f>-'Inputs for Evans Tables'!O32</f>
        <v>-447</v>
      </c>
      <c r="G50" s="358">
        <f t="shared" si="7"/>
        <v>-18137.16688</v>
      </c>
      <c r="H50" s="358">
        <f t="shared" si="4"/>
        <v>24691.57412</v>
      </c>
      <c r="I50" s="366">
        <f>+'Inputs for Evans Tables'!F32+O50</f>
        <v>0</v>
      </c>
      <c r="J50" s="358">
        <f t="shared" si="5"/>
        <v>-45937</v>
      </c>
      <c r="K50" s="358">
        <f t="shared" si="8"/>
        <v>-16789.90123698998</v>
      </c>
      <c r="L50" s="358">
        <f t="shared" si="9"/>
        <v>-4607.879206155341</v>
      </c>
      <c r="M50" s="358">
        <f t="shared" si="10"/>
        <v>-42643.20632314532</v>
      </c>
    </row>
    <row r="51" spans="1:13" ht="12.75">
      <c r="A51" s="372">
        <v>-8481.37</v>
      </c>
      <c r="B51" s="357">
        <v>38</v>
      </c>
      <c r="C51" s="357">
        <f t="shared" si="6"/>
        <v>2052</v>
      </c>
      <c r="D51" s="358">
        <f>+'Inputs for Evans Tables'!N33-'Inputs for Evans Tables'!O33</f>
        <v>43984.228</v>
      </c>
      <c r="E51" s="358">
        <f>+'Inputs for Evans Tables'!H33</f>
        <v>0</v>
      </c>
      <c r="F51" s="358">
        <f>-'Inputs for Evans Tables'!O33</f>
        <v>-446</v>
      </c>
      <c r="G51" s="358">
        <f t="shared" si="7"/>
        <v>-18137.16688</v>
      </c>
      <c r="H51" s="358">
        <f t="shared" si="4"/>
        <v>25401.061120000002</v>
      </c>
      <c r="I51" s="366">
        <f>+'Inputs for Evans Tables'!F33+O51</f>
        <v>0</v>
      </c>
      <c r="J51" s="358">
        <f t="shared" si="5"/>
        <v>-45937</v>
      </c>
      <c r="K51" s="358">
        <f t="shared" si="8"/>
        <v>-16789.90123698998</v>
      </c>
      <c r="L51" s="358">
        <f t="shared" si="9"/>
        <v>-4607.879206155341</v>
      </c>
      <c r="M51" s="358">
        <f t="shared" si="10"/>
        <v>-41933.71932314531</v>
      </c>
    </row>
    <row r="52" spans="1:13" ht="12.75">
      <c r="A52" s="372">
        <v>-7429.43</v>
      </c>
      <c r="B52" s="357">
        <v>39</v>
      </c>
      <c r="C52" s="357">
        <f t="shared" si="6"/>
        <v>2053</v>
      </c>
      <c r="D52" s="358">
        <f>+'Inputs for Evans Tables'!N34-'Inputs for Evans Tables'!O34</f>
        <v>44718.431</v>
      </c>
      <c r="E52" s="358">
        <f>+'Inputs for Evans Tables'!H34</f>
        <v>0</v>
      </c>
      <c r="F52" s="358">
        <f>-'Inputs for Evans Tables'!O34</f>
        <v>-445</v>
      </c>
      <c r="G52" s="358">
        <f t="shared" si="7"/>
        <v>-18137.16688</v>
      </c>
      <c r="H52" s="358">
        <f t="shared" si="4"/>
        <v>26136.264119999996</v>
      </c>
      <c r="I52" s="366">
        <f>+'Inputs for Evans Tables'!F34+O52</f>
        <v>0</v>
      </c>
      <c r="J52" s="358">
        <f t="shared" si="5"/>
        <v>-45937</v>
      </c>
      <c r="K52" s="358">
        <f t="shared" si="8"/>
        <v>-16789.90123698998</v>
      </c>
      <c r="L52" s="358">
        <f t="shared" si="9"/>
        <v>-4607.879206155341</v>
      </c>
      <c r="M52" s="358">
        <f t="shared" si="10"/>
        <v>-41198.51632314532</v>
      </c>
    </row>
    <row r="53" spans="1:13" ht="12.75">
      <c r="A53" s="372">
        <v>-4300.43</v>
      </c>
      <c r="B53" s="357">
        <v>40</v>
      </c>
      <c r="C53" s="357">
        <f t="shared" si="6"/>
        <v>2054</v>
      </c>
      <c r="D53" s="358">
        <f>+'Inputs for Evans Tables'!N35-'Inputs for Evans Tables'!O35</f>
        <v>45478.299</v>
      </c>
      <c r="E53" s="358">
        <f>+'Inputs for Evans Tables'!H35</f>
        <v>0</v>
      </c>
      <c r="F53" s="358">
        <f>-'Inputs for Evans Tables'!O35</f>
        <v>-445</v>
      </c>
      <c r="G53" s="358">
        <f t="shared" si="7"/>
        <v>-18137.16688</v>
      </c>
      <c r="H53" s="358">
        <f t="shared" si="4"/>
        <v>26896.13212</v>
      </c>
      <c r="I53" s="366">
        <f>+'Inputs for Evans Tables'!F35+O53</f>
        <v>0</v>
      </c>
      <c r="J53" s="358">
        <f t="shared" si="5"/>
        <v>-45937</v>
      </c>
      <c r="K53" s="358">
        <f t="shared" si="8"/>
        <v>-16789.90123698998</v>
      </c>
      <c r="L53" s="358">
        <f t="shared" si="9"/>
        <v>-4607.879206155341</v>
      </c>
      <c r="M53" s="358">
        <f t="shared" si="10"/>
        <v>-40438.64832314532</v>
      </c>
    </row>
    <row r="54" spans="1:13" ht="12.75">
      <c r="A54" s="372">
        <v>-4300.44</v>
      </c>
      <c r="B54" s="357">
        <v>41</v>
      </c>
      <c r="C54" s="357">
        <f t="shared" si="6"/>
        <v>2055</v>
      </c>
      <c r="D54" s="358">
        <f>+'Inputs for Evans Tables'!N36-'Inputs for Evans Tables'!O36</f>
        <v>46266.81</v>
      </c>
      <c r="E54" s="358">
        <f>+'Inputs for Evans Tables'!H36</f>
        <v>0</v>
      </c>
      <c r="F54" s="358">
        <f>-'Inputs for Evans Tables'!O36</f>
        <v>-444</v>
      </c>
      <c r="G54" s="358">
        <f t="shared" si="7"/>
        <v>-18137.16688</v>
      </c>
      <c r="H54" s="358">
        <f t="shared" si="4"/>
        <v>27685.643119999997</v>
      </c>
      <c r="I54" s="366">
        <f>+'Inputs for Evans Tables'!F36+O54</f>
        <v>0</v>
      </c>
      <c r="J54" s="358">
        <f t="shared" si="5"/>
        <v>-45937</v>
      </c>
      <c r="K54" s="358">
        <f t="shared" si="8"/>
        <v>-16789.90123698998</v>
      </c>
      <c r="L54" s="358">
        <f t="shared" si="9"/>
        <v>-4607.879206155341</v>
      </c>
      <c r="M54" s="358">
        <f t="shared" si="10"/>
        <v>-39649.13732314532</v>
      </c>
    </row>
    <row r="55" spans="1:13" ht="12.75">
      <c r="A55" s="372">
        <v>-4300.42</v>
      </c>
      <c r="B55" s="357">
        <v>42</v>
      </c>
      <c r="C55" s="357">
        <f t="shared" si="6"/>
        <v>2056</v>
      </c>
      <c r="D55" s="358">
        <f>+'Inputs for Evans Tables'!N37-'Inputs for Evans Tables'!O37</f>
        <v>47082.973</v>
      </c>
      <c r="E55" s="358">
        <f>+'Inputs for Evans Tables'!H37</f>
        <v>0</v>
      </c>
      <c r="F55" s="358">
        <f>-'Inputs for Evans Tables'!O37</f>
        <v>-444</v>
      </c>
      <c r="G55" s="358">
        <f t="shared" si="7"/>
        <v>-18137.16688</v>
      </c>
      <c r="H55" s="358">
        <f t="shared" si="4"/>
        <v>28501.806119999997</v>
      </c>
      <c r="I55" s="366">
        <f>+'Inputs for Evans Tables'!F37+O55</f>
        <v>0</v>
      </c>
      <c r="J55" s="358">
        <f t="shared" si="5"/>
        <v>-45937</v>
      </c>
      <c r="K55" s="358">
        <f t="shared" si="8"/>
        <v>-16789.90123698998</v>
      </c>
      <c r="L55" s="358">
        <f t="shared" si="9"/>
        <v>-4607.879206155341</v>
      </c>
      <c r="M55" s="358">
        <f t="shared" si="10"/>
        <v>-38832.97432314532</v>
      </c>
    </row>
    <row r="56" spans="1:13" ht="12.75">
      <c r="A56" s="372">
        <v>-4300.44</v>
      </c>
      <c r="B56" s="357">
        <v>43</v>
      </c>
      <c r="C56" s="357">
        <f t="shared" si="6"/>
        <v>2057</v>
      </c>
      <c r="D56" s="358">
        <f>+'Inputs for Evans Tables'!N38-'Inputs for Evans Tables'!O38</f>
        <v>47929.765</v>
      </c>
      <c r="E56" s="358">
        <f>+'Inputs for Evans Tables'!H38</f>
        <v>0</v>
      </c>
      <c r="F56" s="358">
        <f>-'Inputs for Evans Tables'!O38</f>
        <v>-443</v>
      </c>
      <c r="G56" s="358">
        <f t="shared" si="7"/>
        <v>-18137.16688</v>
      </c>
      <c r="H56" s="358">
        <f t="shared" si="4"/>
        <v>29349.59812</v>
      </c>
      <c r="I56" s="366">
        <f>+'Inputs for Evans Tables'!F38+O56</f>
        <v>0</v>
      </c>
      <c r="J56" s="358">
        <f t="shared" si="5"/>
        <v>-45937</v>
      </c>
      <c r="K56" s="358">
        <f t="shared" si="8"/>
        <v>-16789.90123698998</v>
      </c>
      <c r="L56" s="358">
        <f t="shared" si="9"/>
        <v>-4607.879206155341</v>
      </c>
      <c r="M56" s="358">
        <f t="shared" si="10"/>
        <v>-37985.182323145316</v>
      </c>
    </row>
    <row r="57" spans="1:13" ht="12.75">
      <c r="A57" s="372">
        <v>-4300.43</v>
      </c>
      <c r="B57" s="357">
        <v>44</v>
      </c>
      <c r="C57" s="357">
        <f t="shared" si="6"/>
        <v>2058</v>
      </c>
      <c r="D57" s="358">
        <f>+'Inputs for Evans Tables'!N39-'Inputs for Evans Tables'!O39</f>
        <v>48807.265</v>
      </c>
      <c r="E57" s="358">
        <f>+'Inputs for Evans Tables'!H39</f>
        <v>0</v>
      </c>
      <c r="F57" s="358">
        <f>-'Inputs for Evans Tables'!O39</f>
        <v>-442</v>
      </c>
      <c r="G57" s="358">
        <f t="shared" si="7"/>
        <v>-18137.16688</v>
      </c>
      <c r="H57" s="358">
        <f t="shared" si="4"/>
        <v>30228.09812</v>
      </c>
      <c r="I57" s="366">
        <f>+'Inputs for Evans Tables'!F39+O57</f>
        <v>0</v>
      </c>
      <c r="J57" s="358">
        <f t="shared" si="5"/>
        <v>-45937</v>
      </c>
      <c r="K57" s="358">
        <f t="shared" si="8"/>
        <v>-16789.90123698998</v>
      </c>
      <c r="L57" s="358">
        <f t="shared" si="9"/>
        <v>-4607.879206155341</v>
      </c>
      <c r="M57" s="358">
        <f t="shared" si="10"/>
        <v>-37106.68232314532</v>
      </c>
    </row>
    <row r="58" spans="1:13" ht="12.75">
      <c r="A58" s="372">
        <v>-4300.44</v>
      </c>
      <c r="B58" s="357">
        <v>45</v>
      </c>
      <c r="C58" s="357">
        <f t="shared" si="6"/>
        <v>2059</v>
      </c>
      <c r="D58" s="358">
        <f>+'Inputs for Evans Tables'!N40-'Inputs for Evans Tables'!O40</f>
        <v>49716.655</v>
      </c>
      <c r="E58" s="358">
        <f>+'Inputs for Evans Tables'!H40</f>
        <v>0</v>
      </c>
      <c r="F58" s="358">
        <f>-'Inputs for Evans Tables'!O40</f>
        <v>-441</v>
      </c>
      <c r="G58" s="358">
        <f t="shared" si="7"/>
        <v>-18137.16688</v>
      </c>
      <c r="H58" s="358">
        <f t="shared" si="4"/>
        <v>31138.488119999998</v>
      </c>
      <c r="I58" s="366">
        <f>+'Inputs for Evans Tables'!F40+O58</f>
        <v>0</v>
      </c>
      <c r="J58" s="358">
        <f t="shared" si="5"/>
        <v>-45937</v>
      </c>
      <c r="K58" s="358">
        <f t="shared" si="8"/>
        <v>-16789.90123698998</v>
      </c>
      <c r="L58" s="358">
        <f t="shared" si="9"/>
        <v>-4607.879206155341</v>
      </c>
      <c r="M58" s="358">
        <f t="shared" si="10"/>
        <v>-36196.292323145324</v>
      </c>
    </row>
    <row r="59" spans="1:13" ht="12.75">
      <c r="A59" s="372">
        <v>-4300.45</v>
      </c>
      <c r="B59" s="357">
        <v>46</v>
      </c>
      <c r="C59" s="357">
        <f t="shared" si="6"/>
        <v>2060</v>
      </c>
      <c r="D59" s="358">
        <f>+'Inputs for Evans Tables'!N41-'Inputs for Evans Tables'!O41</f>
        <v>50658.161</v>
      </c>
      <c r="E59" s="358">
        <f>+'Inputs for Evans Tables'!H41</f>
        <v>0</v>
      </c>
      <c r="F59" s="358">
        <f>-'Inputs for Evans Tables'!O41</f>
        <v>-441</v>
      </c>
      <c r="G59" s="358">
        <f t="shared" si="7"/>
        <v>-18137.16688</v>
      </c>
      <c r="H59" s="358">
        <f t="shared" si="4"/>
        <v>32079.99412</v>
      </c>
      <c r="I59" s="366">
        <f>+'Inputs for Evans Tables'!F41+O59</f>
        <v>0</v>
      </c>
      <c r="J59" s="358">
        <f t="shared" si="5"/>
        <v>-45937</v>
      </c>
      <c r="K59" s="358">
        <f t="shared" si="8"/>
        <v>-16789.90123698998</v>
      </c>
      <c r="L59" s="358">
        <f t="shared" si="9"/>
        <v>-4607.879206155341</v>
      </c>
      <c r="M59" s="358">
        <f t="shared" si="10"/>
        <v>-35254.78632314532</v>
      </c>
    </row>
    <row r="60" spans="1:13" ht="12.75">
      <c r="A60" s="372">
        <v>-4300.44</v>
      </c>
      <c r="B60" s="357">
        <v>47</v>
      </c>
      <c r="C60" s="357">
        <f t="shared" si="6"/>
        <v>2061</v>
      </c>
      <c r="D60" s="358">
        <f>+'Inputs for Evans Tables'!N42-'Inputs for Evans Tables'!O42</f>
        <v>51634.942</v>
      </c>
      <c r="E60" s="358">
        <f>+'Inputs for Evans Tables'!H42</f>
        <v>0</v>
      </c>
      <c r="F60" s="358">
        <f>-'Inputs for Evans Tables'!O42</f>
        <v>-440</v>
      </c>
      <c r="G60" s="358">
        <f t="shared" si="7"/>
        <v>-18137.16688</v>
      </c>
      <c r="H60" s="358">
        <f t="shared" si="4"/>
        <v>33057.775120000006</v>
      </c>
      <c r="I60" s="366">
        <f>+'Inputs for Evans Tables'!F42+O60</f>
        <v>0</v>
      </c>
      <c r="J60" s="358">
        <f t="shared" si="5"/>
        <v>-45937</v>
      </c>
      <c r="K60" s="358">
        <f t="shared" si="8"/>
        <v>-16789.90123698998</v>
      </c>
      <c r="L60" s="358">
        <f t="shared" si="9"/>
        <v>-4607.879206155341</v>
      </c>
      <c r="M60" s="358">
        <f t="shared" si="10"/>
        <v>-34277.00532314531</v>
      </c>
    </row>
    <row r="61" spans="1:13" ht="12.75">
      <c r="A61" s="372">
        <v>-4300.44</v>
      </c>
      <c r="B61" s="357">
        <v>48</v>
      </c>
      <c r="C61" s="357">
        <f t="shared" si="6"/>
        <v>2062</v>
      </c>
      <c r="D61" s="358">
        <f>+'Inputs for Evans Tables'!N43-'Inputs for Evans Tables'!O43</f>
        <v>52647.183</v>
      </c>
      <c r="E61" s="358">
        <f>+'Inputs for Evans Tables'!H43</f>
        <v>0</v>
      </c>
      <c r="F61" s="358">
        <f>-'Inputs for Evans Tables'!O43</f>
        <v>-439</v>
      </c>
      <c r="G61" s="358">
        <f t="shared" si="7"/>
        <v>-18137.16688</v>
      </c>
      <c r="H61" s="358">
        <f t="shared" si="4"/>
        <v>34071.01612</v>
      </c>
      <c r="I61" s="366">
        <f>+'Inputs for Evans Tables'!F43+O61</f>
        <v>0</v>
      </c>
      <c r="J61" s="358">
        <f t="shared" si="5"/>
        <v>-45937</v>
      </c>
      <c r="K61" s="358">
        <f t="shared" si="8"/>
        <v>-16789.90123698998</v>
      </c>
      <c r="L61" s="358">
        <f t="shared" si="9"/>
        <v>-4607.879206155341</v>
      </c>
      <c r="M61" s="358">
        <f t="shared" si="10"/>
        <v>-33263.76432314532</v>
      </c>
    </row>
    <row r="62" spans="1:13" ht="12.75">
      <c r="A62" s="372">
        <v>-4300.43</v>
      </c>
      <c r="B62" s="357">
        <v>49</v>
      </c>
      <c r="C62" s="357">
        <f t="shared" si="6"/>
        <v>2063</v>
      </c>
      <c r="D62" s="358">
        <f>+'Inputs for Evans Tables'!N44-'Inputs for Evans Tables'!O44</f>
        <v>53696.149</v>
      </c>
      <c r="E62" s="358">
        <f>+'Inputs for Evans Tables'!H44</f>
        <v>0</v>
      </c>
      <c r="F62" s="358">
        <f>-'Inputs for Evans Tables'!O44</f>
        <v>-438</v>
      </c>
      <c r="G62" s="358">
        <f t="shared" si="7"/>
        <v>-18137.16688</v>
      </c>
      <c r="H62" s="358">
        <f t="shared" si="4"/>
        <v>35120.98212</v>
      </c>
      <c r="I62" s="366">
        <f>+'Inputs for Evans Tables'!F44+O62</f>
        <v>0</v>
      </c>
      <c r="J62" s="358">
        <f t="shared" si="5"/>
        <v>-45937</v>
      </c>
      <c r="K62" s="358">
        <f t="shared" si="8"/>
        <v>-16789.90123698998</v>
      </c>
      <c r="L62" s="358">
        <f t="shared" si="9"/>
        <v>-4607.879206155341</v>
      </c>
      <c r="M62" s="358">
        <f t="shared" si="10"/>
        <v>-32213.798323145318</v>
      </c>
    </row>
    <row r="63" spans="1:13" ht="12.75">
      <c r="A63" s="372">
        <v>-4300.43</v>
      </c>
      <c r="B63" s="357">
        <v>50</v>
      </c>
      <c r="C63" s="357">
        <f t="shared" si="6"/>
        <v>2064</v>
      </c>
      <c r="D63" s="358">
        <f>+'Inputs for Evans Tables'!N45-'Inputs for Evans Tables'!O45</f>
        <v>54783.188</v>
      </c>
      <c r="E63" s="358">
        <f>+'Inputs for Evans Tables'!H45</f>
        <v>0</v>
      </c>
      <c r="F63" s="358">
        <f>-'Inputs for Evans Tables'!O45</f>
        <v>-437</v>
      </c>
      <c r="G63" s="358">
        <f t="shared" si="7"/>
        <v>-18137.16688</v>
      </c>
      <c r="H63" s="358">
        <f t="shared" si="4"/>
        <v>36209.021120000005</v>
      </c>
      <c r="I63" s="366">
        <f>+'Inputs for Evans Tables'!F45+O63</f>
        <v>0</v>
      </c>
      <c r="J63" s="358">
        <f t="shared" si="5"/>
        <v>-45937</v>
      </c>
      <c r="K63" s="358">
        <f t="shared" si="8"/>
        <v>-16789.90123698998</v>
      </c>
      <c r="L63" s="358">
        <f t="shared" si="9"/>
        <v>-4607.879206155341</v>
      </c>
      <c r="M63" s="358">
        <f t="shared" si="10"/>
        <v>-31125.759323145314</v>
      </c>
    </row>
    <row r="64" spans="1:13" ht="12.75">
      <c r="A64" s="372">
        <v>-4300.46</v>
      </c>
      <c r="B64" s="357">
        <v>51</v>
      </c>
      <c r="C64" s="357">
        <f t="shared" si="6"/>
        <v>2065</v>
      </c>
      <c r="D64" s="358">
        <f>+'Inputs for Evans Tables'!N46-'Inputs for Evans Tables'!O46</f>
        <v>55909.746</v>
      </c>
      <c r="E64" s="358">
        <f>+'Inputs for Evans Tables'!H46</f>
        <v>0</v>
      </c>
      <c r="F64" s="358">
        <f>-'Inputs for Evans Tables'!O46</f>
        <v>-436</v>
      </c>
      <c r="G64" s="358">
        <f t="shared" si="7"/>
        <v>-18137.16688</v>
      </c>
      <c r="H64" s="358">
        <f t="shared" si="4"/>
        <v>37336.579119999995</v>
      </c>
      <c r="I64" s="366">
        <f>+'Inputs for Evans Tables'!F46+O64</f>
        <v>0</v>
      </c>
      <c r="J64" s="358">
        <f t="shared" si="5"/>
        <v>-45937</v>
      </c>
      <c r="K64" s="358">
        <f t="shared" si="8"/>
        <v>-16789.90123698998</v>
      </c>
      <c r="L64" s="358">
        <f t="shared" si="9"/>
        <v>-4607.879206155341</v>
      </c>
      <c r="M64" s="358">
        <f t="shared" si="10"/>
        <v>-29998.201323145324</v>
      </c>
    </row>
    <row r="65" spans="1:13" ht="12.75">
      <c r="A65" s="372">
        <v>-4300.46</v>
      </c>
      <c r="B65" s="357">
        <v>52</v>
      </c>
      <c r="C65" s="357">
        <f t="shared" si="6"/>
        <v>2066</v>
      </c>
      <c r="D65" s="358">
        <f>+'Inputs for Evans Tables'!N47-'Inputs for Evans Tables'!O47</f>
        <v>57077.205</v>
      </c>
      <c r="E65" s="358">
        <f>+'Inputs for Evans Tables'!H47</f>
        <v>0</v>
      </c>
      <c r="F65" s="358">
        <f>-'Inputs for Evans Tables'!O47</f>
        <v>-435</v>
      </c>
      <c r="G65" s="358">
        <f t="shared" si="7"/>
        <v>-18137.16688</v>
      </c>
      <c r="H65" s="358">
        <f t="shared" si="4"/>
        <v>38505.03812</v>
      </c>
      <c r="I65" s="366">
        <f>+'Inputs for Evans Tables'!F47+O65</f>
        <v>0</v>
      </c>
      <c r="J65" s="358">
        <f t="shared" si="5"/>
        <v>-45937</v>
      </c>
      <c r="K65" s="358">
        <f t="shared" si="8"/>
        <v>-16789.90123698998</v>
      </c>
      <c r="L65" s="358">
        <f t="shared" si="9"/>
        <v>-4607.879206155341</v>
      </c>
      <c r="M65" s="358">
        <f t="shared" si="10"/>
        <v>-28829.74232314532</v>
      </c>
    </row>
    <row r="66" spans="1:13" ht="12.75">
      <c r="A66" s="372">
        <v>-4300.45</v>
      </c>
      <c r="B66" s="357">
        <v>53</v>
      </c>
      <c r="C66" s="357">
        <f t="shared" si="6"/>
        <v>2067</v>
      </c>
      <c r="D66" s="358">
        <f>+'Inputs for Evans Tables'!N48-'Inputs for Evans Tables'!O48</f>
        <v>58287.047</v>
      </c>
      <c r="E66" s="358">
        <f>+'Inputs for Evans Tables'!H48</f>
        <v>0</v>
      </c>
      <c r="F66" s="358">
        <f>-'Inputs for Evans Tables'!O48</f>
        <v>-434</v>
      </c>
      <c r="G66" s="358">
        <f t="shared" si="7"/>
        <v>-18137.16688</v>
      </c>
      <c r="H66" s="358">
        <f t="shared" si="4"/>
        <v>39715.88012</v>
      </c>
      <c r="I66" s="366">
        <f>+'Inputs for Evans Tables'!F48+O66</f>
        <v>0</v>
      </c>
      <c r="J66" s="358">
        <f t="shared" si="5"/>
        <v>-45937</v>
      </c>
      <c r="K66" s="358">
        <f t="shared" si="8"/>
        <v>-16789.90123698998</v>
      </c>
      <c r="L66" s="358">
        <f t="shared" si="9"/>
        <v>-4607.879206155341</v>
      </c>
      <c r="M66" s="358">
        <f t="shared" si="10"/>
        <v>-27618.900323145317</v>
      </c>
    </row>
    <row r="67" spans="1:13" ht="12.75">
      <c r="A67" s="372">
        <v>-4300.41</v>
      </c>
      <c r="B67" s="357">
        <v>54</v>
      </c>
      <c r="C67" s="357">
        <f t="shared" si="6"/>
        <v>2068</v>
      </c>
      <c r="D67" s="358">
        <f>+'Inputs for Evans Tables'!N49-'Inputs for Evans Tables'!O49</f>
        <v>59540.885</v>
      </c>
      <c r="E67" s="358">
        <f>+'Inputs for Evans Tables'!H49</f>
        <v>0</v>
      </c>
      <c r="F67" s="358">
        <f>-'Inputs for Evans Tables'!O49</f>
        <v>-433</v>
      </c>
      <c r="G67" s="358">
        <f t="shared" si="7"/>
        <v>-18137.16688</v>
      </c>
      <c r="H67" s="358">
        <f t="shared" si="4"/>
        <v>40970.718120000005</v>
      </c>
      <c r="I67" s="366">
        <f>+'Inputs for Evans Tables'!F49+O67</f>
        <v>0</v>
      </c>
      <c r="J67" s="358">
        <f t="shared" si="5"/>
        <v>-45937</v>
      </c>
      <c r="K67" s="358">
        <f t="shared" si="8"/>
        <v>-16789.90123698998</v>
      </c>
      <c r="L67" s="358">
        <f t="shared" si="9"/>
        <v>-4607.879206155341</v>
      </c>
      <c r="M67" s="358">
        <f t="shared" si="10"/>
        <v>-26364.062323145314</v>
      </c>
    </row>
    <row r="68" spans="1:13" ht="12.75">
      <c r="A68" s="372">
        <v>-4300.42</v>
      </c>
      <c r="B68" s="357">
        <v>55</v>
      </c>
      <c r="C68" s="357">
        <f t="shared" si="6"/>
        <v>2069</v>
      </c>
      <c r="D68" s="358">
        <f>+'Inputs for Evans Tables'!N50-'Inputs for Evans Tables'!O50</f>
        <v>60840.25</v>
      </c>
      <c r="E68" s="358">
        <f>+'Inputs for Evans Tables'!H50</f>
        <v>0</v>
      </c>
      <c r="F68" s="358">
        <f>-'Inputs for Evans Tables'!O50</f>
        <v>-432</v>
      </c>
      <c r="G68" s="358">
        <f t="shared" si="7"/>
        <v>-18137.16688</v>
      </c>
      <c r="H68" s="358">
        <f t="shared" si="4"/>
        <v>42271.083119999996</v>
      </c>
      <c r="I68" s="366">
        <f>+'Inputs for Evans Tables'!F50+O68</f>
        <v>0</v>
      </c>
      <c r="J68" s="358">
        <f t="shared" si="5"/>
        <v>-45937</v>
      </c>
      <c r="K68" s="358">
        <f t="shared" si="8"/>
        <v>-16789.90123698998</v>
      </c>
      <c r="L68" s="358">
        <f t="shared" si="9"/>
        <v>-4607.879206155341</v>
      </c>
      <c r="M68" s="358">
        <f t="shared" si="10"/>
        <v>-25063.697323145323</v>
      </c>
    </row>
    <row r="69" spans="1:13" ht="12.75">
      <c r="A69" s="372">
        <v>-4300.42</v>
      </c>
      <c r="B69" s="357">
        <v>56</v>
      </c>
      <c r="C69" s="357">
        <f t="shared" si="6"/>
        <v>2070</v>
      </c>
      <c r="D69" s="358">
        <f>+'Inputs for Evans Tables'!N51-'Inputs for Evans Tables'!O51</f>
        <v>62186.789</v>
      </c>
      <c r="E69" s="358">
        <f>+'Inputs for Evans Tables'!H51</f>
        <v>0</v>
      </c>
      <c r="F69" s="358">
        <f>-'Inputs for Evans Tables'!O51</f>
        <v>-431</v>
      </c>
      <c r="G69" s="358">
        <f t="shared" si="7"/>
        <v>-18137.16688</v>
      </c>
      <c r="H69" s="358">
        <f t="shared" si="4"/>
        <v>43618.62212</v>
      </c>
      <c r="I69" s="366">
        <f>+'Inputs for Evans Tables'!F51+O69</f>
        <v>0</v>
      </c>
      <c r="J69" s="358">
        <f t="shared" si="5"/>
        <v>-45937</v>
      </c>
      <c r="K69" s="358">
        <f t="shared" si="8"/>
        <v>-16789.90123698998</v>
      </c>
      <c r="L69" s="358">
        <f t="shared" si="9"/>
        <v>-4607.879206155341</v>
      </c>
      <c r="M69" s="358">
        <f t="shared" si="10"/>
        <v>-23716.15832314532</v>
      </c>
    </row>
    <row r="70" spans="1:13" ht="12.75">
      <c r="A70" s="372">
        <v>-4300.44</v>
      </c>
      <c r="B70" s="357">
        <v>57</v>
      </c>
      <c r="C70" s="357">
        <f t="shared" si="6"/>
        <v>2071</v>
      </c>
      <c r="D70" s="358">
        <f>+'Inputs for Evans Tables'!N52-'Inputs for Evans Tables'!O52</f>
        <v>63582.252</v>
      </c>
      <c r="E70" s="358">
        <f>+'Inputs for Evans Tables'!H52</f>
        <v>0</v>
      </c>
      <c r="F70" s="358">
        <f>-'Inputs for Evans Tables'!O52</f>
        <v>-430</v>
      </c>
      <c r="G70" s="358">
        <f t="shared" si="7"/>
        <v>-18137.16688</v>
      </c>
      <c r="H70" s="358">
        <f t="shared" si="4"/>
        <v>45015.08512</v>
      </c>
      <c r="I70" s="366">
        <f>+'Inputs for Evans Tables'!F52+O70</f>
        <v>0</v>
      </c>
      <c r="J70" s="358">
        <f t="shared" si="5"/>
        <v>-45937</v>
      </c>
      <c r="K70" s="358">
        <f t="shared" si="8"/>
        <v>-16789.90123698998</v>
      </c>
      <c r="L70" s="358">
        <f t="shared" si="9"/>
        <v>-4607.879206155341</v>
      </c>
      <c r="M70" s="358">
        <f t="shared" si="10"/>
        <v>-22319.695323145315</v>
      </c>
    </row>
    <row r="71" spans="1:13" ht="12.75">
      <c r="A71" s="372">
        <v>-4300.44</v>
      </c>
      <c r="B71" s="357">
        <v>58</v>
      </c>
      <c r="C71" s="357">
        <f t="shared" si="6"/>
        <v>2072</v>
      </c>
      <c r="D71" s="358">
        <f>+'Inputs for Evans Tables'!N53-'Inputs for Evans Tables'!O53</f>
        <v>65028.425</v>
      </c>
      <c r="E71" s="358">
        <f>+'Inputs for Evans Tables'!H53</f>
        <v>0</v>
      </c>
      <c r="F71" s="358">
        <f>-'Inputs for Evans Tables'!O53</f>
        <v>-429</v>
      </c>
      <c r="G71" s="358">
        <f t="shared" si="7"/>
        <v>-18137.16688</v>
      </c>
      <c r="H71" s="358">
        <f t="shared" si="4"/>
        <v>46462.25812</v>
      </c>
      <c r="I71" s="366">
        <f>+'Inputs for Evans Tables'!F53+O71</f>
        <v>0</v>
      </c>
      <c r="J71" s="358">
        <f t="shared" si="5"/>
        <v>-45937</v>
      </c>
      <c r="K71" s="358">
        <f t="shared" si="8"/>
        <v>-16789.90123698998</v>
      </c>
      <c r="L71" s="358">
        <f t="shared" si="9"/>
        <v>-4607.879206155341</v>
      </c>
      <c r="M71" s="358">
        <f t="shared" si="10"/>
        <v>-20872.52232314532</v>
      </c>
    </row>
    <row r="72" spans="1:13" ht="12.75">
      <c r="A72" s="372">
        <v>-4300.43</v>
      </c>
      <c r="B72" s="357">
        <v>59</v>
      </c>
      <c r="C72" s="357">
        <f t="shared" si="6"/>
        <v>2073</v>
      </c>
      <c r="D72" s="358">
        <f>+'Inputs for Evans Tables'!N54-'Inputs for Evans Tables'!O54</f>
        <v>66528.199</v>
      </c>
      <c r="E72" s="358">
        <f>+'Inputs for Evans Tables'!H54</f>
        <v>0</v>
      </c>
      <c r="F72" s="358">
        <f>-'Inputs for Evans Tables'!O54</f>
        <v>-427</v>
      </c>
      <c r="G72" s="358">
        <f t="shared" si="7"/>
        <v>-18137.16688</v>
      </c>
      <c r="H72" s="358">
        <f t="shared" si="4"/>
        <v>47964.03211999999</v>
      </c>
      <c r="I72" s="366">
        <f>+'Inputs for Evans Tables'!F54+O72</f>
        <v>0</v>
      </c>
      <c r="J72" s="358">
        <f t="shared" si="5"/>
        <v>-45937</v>
      </c>
      <c r="K72" s="358">
        <f t="shared" si="8"/>
        <v>-16789.90123698998</v>
      </c>
      <c r="L72" s="358">
        <f t="shared" si="9"/>
        <v>-4607.879206155341</v>
      </c>
      <c r="M72" s="358">
        <f t="shared" si="10"/>
        <v>-19370.74832314533</v>
      </c>
    </row>
    <row r="73" spans="1:13" ht="12.75">
      <c r="A73" s="372"/>
      <c r="B73" s="357">
        <v>60</v>
      </c>
      <c r="C73" s="357">
        <f t="shared" si="6"/>
        <v>2074</v>
      </c>
      <c r="D73" s="358">
        <f>+'Inputs for Evans Tables'!N55-'Inputs for Evans Tables'!O55</f>
        <v>68081.439</v>
      </c>
      <c r="E73" s="358">
        <f>+'Inputs for Evans Tables'!H55</f>
        <v>0</v>
      </c>
      <c r="F73" s="358">
        <f>-'Inputs for Evans Tables'!O55</f>
        <v>-426</v>
      </c>
      <c r="G73" s="358">
        <f t="shared" si="7"/>
        <v>-18137.16688</v>
      </c>
      <c r="H73" s="358">
        <f t="shared" si="4"/>
        <v>49518.272119999994</v>
      </c>
      <c r="I73" s="366">
        <f>+'Inputs for Evans Tables'!F55+O73</f>
        <v>0</v>
      </c>
      <c r="J73" s="358">
        <f aca="true" t="shared" si="11" ref="J73:J74">J$20</f>
        <v>-45937</v>
      </c>
      <c r="K73" s="358">
        <f t="shared" si="8"/>
        <v>-16789.90123698998</v>
      </c>
      <c r="L73" s="358">
        <f t="shared" si="9"/>
        <v>-4607.879206155341</v>
      </c>
      <c r="M73" s="358">
        <f t="shared" si="10"/>
        <v>-17816.508323145325</v>
      </c>
    </row>
    <row r="74" spans="1:13" ht="12.75">
      <c r="A74" s="372"/>
      <c r="B74" s="357">
        <v>61</v>
      </c>
      <c r="C74" s="357">
        <f t="shared" si="6"/>
        <v>2075</v>
      </c>
      <c r="D74" s="358">
        <f>+'Inputs for Evans Tables'!N56-'Inputs for Evans Tables'!O56</f>
        <v>69691.102</v>
      </c>
      <c r="E74" s="358">
        <f>+'Inputs for Evans Tables'!H56</f>
        <v>0</v>
      </c>
      <c r="F74" s="358">
        <f>-'Inputs for Evans Tables'!O56</f>
        <v>-425</v>
      </c>
      <c r="G74" s="358">
        <f t="shared" si="7"/>
        <v>-18137.16688</v>
      </c>
      <c r="H74" s="358">
        <f t="shared" si="4"/>
        <v>51128.935119999995</v>
      </c>
      <c r="I74" s="366">
        <f>+'Inputs for Evans Tables'!F56+O74</f>
        <v>0</v>
      </c>
      <c r="J74" s="358">
        <f t="shared" si="11"/>
        <v>-45937</v>
      </c>
      <c r="K74" s="358">
        <f t="shared" si="8"/>
        <v>-16789.90123698998</v>
      </c>
      <c r="L74" s="358">
        <f t="shared" si="9"/>
        <v>-4607.879206155341</v>
      </c>
      <c r="M74" s="358">
        <f t="shared" si="10"/>
        <v>-16205.845323145326</v>
      </c>
    </row>
    <row r="75" spans="1:13" ht="12.75">
      <c r="A75" s="372"/>
      <c r="B75" s="372"/>
      <c r="C75" s="357"/>
      <c r="D75" s="358"/>
      <c r="E75" s="358"/>
      <c r="F75" s="358"/>
      <c r="G75" s="358"/>
      <c r="H75" s="358"/>
      <c r="I75" s="358"/>
      <c r="J75" s="358"/>
      <c r="K75" s="358"/>
      <c r="L75" s="358"/>
      <c r="M75" s="358"/>
    </row>
    <row r="76" spans="1:13" ht="28.5" customHeight="1">
      <c r="A76" s="372"/>
      <c r="B76" s="374" t="s">
        <v>229</v>
      </c>
      <c r="C76" s="488" t="s">
        <v>873</v>
      </c>
      <c r="D76" s="488"/>
      <c r="E76" s="488"/>
      <c r="F76" s="488"/>
      <c r="G76" s="488"/>
      <c r="H76" s="488"/>
      <c r="I76" s="488"/>
      <c r="J76" s="488"/>
      <c r="K76" s="488"/>
      <c r="L76" s="488"/>
      <c r="M76" s="488"/>
    </row>
  </sheetData>
  <mergeCells count="5">
    <mergeCell ref="C1:M1"/>
    <mergeCell ref="C2:M2"/>
    <mergeCell ref="C3:M3"/>
    <mergeCell ref="C4:M4"/>
    <mergeCell ref="C76:M76"/>
  </mergeCells>
  <printOptions horizontalCentered="1"/>
  <pageMargins left="0.75" right="0.72" top="0.39" bottom="0.69" header="0.18" footer="0.25"/>
  <pageSetup fitToHeight="1" fitToWidth="1" horizontalDpi="300" verticalDpi="300" orientation="portrait" scale="10" r:id="rId1"/>
  <headerFooter alignWithMargins="0">
    <oddFooter>&amp;C&amp;"Times New Roman,Bold"&amp;16WP-02-FS-BPA-08
Page D-317&amp;R&amp;8&amp;D&amp;F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2"/>
  <sheetViews>
    <sheetView zoomScale="90" zoomScaleNormal="90" workbookViewId="0" topLeftCell="G1">
      <selection activeCell="R1" sqref="R1:T1048576"/>
    </sheetView>
  </sheetViews>
  <sheetFormatPr defaultColWidth="9.140625" defaultRowHeight="12.75"/>
  <cols>
    <col min="1" max="1" width="3.7109375" style="35" customWidth="1"/>
    <col min="2" max="2" width="3.57421875" style="35" customWidth="1"/>
    <col min="3" max="3" width="3.421875" style="35" customWidth="1"/>
    <col min="4" max="4" width="43.00390625" style="35" customWidth="1"/>
    <col min="5" max="5" width="12.140625" style="35" customWidth="1"/>
    <col min="6" max="6" width="13.140625" style="35" customWidth="1"/>
    <col min="7" max="10" width="13.140625" style="171" customWidth="1"/>
    <col min="11" max="11" width="12.28125" style="171" customWidth="1"/>
    <col min="12" max="12" width="12.28125" style="35" customWidth="1"/>
    <col min="13" max="13" width="4.421875" style="35" customWidth="1"/>
    <col min="14" max="14" width="13.57421875" style="35" customWidth="1"/>
    <col min="15" max="15" width="4.00390625" style="35" customWidth="1"/>
    <col min="16" max="16" width="13.28125" style="35" customWidth="1"/>
    <col min="17" max="17" width="9.140625" style="35" customWidth="1"/>
    <col min="18" max="18" width="14.8515625" style="35" bestFit="1" customWidth="1"/>
    <col min="19" max="19" width="13.8515625" style="35" bestFit="1" customWidth="1"/>
    <col min="20" max="252" width="9.140625" style="35" customWidth="1"/>
    <col min="253" max="253" width="3.7109375" style="35" customWidth="1"/>
    <col min="254" max="254" width="3.57421875" style="35" customWidth="1"/>
    <col min="255" max="255" width="3.421875" style="35" customWidth="1"/>
    <col min="256" max="256" width="40.28125" style="35" customWidth="1"/>
    <col min="257" max="257" width="10.28125" style="35" customWidth="1"/>
    <col min="258" max="258" width="9.7109375" style="35" customWidth="1"/>
    <col min="259" max="261" width="10.57421875" style="35" customWidth="1"/>
    <col min="262" max="262" width="10.00390625" style="35" customWidth="1"/>
    <col min="263" max="264" width="9.140625" style="35" hidden="1" customWidth="1"/>
    <col min="265" max="508" width="9.140625" style="35" customWidth="1"/>
    <col min="509" max="509" width="3.7109375" style="35" customWidth="1"/>
    <col min="510" max="510" width="3.57421875" style="35" customWidth="1"/>
    <col min="511" max="511" width="3.421875" style="35" customWidth="1"/>
    <col min="512" max="512" width="40.28125" style="35" customWidth="1"/>
    <col min="513" max="513" width="10.28125" style="35" customWidth="1"/>
    <col min="514" max="514" width="9.7109375" style="35" customWidth="1"/>
    <col min="515" max="517" width="10.57421875" style="35" customWidth="1"/>
    <col min="518" max="518" width="10.00390625" style="35" customWidth="1"/>
    <col min="519" max="520" width="9.140625" style="35" hidden="1" customWidth="1"/>
    <col min="521" max="764" width="9.140625" style="35" customWidth="1"/>
    <col min="765" max="765" width="3.7109375" style="35" customWidth="1"/>
    <col min="766" max="766" width="3.57421875" style="35" customWidth="1"/>
    <col min="767" max="767" width="3.421875" style="35" customWidth="1"/>
    <col min="768" max="768" width="40.28125" style="35" customWidth="1"/>
    <col min="769" max="769" width="10.28125" style="35" customWidth="1"/>
    <col min="770" max="770" width="9.7109375" style="35" customWidth="1"/>
    <col min="771" max="773" width="10.57421875" style="35" customWidth="1"/>
    <col min="774" max="774" width="10.00390625" style="35" customWidth="1"/>
    <col min="775" max="776" width="9.140625" style="35" hidden="1" customWidth="1"/>
    <col min="777" max="1020" width="9.140625" style="35" customWidth="1"/>
    <col min="1021" max="1021" width="3.7109375" style="35" customWidth="1"/>
    <col min="1022" max="1022" width="3.57421875" style="35" customWidth="1"/>
    <col min="1023" max="1023" width="3.421875" style="35" customWidth="1"/>
    <col min="1024" max="1024" width="40.28125" style="35" customWidth="1"/>
    <col min="1025" max="1025" width="10.28125" style="35" customWidth="1"/>
    <col min="1026" max="1026" width="9.7109375" style="35" customWidth="1"/>
    <col min="1027" max="1029" width="10.57421875" style="35" customWidth="1"/>
    <col min="1030" max="1030" width="10.00390625" style="35" customWidth="1"/>
    <col min="1031" max="1032" width="9.140625" style="35" hidden="1" customWidth="1"/>
    <col min="1033" max="1276" width="9.140625" style="35" customWidth="1"/>
    <col min="1277" max="1277" width="3.7109375" style="35" customWidth="1"/>
    <col min="1278" max="1278" width="3.57421875" style="35" customWidth="1"/>
    <col min="1279" max="1279" width="3.421875" style="35" customWidth="1"/>
    <col min="1280" max="1280" width="40.28125" style="35" customWidth="1"/>
    <col min="1281" max="1281" width="10.28125" style="35" customWidth="1"/>
    <col min="1282" max="1282" width="9.7109375" style="35" customWidth="1"/>
    <col min="1283" max="1285" width="10.57421875" style="35" customWidth="1"/>
    <col min="1286" max="1286" width="10.00390625" style="35" customWidth="1"/>
    <col min="1287" max="1288" width="9.140625" style="35" hidden="1" customWidth="1"/>
    <col min="1289" max="1532" width="9.140625" style="35" customWidth="1"/>
    <col min="1533" max="1533" width="3.7109375" style="35" customWidth="1"/>
    <col min="1534" max="1534" width="3.57421875" style="35" customWidth="1"/>
    <col min="1535" max="1535" width="3.421875" style="35" customWidth="1"/>
    <col min="1536" max="1536" width="40.28125" style="35" customWidth="1"/>
    <col min="1537" max="1537" width="10.28125" style="35" customWidth="1"/>
    <col min="1538" max="1538" width="9.7109375" style="35" customWidth="1"/>
    <col min="1539" max="1541" width="10.57421875" style="35" customWidth="1"/>
    <col min="1542" max="1542" width="10.00390625" style="35" customWidth="1"/>
    <col min="1543" max="1544" width="9.140625" style="35" hidden="1" customWidth="1"/>
    <col min="1545" max="1788" width="9.140625" style="35" customWidth="1"/>
    <col min="1789" max="1789" width="3.7109375" style="35" customWidth="1"/>
    <col min="1790" max="1790" width="3.57421875" style="35" customWidth="1"/>
    <col min="1791" max="1791" width="3.421875" style="35" customWidth="1"/>
    <col min="1792" max="1792" width="40.28125" style="35" customWidth="1"/>
    <col min="1793" max="1793" width="10.28125" style="35" customWidth="1"/>
    <col min="1794" max="1794" width="9.7109375" style="35" customWidth="1"/>
    <col min="1795" max="1797" width="10.57421875" style="35" customWidth="1"/>
    <col min="1798" max="1798" width="10.00390625" style="35" customWidth="1"/>
    <col min="1799" max="1800" width="9.140625" style="35" hidden="1" customWidth="1"/>
    <col min="1801" max="2044" width="9.140625" style="35" customWidth="1"/>
    <col min="2045" max="2045" width="3.7109375" style="35" customWidth="1"/>
    <col min="2046" max="2046" width="3.57421875" style="35" customWidth="1"/>
    <col min="2047" max="2047" width="3.421875" style="35" customWidth="1"/>
    <col min="2048" max="2048" width="40.28125" style="35" customWidth="1"/>
    <col min="2049" max="2049" width="10.28125" style="35" customWidth="1"/>
    <col min="2050" max="2050" width="9.7109375" style="35" customWidth="1"/>
    <col min="2051" max="2053" width="10.57421875" style="35" customWidth="1"/>
    <col min="2054" max="2054" width="10.00390625" style="35" customWidth="1"/>
    <col min="2055" max="2056" width="9.140625" style="35" hidden="1" customWidth="1"/>
    <col min="2057" max="2300" width="9.140625" style="35" customWidth="1"/>
    <col min="2301" max="2301" width="3.7109375" style="35" customWidth="1"/>
    <col min="2302" max="2302" width="3.57421875" style="35" customWidth="1"/>
    <col min="2303" max="2303" width="3.421875" style="35" customWidth="1"/>
    <col min="2304" max="2304" width="40.28125" style="35" customWidth="1"/>
    <col min="2305" max="2305" width="10.28125" style="35" customWidth="1"/>
    <col min="2306" max="2306" width="9.7109375" style="35" customWidth="1"/>
    <col min="2307" max="2309" width="10.57421875" style="35" customWidth="1"/>
    <col min="2310" max="2310" width="10.00390625" style="35" customWidth="1"/>
    <col min="2311" max="2312" width="9.140625" style="35" hidden="1" customWidth="1"/>
    <col min="2313" max="2556" width="9.140625" style="35" customWidth="1"/>
    <col min="2557" max="2557" width="3.7109375" style="35" customWidth="1"/>
    <col min="2558" max="2558" width="3.57421875" style="35" customWidth="1"/>
    <col min="2559" max="2559" width="3.421875" style="35" customWidth="1"/>
    <col min="2560" max="2560" width="40.28125" style="35" customWidth="1"/>
    <col min="2561" max="2561" width="10.28125" style="35" customWidth="1"/>
    <col min="2562" max="2562" width="9.7109375" style="35" customWidth="1"/>
    <col min="2563" max="2565" width="10.57421875" style="35" customWidth="1"/>
    <col min="2566" max="2566" width="10.00390625" style="35" customWidth="1"/>
    <col min="2567" max="2568" width="9.140625" style="35" hidden="1" customWidth="1"/>
    <col min="2569" max="2812" width="9.140625" style="35" customWidth="1"/>
    <col min="2813" max="2813" width="3.7109375" style="35" customWidth="1"/>
    <col min="2814" max="2814" width="3.57421875" style="35" customWidth="1"/>
    <col min="2815" max="2815" width="3.421875" style="35" customWidth="1"/>
    <col min="2816" max="2816" width="40.28125" style="35" customWidth="1"/>
    <col min="2817" max="2817" width="10.28125" style="35" customWidth="1"/>
    <col min="2818" max="2818" width="9.7109375" style="35" customWidth="1"/>
    <col min="2819" max="2821" width="10.57421875" style="35" customWidth="1"/>
    <col min="2822" max="2822" width="10.00390625" style="35" customWidth="1"/>
    <col min="2823" max="2824" width="9.140625" style="35" hidden="1" customWidth="1"/>
    <col min="2825" max="3068" width="9.140625" style="35" customWidth="1"/>
    <col min="3069" max="3069" width="3.7109375" style="35" customWidth="1"/>
    <col min="3070" max="3070" width="3.57421875" style="35" customWidth="1"/>
    <col min="3071" max="3071" width="3.421875" style="35" customWidth="1"/>
    <col min="3072" max="3072" width="40.28125" style="35" customWidth="1"/>
    <col min="3073" max="3073" width="10.28125" style="35" customWidth="1"/>
    <col min="3074" max="3074" width="9.7109375" style="35" customWidth="1"/>
    <col min="3075" max="3077" width="10.57421875" style="35" customWidth="1"/>
    <col min="3078" max="3078" width="10.00390625" style="35" customWidth="1"/>
    <col min="3079" max="3080" width="9.140625" style="35" hidden="1" customWidth="1"/>
    <col min="3081" max="3324" width="9.140625" style="35" customWidth="1"/>
    <col min="3325" max="3325" width="3.7109375" style="35" customWidth="1"/>
    <col min="3326" max="3326" width="3.57421875" style="35" customWidth="1"/>
    <col min="3327" max="3327" width="3.421875" style="35" customWidth="1"/>
    <col min="3328" max="3328" width="40.28125" style="35" customWidth="1"/>
    <col min="3329" max="3329" width="10.28125" style="35" customWidth="1"/>
    <col min="3330" max="3330" width="9.7109375" style="35" customWidth="1"/>
    <col min="3331" max="3333" width="10.57421875" style="35" customWidth="1"/>
    <col min="3334" max="3334" width="10.00390625" style="35" customWidth="1"/>
    <col min="3335" max="3336" width="9.140625" style="35" hidden="1" customWidth="1"/>
    <col min="3337" max="3580" width="9.140625" style="35" customWidth="1"/>
    <col min="3581" max="3581" width="3.7109375" style="35" customWidth="1"/>
    <col min="3582" max="3582" width="3.57421875" style="35" customWidth="1"/>
    <col min="3583" max="3583" width="3.421875" style="35" customWidth="1"/>
    <col min="3584" max="3584" width="40.28125" style="35" customWidth="1"/>
    <col min="3585" max="3585" width="10.28125" style="35" customWidth="1"/>
    <col min="3586" max="3586" width="9.7109375" style="35" customWidth="1"/>
    <col min="3587" max="3589" width="10.57421875" style="35" customWidth="1"/>
    <col min="3590" max="3590" width="10.00390625" style="35" customWidth="1"/>
    <col min="3591" max="3592" width="9.140625" style="35" hidden="1" customWidth="1"/>
    <col min="3593" max="3836" width="9.140625" style="35" customWidth="1"/>
    <col min="3837" max="3837" width="3.7109375" style="35" customWidth="1"/>
    <col min="3838" max="3838" width="3.57421875" style="35" customWidth="1"/>
    <col min="3839" max="3839" width="3.421875" style="35" customWidth="1"/>
    <col min="3840" max="3840" width="40.28125" style="35" customWidth="1"/>
    <col min="3841" max="3841" width="10.28125" style="35" customWidth="1"/>
    <col min="3842" max="3842" width="9.7109375" style="35" customWidth="1"/>
    <col min="3843" max="3845" width="10.57421875" style="35" customWidth="1"/>
    <col min="3846" max="3846" width="10.00390625" style="35" customWidth="1"/>
    <col min="3847" max="3848" width="9.140625" style="35" hidden="1" customWidth="1"/>
    <col min="3849" max="4092" width="9.140625" style="35" customWidth="1"/>
    <col min="4093" max="4093" width="3.7109375" style="35" customWidth="1"/>
    <col min="4094" max="4094" width="3.57421875" style="35" customWidth="1"/>
    <col min="4095" max="4095" width="3.421875" style="35" customWidth="1"/>
    <col min="4096" max="4096" width="40.28125" style="35" customWidth="1"/>
    <col min="4097" max="4097" width="10.28125" style="35" customWidth="1"/>
    <col min="4098" max="4098" width="9.7109375" style="35" customWidth="1"/>
    <col min="4099" max="4101" width="10.57421875" style="35" customWidth="1"/>
    <col min="4102" max="4102" width="10.00390625" style="35" customWidth="1"/>
    <col min="4103" max="4104" width="9.140625" style="35" hidden="1" customWidth="1"/>
    <col min="4105" max="4348" width="9.140625" style="35" customWidth="1"/>
    <col min="4349" max="4349" width="3.7109375" style="35" customWidth="1"/>
    <col min="4350" max="4350" width="3.57421875" style="35" customWidth="1"/>
    <col min="4351" max="4351" width="3.421875" style="35" customWidth="1"/>
    <col min="4352" max="4352" width="40.28125" style="35" customWidth="1"/>
    <col min="4353" max="4353" width="10.28125" style="35" customWidth="1"/>
    <col min="4354" max="4354" width="9.7109375" style="35" customWidth="1"/>
    <col min="4355" max="4357" width="10.57421875" style="35" customWidth="1"/>
    <col min="4358" max="4358" width="10.00390625" style="35" customWidth="1"/>
    <col min="4359" max="4360" width="9.140625" style="35" hidden="1" customWidth="1"/>
    <col min="4361" max="4604" width="9.140625" style="35" customWidth="1"/>
    <col min="4605" max="4605" width="3.7109375" style="35" customWidth="1"/>
    <col min="4606" max="4606" width="3.57421875" style="35" customWidth="1"/>
    <col min="4607" max="4607" width="3.421875" style="35" customWidth="1"/>
    <col min="4608" max="4608" width="40.28125" style="35" customWidth="1"/>
    <col min="4609" max="4609" width="10.28125" style="35" customWidth="1"/>
    <col min="4610" max="4610" width="9.7109375" style="35" customWidth="1"/>
    <col min="4611" max="4613" width="10.57421875" style="35" customWidth="1"/>
    <col min="4614" max="4614" width="10.00390625" style="35" customWidth="1"/>
    <col min="4615" max="4616" width="9.140625" style="35" hidden="1" customWidth="1"/>
    <col min="4617" max="4860" width="9.140625" style="35" customWidth="1"/>
    <col min="4861" max="4861" width="3.7109375" style="35" customWidth="1"/>
    <col min="4862" max="4862" width="3.57421875" style="35" customWidth="1"/>
    <col min="4863" max="4863" width="3.421875" style="35" customWidth="1"/>
    <col min="4864" max="4864" width="40.28125" style="35" customWidth="1"/>
    <col min="4865" max="4865" width="10.28125" style="35" customWidth="1"/>
    <col min="4866" max="4866" width="9.7109375" style="35" customWidth="1"/>
    <col min="4867" max="4869" width="10.57421875" style="35" customWidth="1"/>
    <col min="4870" max="4870" width="10.00390625" style="35" customWidth="1"/>
    <col min="4871" max="4872" width="9.140625" style="35" hidden="1" customWidth="1"/>
    <col min="4873" max="5116" width="9.140625" style="35" customWidth="1"/>
    <col min="5117" max="5117" width="3.7109375" style="35" customWidth="1"/>
    <col min="5118" max="5118" width="3.57421875" style="35" customWidth="1"/>
    <col min="5119" max="5119" width="3.421875" style="35" customWidth="1"/>
    <col min="5120" max="5120" width="40.28125" style="35" customWidth="1"/>
    <col min="5121" max="5121" width="10.28125" style="35" customWidth="1"/>
    <col min="5122" max="5122" width="9.7109375" style="35" customWidth="1"/>
    <col min="5123" max="5125" width="10.57421875" style="35" customWidth="1"/>
    <col min="5126" max="5126" width="10.00390625" style="35" customWidth="1"/>
    <col min="5127" max="5128" width="9.140625" style="35" hidden="1" customWidth="1"/>
    <col min="5129" max="5372" width="9.140625" style="35" customWidth="1"/>
    <col min="5373" max="5373" width="3.7109375" style="35" customWidth="1"/>
    <col min="5374" max="5374" width="3.57421875" style="35" customWidth="1"/>
    <col min="5375" max="5375" width="3.421875" style="35" customWidth="1"/>
    <col min="5376" max="5376" width="40.28125" style="35" customWidth="1"/>
    <col min="5377" max="5377" width="10.28125" style="35" customWidth="1"/>
    <col min="5378" max="5378" width="9.7109375" style="35" customWidth="1"/>
    <col min="5379" max="5381" width="10.57421875" style="35" customWidth="1"/>
    <col min="5382" max="5382" width="10.00390625" style="35" customWidth="1"/>
    <col min="5383" max="5384" width="9.140625" style="35" hidden="1" customWidth="1"/>
    <col min="5385" max="5628" width="9.140625" style="35" customWidth="1"/>
    <col min="5629" max="5629" width="3.7109375" style="35" customWidth="1"/>
    <col min="5630" max="5630" width="3.57421875" style="35" customWidth="1"/>
    <col min="5631" max="5631" width="3.421875" style="35" customWidth="1"/>
    <col min="5632" max="5632" width="40.28125" style="35" customWidth="1"/>
    <col min="5633" max="5633" width="10.28125" style="35" customWidth="1"/>
    <col min="5634" max="5634" width="9.7109375" style="35" customWidth="1"/>
    <col min="5635" max="5637" width="10.57421875" style="35" customWidth="1"/>
    <col min="5638" max="5638" width="10.00390625" style="35" customWidth="1"/>
    <col min="5639" max="5640" width="9.140625" style="35" hidden="1" customWidth="1"/>
    <col min="5641" max="5884" width="9.140625" style="35" customWidth="1"/>
    <col min="5885" max="5885" width="3.7109375" style="35" customWidth="1"/>
    <col min="5886" max="5886" width="3.57421875" style="35" customWidth="1"/>
    <col min="5887" max="5887" width="3.421875" style="35" customWidth="1"/>
    <col min="5888" max="5888" width="40.28125" style="35" customWidth="1"/>
    <col min="5889" max="5889" width="10.28125" style="35" customWidth="1"/>
    <col min="5890" max="5890" width="9.7109375" style="35" customWidth="1"/>
    <col min="5891" max="5893" width="10.57421875" style="35" customWidth="1"/>
    <col min="5894" max="5894" width="10.00390625" style="35" customWidth="1"/>
    <col min="5895" max="5896" width="9.140625" style="35" hidden="1" customWidth="1"/>
    <col min="5897" max="6140" width="9.140625" style="35" customWidth="1"/>
    <col min="6141" max="6141" width="3.7109375" style="35" customWidth="1"/>
    <col min="6142" max="6142" width="3.57421875" style="35" customWidth="1"/>
    <col min="6143" max="6143" width="3.421875" style="35" customWidth="1"/>
    <col min="6144" max="6144" width="40.28125" style="35" customWidth="1"/>
    <col min="6145" max="6145" width="10.28125" style="35" customWidth="1"/>
    <col min="6146" max="6146" width="9.7109375" style="35" customWidth="1"/>
    <col min="6147" max="6149" width="10.57421875" style="35" customWidth="1"/>
    <col min="6150" max="6150" width="10.00390625" style="35" customWidth="1"/>
    <col min="6151" max="6152" width="9.140625" style="35" hidden="1" customWidth="1"/>
    <col min="6153" max="6396" width="9.140625" style="35" customWidth="1"/>
    <col min="6397" max="6397" width="3.7109375" style="35" customWidth="1"/>
    <col min="6398" max="6398" width="3.57421875" style="35" customWidth="1"/>
    <col min="6399" max="6399" width="3.421875" style="35" customWidth="1"/>
    <col min="6400" max="6400" width="40.28125" style="35" customWidth="1"/>
    <col min="6401" max="6401" width="10.28125" style="35" customWidth="1"/>
    <col min="6402" max="6402" width="9.7109375" style="35" customWidth="1"/>
    <col min="6403" max="6405" width="10.57421875" style="35" customWidth="1"/>
    <col min="6406" max="6406" width="10.00390625" style="35" customWidth="1"/>
    <col min="6407" max="6408" width="9.140625" style="35" hidden="1" customWidth="1"/>
    <col min="6409" max="6652" width="9.140625" style="35" customWidth="1"/>
    <col min="6653" max="6653" width="3.7109375" style="35" customWidth="1"/>
    <col min="6654" max="6654" width="3.57421875" style="35" customWidth="1"/>
    <col min="6655" max="6655" width="3.421875" style="35" customWidth="1"/>
    <col min="6656" max="6656" width="40.28125" style="35" customWidth="1"/>
    <col min="6657" max="6657" width="10.28125" style="35" customWidth="1"/>
    <col min="6658" max="6658" width="9.7109375" style="35" customWidth="1"/>
    <col min="6659" max="6661" width="10.57421875" style="35" customWidth="1"/>
    <col min="6662" max="6662" width="10.00390625" style="35" customWidth="1"/>
    <col min="6663" max="6664" width="9.140625" style="35" hidden="1" customWidth="1"/>
    <col min="6665" max="6908" width="9.140625" style="35" customWidth="1"/>
    <col min="6909" max="6909" width="3.7109375" style="35" customWidth="1"/>
    <col min="6910" max="6910" width="3.57421875" style="35" customWidth="1"/>
    <col min="6911" max="6911" width="3.421875" style="35" customWidth="1"/>
    <col min="6912" max="6912" width="40.28125" style="35" customWidth="1"/>
    <col min="6913" max="6913" width="10.28125" style="35" customWidth="1"/>
    <col min="6914" max="6914" width="9.7109375" style="35" customWidth="1"/>
    <col min="6915" max="6917" width="10.57421875" style="35" customWidth="1"/>
    <col min="6918" max="6918" width="10.00390625" style="35" customWidth="1"/>
    <col min="6919" max="6920" width="9.140625" style="35" hidden="1" customWidth="1"/>
    <col min="6921" max="7164" width="9.140625" style="35" customWidth="1"/>
    <col min="7165" max="7165" width="3.7109375" style="35" customWidth="1"/>
    <col min="7166" max="7166" width="3.57421875" style="35" customWidth="1"/>
    <col min="7167" max="7167" width="3.421875" style="35" customWidth="1"/>
    <col min="7168" max="7168" width="40.28125" style="35" customWidth="1"/>
    <col min="7169" max="7169" width="10.28125" style="35" customWidth="1"/>
    <col min="7170" max="7170" width="9.7109375" style="35" customWidth="1"/>
    <col min="7171" max="7173" width="10.57421875" style="35" customWidth="1"/>
    <col min="7174" max="7174" width="10.00390625" style="35" customWidth="1"/>
    <col min="7175" max="7176" width="9.140625" style="35" hidden="1" customWidth="1"/>
    <col min="7177" max="7420" width="9.140625" style="35" customWidth="1"/>
    <col min="7421" max="7421" width="3.7109375" style="35" customWidth="1"/>
    <col min="7422" max="7422" width="3.57421875" style="35" customWidth="1"/>
    <col min="7423" max="7423" width="3.421875" style="35" customWidth="1"/>
    <col min="7424" max="7424" width="40.28125" style="35" customWidth="1"/>
    <col min="7425" max="7425" width="10.28125" style="35" customWidth="1"/>
    <col min="7426" max="7426" width="9.7109375" style="35" customWidth="1"/>
    <col min="7427" max="7429" width="10.57421875" style="35" customWidth="1"/>
    <col min="7430" max="7430" width="10.00390625" style="35" customWidth="1"/>
    <col min="7431" max="7432" width="9.140625" style="35" hidden="1" customWidth="1"/>
    <col min="7433" max="7676" width="9.140625" style="35" customWidth="1"/>
    <col min="7677" max="7677" width="3.7109375" style="35" customWidth="1"/>
    <col min="7678" max="7678" width="3.57421875" style="35" customWidth="1"/>
    <col min="7679" max="7679" width="3.421875" style="35" customWidth="1"/>
    <col min="7680" max="7680" width="40.28125" style="35" customWidth="1"/>
    <col min="7681" max="7681" width="10.28125" style="35" customWidth="1"/>
    <col min="7682" max="7682" width="9.7109375" style="35" customWidth="1"/>
    <col min="7683" max="7685" width="10.57421875" style="35" customWidth="1"/>
    <col min="7686" max="7686" width="10.00390625" style="35" customWidth="1"/>
    <col min="7687" max="7688" width="9.140625" style="35" hidden="1" customWidth="1"/>
    <col min="7689" max="7932" width="9.140625" style="35" customWidth="1"/>
    <col min="7933" max="7933" width="3.7109375" style="35" customWidth="1"/>
    <col min="7934" max="7934" width="3.57421875" style="35" customWidth="1"/>
    <col min="7935" max="7935" width="3.421875" style="35" customWidth="1"/>
    <col min="7936" max="7936" width="40.28125" style="35" customWidth="1"/>
    <col min="7937" max="7937" width="10.28125" style="35" customWidth="1"/>
    <col min="7938" max="7938" width="9.7109375" style="35" customWidth="1"/>
    <col min="7939" max="7941" width="10.57421875" style="35" customWidth="1"/>
    <col min="7942" max="7942" width="10.00390625" style="35" customWidth="1"/>
    <col min="7943" max="7944" width="9.140625" style="35" hidden="1" customWidth="1"/>
    <col min="7945" max="8188" width="9.140625" style="35" customWidth="1"/>
    <col min="8189" max="8189" width="3.7109375" style="35" customWidth="1"/>
    <col min="8190" max="8190" width="3.57421875" style="35" customWidth="1"/>
    <col min="8191" max="8191" width="3.421875" style="35" customWidth="1"/>
    <col min="8192" max="8192" width="40.28125" style="35" customWidth="1"/>
    <col min="8193" max="8193" width="10.28125" style="35" customWidth="1"/>
    <col min="8194" max="8194" width="9.7109375" style="35" customWidth="1"/>
    <col min="8195" max="8197" width="10.57421875" style="35" customWidth="1"/>
    <col min="8198" max="8198" width="10.00390625" style="35" customWidth="1"/>
    <col min="8199" max="8200" width="9.140625" style="35" hidden="1" customWidth="1"/>
    <col min="8201" max="8444" width="9.140625" style="35" customWidth="1"/>
    <col min="8445" max="8445" width="3.7109375" style="35" customWidth="1"/>
    <col min="8446" max="8446" width="3.57421875" style="35" customWidth="1"/>
    <col min="8447" max="8447" width="3.421875" style="35" customWidth="1"/>
    <col min="8448" max="8448" width="40.28125" style="35" customWidth="1"/>
    <col min="8449" max="8449" width="10.28125" style="35" customWidth="1"/>
    <col min="8450" max="8450" width="9.7109375" style="35" customWidth="1"/>
    <col min="8451" max="8453" width="10.57421875" style="35" customWidth="1"/>
    <col min="8454" max="8454" width="10.00390625" style="35" customWidth="1"/>
    <col min="8455" max="8456" width="9.140625" style="35" hidden="1" customWidth="1"/>
    <col min="8457" max="8700" width="9.140625" style="35" customWidth="1"/>
    <col min="8701" max="8701" width="3.7109375" style="35" customWidth="1"/>
    <col min="8702" max="8702" width="3.57421875" style="35" customWidth="1"/>
    <col min="8703" max="8703" width="3.421875" style="35" customWidth="1"/>
    <col min="8704" max="8704" width="40.28125" style="35" customWidth="1"/>
    <col min="8705" max="8705" width="10.28125" style="35" customWidth="1"/>
    <col min="8706" max="8706" width="9.7109375" style="35" customWidth="1"/>
    <col min="8707" max="8709" width="10.57421875" style="35" customWidth="1"/>
    <col min="8710" max="8710" width="10.00390625" style="35" customWidth="1"/>
    <col min="8711" max="8712" width="9.140625" style="35" hidden="1" customWidth="1"/>
    <col min="8713" max="8956" width="9.140625" style="35" customWidth="1"/>
    <col min="8957" max="8957" width="3.7109375" style="35" customWidth="1"/>
    <col min="8958" max="8958" width="3.57421875" style="35" customWidth="1"/>
    <col min="8959" max="8959" width="3.421875" style="35" customWidth="1"/>
    <col min="8960" max="8960" width="40.28125" style="35" customWidth="1"/>
    <col min="8961" max="8961" width="10.28125" style="35" customWidth="1"/>
    <col min="8962" max="8962" width="9.7109375" style="35" customWidth="1"/>
    <col min="8963" max="8965" width="10.57421875" style="35" customWidth="1"/>
    <col min="8966" max="8966" width="10.00390625" style="35" customWidth="1"/>
    <col min="8967" max="8968" width="9.140625" style="35" hidden="1" customWidth="1"/>
    <col min="8969" max="9212" width="9.140625" style="35" customWidth="1"/>
    <col min="9213" max="9213" width="3.7109375" style="35" customWidth="1"/>
    <col min="9214" max="9214" width="3.57421875" style="35" customWidth="1"/>
    <col min="9215" max="9215" width="3.421875" style="35" customWidth="1"/>
    <col min="9216" max="9216" width="40.28125" style="35" customWidth="1"/>
    <col min="9217" max="9217" width="10.28125" style="35" customWidth="1"/>
    <col min="9218" max="9218" width="9.7109375" style="35" customWidth="1"/>
    <col min="9219" max="9221" width="10.57421875" style="35" customWidth="1"/>
    <col min="9222" max="9222" width="10.00390625" style="35" customWidth="1"/>
    <col min="9223" max="9224" width="9.140625" style="35" hidden="1" customWidth="1"/>
    <col min="9225" max="9468" width="9.140625" style="35" customWidth="1"/>
    <col min="9469" max="9469" width="3.7109375" style="35" customWidth="1"/>
    <col min="9470" max="9470" width="3.57421875" style="35" customWidth="1"/>
    <col min="9471" max="9471" width="3.421875" style="35" customWidth="1"/>
    <col min="9472" max="9472" width="40.28125" style="35" customWidth="1"/>
    <col min="9473" max="9473" width="10.28125" style="35" customWidth="1"/>
    <col min="9474" max="9474" width="9.7109375" style="35" customWidth="1"/>
    <col min="9475" max="9477" width="10.57421875" style="35" customWidth="1"/>
    <col min="9478" max="9478" width="10.00390625" style="35" customWidth="1"/>
    <col min="9479" max="9480" width="9.140625" style="35" hidden="1" customWidth="1"/>
    <col min="9481" max="9724" width="9.140625" style="35" customWidth="1"/>
    <col min="9725" max="9725" width="3.7109375" style="35" customWidth="1"/>
    <col min="9726" max="9726" width="3.57421875" style="35" customWidth="1"/>
    <col min="9727" max="9727" width="3.421875" style="35" customWidth="1"/>
    <col min="9728" max="9728" width="40.28125" style="35" customWidth="1"/>
    <col min="9729" max="9729" width="10.28125" style="35" customWidth="1"/>
    <col min="9730" max="9730" width="9.7109375" style="35" customWidth="1"/>
    <col min="9731" max="9733" width="10.57421875" style="35" customWidth="1"/>
    <col min="9734" max="9734" width="10.00390625" style="35" customWidth="1"/>
    <col min="9735" max="9736" width="9.140625" style="35" hidden="1" customWidth="1"/>
    <col min="9737" max="9980" width="9.140625" style="35" customWidth="1"/>
    <col min="9981" max="9981" width="3.7109375" style="35" customWidth="1"/>
    <col min="9982" max="9982" width="3.57421875" style="35" customWidth="1"/>
    <col min="9983" max="9983" width="3.421875" style="35" customWidth="1"/>
    <col min="9984" max="9984" width="40.28125" style="35" customWidth="1"/>
    <col min="9985" max="9985" width="10.28125" style="35" customWidth="1"/>
    <col min="9986" max="9986" width="9.7109375" style="35" customWidth="1"/>
    <col min="9987" max="9989" width="10.57421875" style="35" customWidth="1"/>
    <col min="9990" max="9990" width="10.00390625" style="35" customWidth="1"/>
    <col min="9991" max="9992" width="9.140625" style="35" hidden="1" customWidth="1"/>
    <col min="9993" max="10236" width="9.140625" style="35" customWidth="1"/>
    <col min="10237" max="10237" width="3.7109375" style="35" customWidth="1"/>
    <col min="10238" max="10238" width="3.57421875" style="35" customWidth="1"/>
    <col min="10239" max="10239" width="3.421875" style="35" customWidth="1"/>
    <col min="10240" max="10240" width="40.28125" style="35" customWidth="1"/>
    <col min="10241" max="10241" width="10.28125" style="35" customWidth="1"/>
    <col min="10242" max="10242" width="9.7109375" style="35" customWidth="1"/>
    <col min="10243" max="10245" width="10.57421875" style="35" customWidth="1"/>
    <col min="10246" max="10246" width="10.00390625" style="35" customWidth="1"/>
    <col min="10247" max="10248" width="9.140625" style="35" hidden="1" customWidth="1"/>
    <col min="10249" max="10492" width="9.140625" style="35" customWidth="1"/>
    <col min="10493" max="10493" width="3.7109375" style="35" customWidth="1"/>
    <col min="10494" max="10494" width="3.57421875" style="35" customWidth="1"/>
    <col min="10495" max="10495" width="3.421875" style="35" customWidth="1"/>
    <col min="10496" max="10496" width="40.28125" style="35" customWidth="1"/>
    <col min="10497" max="10497" width="10.28125" style="35" customWidth="1"/>
    <col min="10498" max="10498" width="9.7109375" style="35" customWidth="1"/>
    <col min="10499" max="10501" width="10.57421875" style="35" customWidth="1"/>
    <col min="10502" max="10502" width="10.00390625" style="35" customWidth="1"/>
    <col min="10503" max="10504" width="9.140625" style="35" hidden="1" customWidth="1"/>
    <col min="10505" max="10748" width="9.140625" style="35" customWidth="1"/>
    <col min="10749" max="10749" width="3.7109375" style="35" customWidth="1"/>
    <col min="10750" max="10750" width="3.57421875" style="35" customWidth="1"/>
    <col min="10751" max="10751" width="3.421875" style="35" customWidth="1"/>
    <col min="10752" max="10752" width="40.28125" style="35" customWidth="1"/>
    <col min="10753" max="10753" width="10.28125" style="35" customWidth="1"/>
    <col min="10754" max="10754" width="9.7109375" style="35" customWidth="1"/>
    <col min="10755" max="10757" width="10.57421875" style="35" customWidth="1"/>
    <col min="10758" max="10758" width="10.00390625" style="35" customWidth="1"/>
    <col min="10759" max="10760" width="9.140625" style="35" hidden="1" customWidth="1"/>
    <col min="10761" max="11004" width="9.140625" style="35" customWidth="1"/>
    <col min="11005" max="11005" width="3.7109375" style="35" customWidth="1"/>
    <col min="11006" max="11006" width="3.57421875" style="35" customWidth="1"/>
    <col min="11007" max="11007" width="3.421875" style="35" customWidth="1"/>
    <col min="11008" max="11008" width="40.28125" style="35" customWidth="1"/>
    <col min="11009" max="11009" width="10.28125" style="35" customWidth="1"/>
    <col min="11010" max="11010" width="9.7109375" style="35" customWidth="1"/>
    <col min="11011" max="11013" width="10.57421875" style="35" customWidth="1"/>
    <col min="11014" max="11014" width="10.00390625" style="35" customWidth="1"/>
    <col min="11015" max="11016" width="9.140625" style="35" hidden="1" customWidth="1"/>
    <col min="11017" max="11260" width="9.140625" style="35" customWidth="1"/>
    <col min="11261" max="11261" width="3.7109375" style="35" customWidth="1"/>
    <col min="11262" max="11262" width="3.57421875" style="35" customWidth="1"/>
    <col min="11263" max="11263" width="3.421875" style="35" customWidth="1"/>
    <col min="11264" max="11264" width="40.28125" style="35" customWidth="1"/>
    <col min="11265" max="11265" width="10.28125" style="35" customWidth="1"/>
    <col min="11266" max="11266" width="9.7109375" style="35" customWidth="1"/>
    <col min="11267" max="11269" width="10.57421875" style="35" customWidth="1"/>
    <col min="11270" max="11270" width="10.00390625" style="35" customWidth="1"/>
    <col min="11271" max="11272" width="9.140625" style="35" hidden="1" customWidth="1"/>
    <col min="11273" max="11516" width="9.140625" style="35" customWidth="1"/>
    <col min="11517" max="11517" width="3.7109375" style="35" customWidth="1"/>
    <col min="11518" max="11518" width="3.57421875" style="35" customWidth="1"/>
    <col min="11519" max="11519" width="3.421875" style="35" customWidth="1"/>
    <col min="11520" max="11520" width="40.28125" style="35" customWidth="1"/>
    <col min="11521" max="11521" width="10.28125" style="35" customWidth="1"/>
    <col min="11522" max="11522" width="9.7109375" style="35" customWidth="1"/>
    <col min="11523" max="11525" width="10.57421875" style="35" customWidth="1"/>
    <col min="11526" max="11526" width="10.00390625" style="35" customWidth="1"/>
    <col min="11527" max="11528" width="9.140625" style="35" hidden="1" customWidth="1"/>
    <col min="11529" max="11772" width="9.140625" style="35" customWidth="1"/>
    <col min="11773" max="11773" width="3.7109375" style="35" customWidth="1"/>
    <col min="11774" max="11774" width="3.57421875" style="35" customWidth="1"/>
    <col min="11775" max="11775" width="3.421875" style="35" customWidth="1"/>
    <col min="11776" max="11776" width="40.28125" style="35" customWidth="1"/>
    <col min="11777" max="11777" width="10.28125" style="35" customWidth="1"/>
    <col min="11778" max="11778" width="9.7109375" style="35" customWidth="1"/>
    <col min="11779" max="11781" width="10.57421875" style="35" customWidth="1"/>
    <col min="11782" max="11782" width="10.00390625" style="35" customWidth="1"/>
    <col min="11783" max="11784" width="9.140625" style="35" hidden="1" customWidth="1"/>
    <col min="11785" max="12028" width="9.140625" style="35" customWidth="1"/>
    <col min="12029" max="12029" width="3.7109375" style="35" customWidth="1"/>
    <col min="12030" max="12030" width="3.57421875" style="35" customWidth="1"/>
    <col min="12031" max="12031" width="3.421875" style="35" customWidth="1"/>
    <col min="12032" max="12032" width="40.28125" style="35" customWidth="1"/>
    <col min="12033" max="12033" width="10.28125" style="35" customWidth="1"/>
    <col min="12034" max="12034" width="9.7109375" style="35" customWidth="1"/>
    <col min="12035" max="12037" width="10.57421875" style="35" customWidth="1"/>
    <col min="12038" max="12038" width="10.00390625" style="35" customWidth="1"/>
    <col min="12039" max="12040" width="9.140625" style="35" hidden="1" customWidth="1"/>
    <col min="12041" max="12284" width="9.140625" style="35" customWidth="1"/>
    <col min="12285" max="12285" width="3.7109375" style="35" customWidth="1"/>
    <col min="12286" max="12286" width="3.57421875" style="35" customWidth="1"/>
    <col min="12287" max="12287" width="3.421875" style="35" customWidth="1"/>
    <col min="12288" max="12288" width="40.28125" style="35" customWidth="1"/>
    <col min="12289" max="12289" width="10.28125" style="35" customWidth="1"/>
    <col min="12290" max="12290" width="9.7109375" style="35" customWidth="1"/>
    <col min="12291" max="12293" width="10.57421875" style="35" customWidth="1"/>
    <col min="12294" max="12294" width="10.00390625" style="35" customWidth="1"/>
    <col min="12295" max="12296" width="9.140625" style="35" hidden="1" customWidth="1"/>
    <col min="12297" max="12540" width="9.140625" style="35" customWidth="1"/>
    <col min="12541" max="12541" width="3.7109375" style="35" customWidth="1"/>
    <col min="12542" max="12542" width="3.57421875" style="35" customWidth="1"/>
    <col min="12543" max="12543" width="3.421875" style="35" customWidth="1"/>
    <col min="12544" max="12544" width="40.28125" style="35" customWidth="1"/>
    <col min="12545" max="12545" width="10.28125" style="35" customWidth="1"/>
    <col min="12546" max="12546" width="9.7109375" style="35" customWidth="1"/>
    <col min="12547" max="12549" width="10.57421875" style="35" customWidth="1"/>
    <col min="12550" max="12550" width="10.00390625" style="35" customWidth="1"/>
    <col min="12551" max="12552" width="9.140625" style="35" hidden="1" customWidth="1"/>
    <col min="12553" max="12796" width="9.140625" style="35" customWidth="1"/>
    <col min="12797" max="12797" width="3.7109375" style="35" customWidth="1"/>
    <col min="12798" max="12798" width="3.57421875" style="35" customWidth="1"/>
    <col min="12799" max="12799" width="3.421875" style="35" customWidth="1"/>
    <col min="12800" max="12800" width="40.28125" style="35" customWidth="1"/>
    <col min="12801" max="12801" width="10.28125" style="35" customWidth="1"/>
    <col min="12802" max="12802" width="9.7109375" style="35" customWidth="1"/>
    <col min="12803" max="12805" width="10.57421875" style="35" customWidth="1"/>
    <col min="12806" max="12806" width="10.00390625" style="35" customWidth="1"/>
    <col min="12807" max="12808" width="9.140625" style="35" hidden="1" customWidth="1"/>
    <col min="12809" max="13052" width="9.140625" style="35" customWidth="1"/>
    <col min="13053" max="13053" width="3.7109375" style="35" customWidth="1"/>
    <col min="13054" max="13054" width="3.57421875" style="35" customWidth="1"/>
    <col min="13055" max="13055" width="3.421875" style="35" customWidth="1"/>
    <col min="13056" max="13056" width="40.28125" style="35" customWidth="1"/>
    <col min="13057" max="13057" width="10.28125" style="35" customWidth="1"/>
    <col min="13058" max="13058" width="9.7109375" style="35" customWidth="1"/>
    <col min="13059" max="13061" width="10.57421875" style="35" customWidth="1"/>
    <col min="13062" max="13062" width="10.00390625" style="35" customWidth="1"/>
    <col min="13063" max="13064" width="9.140625" style="35" hidden="1" customWidth="1"/>
    <col min="13065" max="13308" width="9.140625" style="35" customWidth="1"/>
    <col min="13309" max="13309" width="3.7109375" style="35" customWidth="1"/>
    <col min="13310" max="13310" width="3.57421875" style="35" customWidth="1"/>
    <col min="13311" max="13311" width="3.421875" style="35" customWidth="1"/>
    <col min="13312" max="13312" width="40.28125" style="35" customWidth="1"/>
    <col min="13313" max="13313" width="10.28125" style="35" customWidth="1"/>
    <col min="13314" max="13314" width="9.7109375" style="35" customWidth="1"/>
    <col min="13315" max="13317" width="10.57421875" style="35" customWidth="1"/>
    <col min="13318" max="13318" width="10.00390625" style="35" customWidth="1"/>
    <col min="13319" max="13320" width="9.140625" style="35" hidden="1" customWidth="1"/>
    <col min="13321" max="13564" width="9.140625" style="35" customWidth="1"/>
    <col min="13565" max="13565" width="3.7109375" style="35" customWidth="1"/>
    <col min="13566" max="13566" width="3.57421875" style="35" customWidth="1"/>
    <col min="13567" max="13567" width="3.421875" style="35" customWidth="1"/>
    <col min="13568" max="13568" width="40.28125" style="35" customWidth="1"/>
    <col min="13569" max="13569" width="10.28125" style="35" customWidth="1"/>
    <col min="13570" max="13570" width="9.7109375" style="35" customWidth="1"/>
    <col min="13571" max="13573" width="10.57421875" style="35" customWidth="1"/>
    <col min="13574" max="13574" width="10.00390625" style="35" customWidth="1"/>
    <col min="13575" max="13576" width="9.140625" style="35" hidden="1" customWidth="1"/>
    <col min="13577" max="13820" width="9.140625" style="35" customWidth="1"/>
    <col min="13821" max="13821" width="3.7109375" style="35" customWidth="1"/>
    <col min="13822" max="13822" width="3.57421875" style="35" customWidth="1"/>
    <col min="13823" max="13823" width="3.421875" style="35" customWidth="1"/>
    <col min="13824" max="13824" width="40.28125" style="35" customWidth="1"/>
    <col min="13825" max="13825" width="10.28125" style="35" customWidth="1"/>
    <col min="13826" max="13826" width="9.7109375" style="35" customWidth="1"/>
    <col min="13827" max="13829" width="10.57421875" style="35" customWidth="1"/>
    <col min="13830" max="13830" width="10.00390625" style="35" customWidth="1"/>
    <col min="13831" max="13832" width="9.140625" style="35" hidden="1" customWidth="1"/>
    <col min="13833" max="14076" width="9.140625" style="35" customWidth="1"/>
    <col min="14077" max="14077" width="3.7109375" style="35" customWidth="1"/>
    <col min="14078" max="14078" width="3.57421875" style="35" customWidth="1"/>
    <col min="14079" max="14079" width="3.421875" style="35" customWidth="1"/>
    <col min="14080" max="14080" width="40.28125" style="35" customWidth="1"/>
    <col min="14081" max="14081" width="10.28125" style="35" customWidth="1"/>
    <col min="14082" max="14082" width="9.7109375" style="35" customWidth="1"/>
    <col min="14083" max="14085" width="10.57421875" style="35" customWidth="1"/>
    <col min="14086" max="14086" width="10.00390625" style="35" customWidth="1"/>
    <col min="14087" max="14088" width="9.140625" style="35" hidden="1" customWidth="1"/>
    <col min="14089" max="14332" width="9.140625" style="35" customWidth="1"/>
    <col min="14333" max="14333" width="3.7109375" style="35" customWidth="1"/>
    <col min="14334" max="14334" width="3.57421875" style="35" customWidth="1"/>
    <col min="14335" max="14335" width="3.421875" style="35" customWidth="1"/>
    <col min="14336" max="14336" width="40.28125" style="35" customWidth="1"/>
    <col min="14337" max="14337" width="10.28125" style="35" customWidth="1"/>
    <col min="14338" max="14338" width="9.7109375" style="35" customWidth="1"/>
    <col min="14339" max="14341" width="10.57421875" style="35" customWidth="1"/>
    <col min="14342" max="14342" width="10.00390625" style="35" customWidth="1"/>
    <col min="14343" max="14344" width="9.140625" style="35" hidden="1" customWidth="1"/>
    <col min="14345" max="14588" width="9.140625" style="35" customWidth="1"/>
    <col min="14589" max="14589" width="3.7109375" style="35" customWidth="1"/>
    <col min="14590" max="14590" width="3.57421875" style="35" customWidth="1"/>
    <col min="14591" max="14591" width="3.421875" style="35" customWidth="1"/>
    <col min="14592" max="14592" width="40.28125" style="35" customWidth="1"/>
    <col min="14593" max="14593" width="10.28125" style="35" customWidth="1"/>
    <col min="14594" max="14594" width="9.7109375" style="35" customWidth="1"/>
    <col min="14595" max="14597" width="10.57421875" style="35" customWidth="1"/>
    <col min="14598" max="14598" width="10.00390625" style="35" customWidth="1"/>
    <col min="14599" max="14600" width="9.140625" style="35" hidden="1" customWidth="1"/>
    <col min="14601" max="14844" width="9.140625" style="35" customWidth="1"/>
    <col min="14845" max="14845" width="3.7109375" style="35" customWidth="1"/>
    <col min="14846" max="14846" width="3.57421875" style="35" customWidth="1"/>
    <col min="14847" max="14847" width="3.421875" style="35" customWidth="1"/>
    <col min="14848" max="14848" width="40.28125" style="35" customWidth="1"/>
    <col min="14849" max="14849" width="10.28125" style="35" customWidth="1"/>
    <col min="14850" max="14850" width="9.7109375" style="35" customWidth="1"/>
    <col min="14851" max="14853" width="10.57421875" style="35" customWidth="1"/>
    <col min="14854" max="14854" width="10.00390625" style="35" customWidth="1"/>
    <col min="14855" max="14856" width="9.140625" style="35" hidden="1" customWidth="1"/>
    <col min="14857" max="15100" width="9.140625" style="35" customWidth="1"/>
    <col min="15101" max="15101" width="3.7109375" style="35" customWidth="1"/>
    <col min="15102" max="15102" width="3.57421875" style="35" customWidth="1"/>
    <col min="15103" max="15103" width="3.421875" style="35" customWidth="1"/>
    <col min="15104" max="15104" width="40.28125" style="35" customWidth="1"/>
    <col min="15105" max="15105" width="10.28125" style="35" customWidth="1"/>
    <col min="15106" max="15106" width="9.7109375" style="35" customWidth="1"/>
    <col min="15107" max="15109" width="10.57421875" style="35" customWidth="1"/>
    <col min="15110" max="15110" width="10.00390625" style="35" customWidth="1"/>
    <col min="15111" max="15112" width="9.140625" style="35" hidden="1" customWidth="1"/>
    <col min="15113" max="15356" width="9.140625" style="35" customWidth="1"/>
    <col min="15357" max="15357" width="3.7109375" style="35" customWidth="1"/>
    <col min="15358" max="15358" width="3.57421875" style="35" customWidth="1"/>
    <col min="15359" max="15359" width="3.421875" style="35" customWidth="1"/>
    <col min="15360" max="15360" width="40.28125" style="35" customWidth="1"/>
    <col min="15361" max="15361" width="10.28125" style="35" customWidth="1"/>
    <col min="15362" max="15362" width="9.7109375" style="35" customWidth="1"/>
    <col min="15363" max="15365" width="10.57421875" style="35" customWidth="1"/>
    <col min="15366" max="15366" width="10.00390625" style="35" customWidth="1"/>
    <col min="15367" max="15368" width="9.140625" style="35" hidden="1" customWidth="1"/>
    <col min="15369" max="15612" width="9.140625" style="35" customWidth="1"/>
    <col min="15613" max="15613" width="3.7109375" style="35" customWidth="1"/>
    <col min="15614" max="15614" width="3.57421875" style="35" customWidth="1"/>
    <col min="15615" max="15615" width="3.421875" style="35" customWidth="1"/>
    <col min="15616" max="15616" width="40.28125" style="35" customWidth="1"/>
    <col min="15617" max="15617" width="10.28125" style="35" customWidth="1"/>
    <col min="15618" max="15618" width="9.7109375" style="35" customWidth="1"/>
    <col min="15619" max="15621" width="10.57421875" style="35" customWidth="1"/>
    <col min="15622" max="15622" width="10.00390625" style="35" customWidth="1"/>
    <col min="15623" max="15624" width="9.140625" style="35" hidden="1" customWidth="1"/>
    <col min="15625" max="15868" width="9.140625" style="35" customWidth="1"/>
    <col min="15869" max="15869" width="3.7109375" style="35" customWidth="1"/>
    <col min="15870" max="15870" width="3.57421875" style="35" customWidth="1"/>
    <col min="15871" max="15871" width="3.421875" style="35" customWidth="1"/>
    <col min="15872" max="15872" width="40.28125" style="35" customWidth="1"/>
    <col min="15873" max="15873" width="10.28125" style="35" customWidth="1"/>
    <col min="15874" max="15874" width="9.7109375" style="35" customWidth="1"/>
    <col min="15875" max="15877" width="10.57421875" style="35" customWidth="1"/>
    <col min="15878" max="15878" width="10.00390625" style="35" customWidth="1"/>
    <col min="15879" max="15880" width="9.140625" style="35" hidden="1" customWidth="1"/>
    <col min="15881" max="16124" width="9.140625" style="35" customWidth="1"/>
    <col min="16125" max="16125" width="3.7109375" style="35" customWidth="1"/>
    <col min="16126" max="16126" width="3.57421875" style="35" customWidth="1"/>
    <col min="16127" max="16127" width="3.421875" style="35" customWidth="1"/>
    <col min="16128" max="16128" width="40.28125" style="35" customWidth="1"/>
    <col min="16129" max="16129" width="10.28125" style="35" customWidth="1"/>
    <col min="16130" max="16130" width="9.7109375" style="35" customWidth="1"/>
    <col min="16131" max="16133" width="10.57421875" style="35" customWidth="1"/>
    <col min="16134" max="16134" width="10.00390625" style="35" customWidth="1"/>
    <col min="16135" max="16136" width="9.140625" style="35" hidden="1" customWidth="1"/>
    <col min="16137" max="16384" width="9.140625" style="35" customWidth="1"/>
  </cols>
  <sheetData>
    <row r="1" spans="1:16" ht="12.75">
      <c r="A1" s="491" t="s">
        <v>567</v>
      </c>
      <c r="B1" s="491"/>
      <c r="C1" s="491"/>
      <c r="D1" s="491"/>
      <c r="E1" s="491"/>
      <c r="F1" s="491"/>
      <c r="G1" s="491"/>
      <c r="H1" s="491"/>
      <c r="I1" s="491"/>
      <c r="J1" s="491"/>
      <c r="K1" s="491"/>
      <c r="L1" s="491"/>
      <c r="M1" s="491"/>
      <c r="N1" s="491"/>
      <c r="O1" s="491"/>
      <c r="P1" s="491"/>
    </row>
    <row r="2" spans="1:16" ht="12.75">
      <c r="A2" s="491" t="s">
        <v>568</v>
      </c>
      <c r="B2" s="491"/>
      <c r="C2" s="491"/>
      <c r="D2" s="491"/>
      <c r="E2" s="491"/>
      <c r="F2" s="491"/>
      <c r="G2" s="491"/>
      <c r="H2" s="491"/>
      <c r="I2" s="491"/>
      <c r="J2" s="491"/>
      <c r="K2" s="491"/>
      <c r="L2" s="491"/>
      <c r="M2" s="491"/>
      <c r="N2" s="491"/>
      <c r="O2" s="491"/>
      <c r="P2" s="491"/>
    </row>
    <row r="3" spans="1:18" ht="12.75">
      <c r="A3" s="492" t="s">
        <v>508</v>
      </c>
      <c r="B3" s="492"/>
      <c r="C3" s="492"/>
      <c r="D3" s="492"/>
      <c r="E3" s="492"/>
      <c r="F3" s="492"/>
      <c r="G3" s="492"/>
      <c r="H3" s="492"/>
      <c r="I3" s="492"/>
      <c r="J3" s="492"/>
      <c r="K3" s="492"/>
      <c r="L3" s="492"/>
      <c r="M3" s="492"/>
      <c r="N3" s="492"/>
      <c r="O3" s="492"/>
      <c r="P3" s="492"/>
      <c r="R3" s="171"/>
    </row>
    <row r="4" spans="1:18" ht="12.75">
      <c r="A4" s="237"/>
      <c r="B4" s="237"/>
      <c r="C4" s="237"/>
      <c r="D4" s="237"/>
      <c r="E4" s="237"/>
      <c r="F4" s="237"/>
      <c r="G4" s="237"/>
      <c r="H4" s="237"/>
      <c r="I4" s="237"/>
      <c r="J4" s="283"/>
      <c r="K4" s="283"/>
      <c r="L4" s="237"/>
      <c r="M4" s="237"/>
      <c r="N4" s="237"/>
      <c r="O4" s="237"/>
      <c r="P4" s="237"/>
      <c r="R4" s="171"/>
    </row>
    <row r="5" spans="5:18" ht="12.75">
      <c r="E5" s="490" t="s">
        <v>598</v>
      </c>
      <c r="F5" s="490"/>
      <c r="G5" s="490"/>
      <c r="H5" s="490"/>
      <c r="I5" s="490"/>
      <c r="J5" s="286" t="s">
        <v>599</v>
      </c>
      <c r="K5" s="490" t="s">
        <v>595</v>
      </c>
      <c r="L5" s="490"/>
      <c r="M5" s="189"/>
      <c r="N5" s="236"/>
      <c r="O5" s="145"/>
      <c r="P5" s="145"/>
      <c r="R5" s="171"/>
    </row>
    <row r="6" spans="5:18" ht="12.75">
      <c r="E6" s="236" t="s">
        <v>156</v>
      </c>
      <c r="F6" s="236" t="s">
        <v>157</v>
      </c>
      <c r="G6" s="236" t="s">
        <v>158</v>
      </c>
      <c r="H6" s="236" t="s">
        <v>159</v>
      </c>
      <c r="I6" s="180" t="s">
        <v>160</v>
      </c>
      <c r="J6" s="180" t="s">
        <v>161</v>
      </c>
      <c r="K6" s="180" t="s">
        <v>249</v>
      </c>
      <c r="L6" s="236" t="s">
        <v>250</v>
      </c>
      <c r="M6" s="236"/>
      <c r="N6" s="188" t="s">
        <v>251</v>
      </c>
      <c r="O6" s="188"/>
      <c r="P6" s="190" t="s">
        <v>252</v>
      </c>
      <c r="R6" s="171"/>
    </row>
    <row r="7" spans="1:18" ht="12.75">
      <c r="A7" s="144"/>
      <c r="B7" s="144"/>
      <c r="C7" s="144"/>
      <c r="D7" s="144"/>
      <c r="E7" s="191">
        <v>2018</v>
      </c>
      <c r="F7" s="191">
        <v>2019</v>
      </c>
      <c r="G7" s="191">
        <v>2020</v>
      </c>
      <c r="H7" s="191">
        <v>2021</v>
      </c>
      <c r="I7" s="191">
        <v>2022</v>
      </c>
      <c r="J7" s="191">
        <v>2023</v>
      </c>
      <c r="K7" s="191">
        <f>+'Income Statement Cash Flows'!E6</f>
        <v>2024</v>
      </c>
      <c r="L7" s="188">
        <f>+K7+1</f>
        <v>2025</v>
      </c>
      <c r="M7" s="188"/>
      <c r="N7" s="188" t="s">
        <v>566</v>
      </c>
      <c r="O7" s="188"/>
      <c r="P7" s="188" t="s">
        <v>597</v>
      </c>
      <c r="R7" s="171"/>
    </row>
    <row r="8" spans="1:18" ht="12.75">
      <c r="A8" s="144">
        <v>1</v>
      </c>
      <c r="B8" s="144" t="s">
        <v>569</v>
      </c>
      <c r="C8" s="144"/>
      <c r="D8" s="144"/>
      <c r="E8" s="238">
        <v>241464</v>
      </c>
      <c r="F8" s="238">
        <v>241275.50762000002</v>
      </c>
      <c r="G8" s="238">
        <v>249983.11178</v>
      </c>
      <c r="H8" s="238">
        <v>250077</v>
      </c>
      <c r="I8" s="238">
        <v>267114.66484</v>
      </c>
      <c r="J8" s="238">
        <v>266695.722</v>
      </c>
      <c r="K8" s="238">
        <f>+'Modeling results'!B8</f>
        <v>274777</v>
      </c>
      <c r="L8" s="238">
        <f>+'Modeling results'!C8</f>
        <v>274820</v>
      </c>
      <c r="M8" s="144"/>
      <c r="N8" s="144"/>
      <c r="O8" s="144"/>
      <c r="P8" s="142"/>
      <c r="R8" s="171"/>
    </row>
    <row r="9" spans="1:16" ht="12.75">
      <c r="A9" s="144">
        <v>2</v>
      </c>
      <c r="B9" s="144" t="s">
        <v>570</v>
      </c>
      <c r="C9" s="144"/>
      <c r="D9" s="144"/>
      <c r="E9" s="238"/>
      <c r="F9" s="238"/>
      <c r="G9" s="238"/>
      <c r="H9" s="238"/>
      <c r="I9" s="238"/>
      <c r="J9" s="238"/>
      <c r="K9" s="239"/>
      <c r="L9" s="239"/>
      <c r="M9" s="240"/>
      <c r="N9" s="144"/>
      <c r="O9" s="144"/>
      <c r="P9" s="142"/>
    </row>
    <row r="10" spans="1:19" ht="12.75">
      <c r="A10" s="144">
        <v>3</v>
      </c>
      <c r="C10" s="144" t="s">
        <v>575</v>
      </c>
      <c r="D10" s="144"/>
      <c r="E10" s="238">
        <v>0</v>
      </c>
      <c r="F10" s="238">
        <v>0</v>
      </c>
      <c r="G10" s="238">
        <v>0</v>
      </c>
      <c r="H10" s="238">
        <v>0</v>
      </c>
      <c r="I10" s="238">
        <v>0</v>
      </c>
      <c r="J10" s="238">
        <v>0</v>
      </c>
      <c r="K10" s="238">
        <f>+'Modeling results'!B11</f>
        <v>0</v>
      </c>
      <c r="L10" s="238">
        <f>+'Modeling results'!C11</f>
        <v>0</v>
      </c>
      <c r="M10" s="144"/>
      <c r="N10" s="241">
        <f>AVERAGE(K10:L10)</f>
        <v>0</v>
      </c>
      <c r="O10" s="52" t="s">
        <v>349</v>
      </c>
      <c r="P10" s="142">
        <f>+N10-L10</f>
        <v>0</v>
      </c>
      <c r="R10" s="142"/>
      <c r="S10" s="142"/>
    </row>
    <row r="11" spans="1:19" ht="12.75">
      <c r="A11" s="144">
        <v>4</v>
      </c>
      <c r="C11" s="143" t="s">
        <v>578</v>
      </c>
      <c r="D11" s="144"/>
      <c r="E11" s="238">
        <v>-20380</v>
      </c>
      <c r="F11" s="238">
        <v>-37867.225450000005</v>
      </c>
      <c r="G11" s="238">
        <v>-45312.664880000004</v>
      </c>
      <c r="H11" s="238">
        <v>-56798</v>
      </c>
      <c r="I11" s="238">
        <v>-62569.91241</v>
      </c>
      <c r="J11" s="238">
        <v>0</v>
      </c>
      <c r="K11" s="238">
        <v>0</v>
      </c>
      <c r="L11" s="238">
        <v>0</v>
      </c>
      <c r="M11" s="52" t="s">
        <v>229</v>
      </c>
      <c r="N11" s="144"/>
      <c r="O11" s="144"/>
      <c r="P11" s="142"/>
      <c r="R11" s="142"/>
      <c r="S11" s="142"/>
    </row>
    <row r="12" spans="1:16" ht="12.75">
      <c r="A12" s="144">
        <v>5</v>
      </c>
      <c r="B12" s="144"/>
      <c r="C12" s="144" t="s">
        <v>572</v>
      </c>
      <c r="D12" s="144"/>
      <c r="E12" s="238">
        <v>413829</v>
      </c>
      <c r="F12" s="238">
        <v>457894.43601999996</v>
      </c>
      <c r="G12" s="238">
        <v>260962.28031</v>
      </c>
      <c r="H12" s="238">
        <v>311753</v>
      </c>
      <c r="I12" s="238">
        <v>275176.44397</v>
      </c>
      <c r="J12" s="238">
        <v>305498.99999</v>
      </c>
      <c r="K12" s="239">
        <f>+'cost table'!D5</f>
        <v>296476.71202000004</v>
      </c>
      <c r="L12" s="239">
        <f>+'cost table'!E5</f>
        <v>351132.89699000004</v>
      </c>
      <c r="M12" s="52" t="s">
        <v>350</v>
      </c>
      <c r="N12" s="241">
        <f>AVERAGE(K12:L12)</f>
        <v>323804.804505</v>
      </c>
      <c r="O12" s="52" t="s">
        <v>349</v>
      </c>
      <c r="P12" s="142">
        <f>+N12-L12</f>
        <v>-27328.09248500003</v>
      </c>
    </row>
    <row r="13" spans="1:19" ht="12.75">
      <c r="A13" s="144">
        <v>6</v>
      </c>
      <c r="C13" s="144" t="s">
        <v>577</v>
      </c>
      <c r="D13" s="144"/>
      <c r="E13" s="238">
        <v>0</v>
      </c>
      <c r="F13" s="238">
        <v>0</v>
      </c>
      <c r="G13" s="238">
        <v>0</v>
      </c>
      <c r="H13" s="238">
        <v>0</v>
      </c>
      <c r="I13" s="238">
        <v>0</v>
      </c>
      <c r="J13" s="238">
        <v>0</v>
      </c>
      <c r="K13" s="238">
        <v>0</v>
      </c>
      <c r="L13" s="238">
        <v>0</v>
      </c>
      <c r="M13" s="144"/>
      <c r="N13" s="144"/>
      <c r="O13" s="144"/>
      <c r="P13" s="142"/>
      <c r="R13" s="142"/>
      <c r="S13" s="142"/>
    </row>
    <row r="14" spans="1:19" ht="12.75">
      <c r="A14" s="144">
        <v>7</v>
      </c>
      <c r="C14" s="417" t="s">
        <v>576</v>
      </c>
      <c r="D14" s="144"/>
      <c r="E14" s="238">
        <v>20072</v>
      </c>
      <c r="F14" s="238">
        <v>20862.78796</v>
      </c>
      <c r="G14" s="238">
        <v>12045.1907</v>
      </c>
      <c r="H14" s="238">
        <v>12890.248300000001</v>
      </c>
      <c r="I14" s="238">
        <v>16448.66645</v>
      </c>
      <c r="J14" s="238">
        <v>18110.43098</v>
      </c>
      <c r="K14" s="242">
        <f>SUM('cost table'!D9:D12)</f>
        <v>16036.311029999999</v>
      </c>
      <c r="L14" s="242">
        <f>SUM('cost table'!E9:E12)</f>
        <v>17123.25702</v>
      </c>
      <c r="M14" s="52" t="s">
        <v>350</v>
      </c>
      <c r="N14" s="144"/>
      <c r="O14" s="144"/>
      <c r="P14" s="142"/>
      <c r="R14" s="142"/>
      <c r="S14" s="142"/>
    </row>
    <row r="15" spans="1:19" ht="12.75">
      <c r="A15" s="144">
        <v>8</v>
      </c>
      <c r="B15" s="144"/>
      <c r="C15" s="144" t="s">
        <v>74</v>
      </c>
      <c r="D15" s="144"/>
      <c r="E15" s="238">
        <v>2970</v>
      </c>
      <c r="F15" s="238">
        <v>2921.5617</v>
      </c>
      <c r="G15" s="238">
        <v>2710.8552999999997</v>
      </c>
      <c r="H15" s="238">
        <v>2965</v>
      </c>
      <c r="I15" s="238">
        <v>2763.58333</v>
      </c>
      <c r="J15" s="238">
        <v>2691.0000099999997</v>
      </c>
      <c r="K15" s="238">
        <f>+'cost table'!D17</f>
        <v>3099.9999799999996</v>
      </c>
      <c r="L15" s="238">
        <f>+'cost table'!E17</f>
        <v>3099.9999900000003</v>
      </c>
      <c r="M15" s="144"/>
      <c r="N15" s="144"/>
      <c r="O15" s="144"/>
      <c r="P15" s="142"/>
      <c r="R15" s="142"/>
      <c r="S15" s="142"/>
    </row>
    <row r="16" spans="1:19" ht="12.75">
      <c r="A16" s="144">
        <v>9</v>
      </c>
      <c r="B16" s="144"/>
      <c r="C16" s="143" t="s">
        <v>574</v>
      </c>
      <c r="D16" s="144"/>
      <c r="E16" s="238">
        <v>29909</v>
      </c>
      <c r="F16" s="238">
        <v>41087.46</v>
      </c>
      <c r="G16" s="238">
        <v>0</v>
      </c>
      <c r="H16" s="238">
        <v>0</v>
      </c>
      <c r="I16" s="238">
        <v>0</v>
      </c>
      <c r="J16" s="238">
        <v>0</v>
      </c>
      <c r="K16" s="238">
        <f>+'Modeling results'!B14</f>
        <v>111870</v>
      </c>
      <c r="L16" s="238">
        <f>+'Modeling results'!C14</f>
        <v>200414</v>
      </c>
      <c r="M16" s="144"/>
      <c r="N16" s="144"/>
      <c r="O16" s="144"/>
      <c r="P16" s="142"/>
      <c r="R16" s="142"/>
      <c r="S16" s="142"/>
    </row>
    <row r="17" spans="1:19" ht="12.75">
      <c r="A17" s="144">
        <v>10</v>
      </c>
      <c r="C17" s="144" t="s">
        <v>81</v>
      </c>
      <c r="D17" s="144"/>
      <c r="E17" s="238">
        <v>34692</v>
      </c>
      <c r="F17" s="238">
        <v>35865.08215</v>
      </c>
      <c r="G17" s="238">
        <v>34226.77755</v>
      </c>
      <c r="H17" s="238">
        <v>30326</v>
      </c>
      <c r="I17" s="238">
        <v>26387.209219999997</v>
      </c>
      <c r="J17" s="238">
        <v>29466.999600000003</v>
      </c>
      <c r="K17" s="238">
        <f>'IPR Data'!C26/1000</f>
        <v>25967</v>
      </c>
      <c r="L17" s="238">
        <f>'IPR Data'!D26/1000</f>
        <v>26767.000010000003</v>
      </c>
      <c r="M17" s="52"/>
      <c r="N17" s="144"/>
      <c r="O17" s="144"/>
      <c r="P17" s="142"/>
      <c r="R17" s="142"/>
      <c r="S17" s="142"/>
    </row>
    <row r="18" spans="1:19" ht="12.75">
      <c r="A18" s="144">
        <v>11</v>
      </c>
      <c r="B18" s="144"/>
      <c r="C18" s="144" t="s">
        <v>573</v>
      </c>
      <c r="D18" s="144"/>
      <c r="E18" s="238">
        <v>147860</v>
      </c>
      <c r="F18" s="238">
        <v>292278.98796999996</v>
      </c>
      <c r="G18" s="238">
        <v>166775.72813</v>
      </c>
      <c r="H18" s="238">
        <v>302146</v>
      </c>
      <c r="I18" s="238">
        <v>418766.80176999996</v>
      </c>
      <c r="J18" s="238">
        <v>60055.312</v>
      </c>
      <c r="K18" s="238">
        <f>+'Modeling results'!B12+'Modeling results'!B13</f>
        <v>80601</v>
      </c>
      <c r="L18" s="238">
        <f>+'Modeling results'!C12+'Modeling results'!C13</f>
        <v>70802</v>
      </c>
      <c r="M18" s="144"/>
      <c r="N18" s="144"/>
      <c r="O18" s="144"/>
      <c r="P18" s="142"/>
      <c r="R18" s="142"/>
      <c r="S18" s="142"/>
    </row>
    <row r="19" spans="1:16" ht="12.75">
      <c r="A19" s="144">
        <v>12</v>
      </c>
      <c r="B19" s="144"/>
      <c r="C19" s="144" t="s">
        <v>571</v>
      </c>
      <c r="D19" s="144"/>
      <c r="E19" s="238">
        <v>-36</v>
      </c>
      <c r="F19" s="238">
        <v>277.74834000000004</v>
      </c>
      <c r="G19" s="238">
        <v>714.97766</v>
      </c>
      <c r="H19" s="238">
        <v>417</v>
      </c>
      <c r="I19" s="238">
        <v>1570.82312</v>
      </c>
      <c r="J19" s="238">
        <v>1199.99999</v>
      </c>
      <c r="K19" s="238">
        <f>+'cost table'!D15</f>
        <v>1199.9999599999999</v>
      </c>
      <c r="L19" s="238">
        <f>+'cost table'!E15</f>
        <v>1199.99999</v>
      </c>
      <c r="N19" s="144"/>
      <c r="O19" s="144"/>
      <c r="P19" s="142"/>
    </row>
    <row r="20" spans="1:16" ht="12.75">
      <c r="A20" s="144">
        <v>13</v>
      </c>
      <c r="B20" s="144"/>
      <c r="C20" s="144" t="s">
        <v>193</v>
      </c>
      <c r="D20" s="144"/>
      <c r="E20" s="238">
        <v>40599</v>
      </c>
      <c r="F20" s="238">
        <v>41501.63918</v>
      </c>
      <c r="G20" s="238">
        <v>1144.24995</v>
      </c>
      <c r="H20" s="238">
        <v>1051</v>
      </c>
      <c r="I20" s="238">
        <v>1070.49987</v>
      </c>
      <c r="J20" s="238">
        <v>1175</v>
      </c>
      <c r="K20" s="239">
        <f>+'cost table'!D16</f>
        <v>1140.99997</v>
      </c>
      <c r="L20" s="239">
        <f>+'cost table'!E16</f>
        <v>1175.0000399999997</v>
      </c>
      <c r="M20" s="52" t="s">
        <v>350</v>
      </c>
      <c r="N20" s="144"/>
      <c r="O20" s="144"/>
      <c r="P20" s="142"/>
    </row>
    <row r="21" spans="1:16" ht="12.75">
      <c r="A21" s="144">
        <v>14</v>
      </c>
      <c r="B21" s="144"/>
      <c r="C21" s="144" t="s">
        <v>197</v>
      </c>
      <c r="D21" s="144"/>
      <c r="E21" s="243">
        <v>55816</v>
      </c>
      <c r="F21" s="243">
        <v>43751.699329999996</v>
      </c>
      <c r="G21" s="243">
        <v>0</v>
      </c>
      <c r="H21" s="243">
        <v>0</v>
      </c>
      <c r="I21" s="243">
        <v>0</v>
      </c>
      <c r="J21" s="243">
        <v>0</v>
      </c>
      <c r="K21" s="243">
        <v>0</v>
      </c>
      <c r="L21" s="243">
        <v>0</v>
      </c>
      <c r="M21" s="52" t="s">
        <v>350</v>
      </c>
      <c r="N21" s="144"/>
      <c r="O21" s="144"/>
      <c r="P21" s="142"/>
    </row>
    <row r="22" spans="1:19" ht="12.75">
      <c r="A22" s="144">
        <v>15</v>
      </c>
      <c r="B22" s="144" t="s">
        <v>579</v>
      </c>
      <c r="C22" s="144"/>
      <c r="D22" s="144"/>
      <c r="E22" s="243">
        <v>725331</v>
      </c>
      <c r="F22" s="243">
        <v>898574.1771999998</v>
      </c>
      <c r="G22" s="243">
        <v>433267.39472</v>
      </c>
      <c r="H22" s="243">
        <f>SUM(H10:H21)</f>
        <v>604750.2483</v>
      </c>
      <c r="I22" s="243">
        <f aca="true" t="shared" si="0" ref="I22:K22">SUM(I10:I21)</f>
        <v>679614.11532</v>
      </c>
      <c r="J22" s="243">
        <f t="shared" si="0"/>
        <v>418197.74256999994</v>
      </c>
      <c r="K22" s="243">
        <f t="shared" si="0"/>
        <v>536392.0229600001</v>
      </c>
      <c r="L22" s="243">
        <f>SUM(L10:L21)</f>
        <v>671714.15404</v>
      </c>
      <c r="M22" s="144"/>
      <c r="N22" s="25"/>
      <c r="O22" s="144"/>
      <c r="P22" s="142"/>
      <c r="R22" s="142"/>
      <c r="S22" s="142"/>
    </row>
    <row r="23" spans="1:19" ht="12.75">
      <c r="A23" s="144">
        <v>16</v>
      </c>
      <c r="B23" s="144" t="s">
        <v>580</v>
      </c>
      <c r="C23" s="144"/>
      <c r="D23" s="144"/>
      <c r="E23" s="238">
        <v>966795</v>
      </c>
      <c r="F23" s="238">
        <v>1139849.6848199998</v>
      </c>
      <c r="G23" s="238">
        <v>683250.5065</v>
      </c>
      <c r="H23" s="238">
        <f>H22+H8</f>
        <v>854827.2483</v>
      </c>
      <c r="I23" s="238">
        <f>I22+I8</f>
        <v>946728.78016</v>
      </c>
      <c r="J23" s="238">
        <f>J22+J8</f>
        <v>684893.46457</v>
      </c>
      <c r="K23" s="238">
        <f>K22+K8</f>
        <v>811169.0229600001</v>
      </c>
      <c r="L23" s="238">
        <f>L22+L8</f>
        <v>946534.15404</v>
      </c>
      <c r="M23" s="144"/>
      <c r="N23" s="241">
        <f>+N10+N12</f>
        <v>323804.804505</v>
      </c>
      <c r="O23" s="52" t="s">
        <v>349</v>
      </c>
      <c r="P23" s="182">
        <f>+P10+P12</f>
        <v>-27328.09248500003</v>
      </c>
      <c r="R23" s="142"/>
      <c r="S23" s="142"/>
    </row>
    <row r="24" spans="2:19" ht="12.75">
      <c r="B24" s="144"/>
      <c r="D24" s="144"/>
      <c r="E24" s="238"/>
      <c r="F24" s="238"/>
      <c r="G24" s="238"/>
      <c r="H24" s="238"/>
      <c r="I24" s="238"/>
      <c r="J24" s="238"/>
      <c r="K24" s="238"/>
      <c r="L24" s="238"/>
      <c r="M24" s="144"/>
      <c r="N24" s="144"/>
      <c r="O24" s="144"/>
      <c r="P24" s="144"/>
      <c r="R24" s="142"/>
      <c r="S24" s="142"/>
    </row>
    <row r="25" spans="1:19" ht="12.75">
      <c r="A25" s="144">
        <v>17</v>
      </c>
      <c r="B25" s="144" t="s">
        <v>581</v>
      </c>
      <c r="C25" s="144"/>
      <c r="D25" s="144"/>
      <c r="E25" s="238"/>
      <c r="F25" s="238"/>
      <c r="G25" s="238"/>
      <c r="H25" s="238"/>
      <c r="I25" s="238"/>
      <c r="J25" s="238"/>
      <c r="K25" s="238"/>
      <c r="L25" s="238"/>
      <c r="M25" s="144"/>
      <c r="N25" s="144"/>
      <c r="O25" s="144"/>
      <c r="P25" s="144"/>
      <c r="R25" s="142"/>
      <c r="S25" s="142"/>
    </row>
    <row r="26" spans="1:19" ht="12.75">
      <c r="A26" s="144">
        <v>18</v>
      </c>
      <c r="B26" s="144"/>
      <c r="C26" s="144" t="s">
        <v>582</v>
      </c>
      <c r="D26" s="144"/>
      <c r="E26" s="238">
        <v>20601</v>
      </c>
      <c r="F26" s="238">
        <v>21088.36902</v>
      </c>
      <c r="G26" s="238">
        <v>13495.78926</v>
      </c>
      <c r="H26" s="238">
        <v>15736</v>
      </c>
      <c r="I26" s="238">
        <v>18181.17945</v>
      </c>
      <c r="J26" s="238">
        <v>17414.761</v>
      </c>
      <c r="K26" s="238">
        <f>+'IPR Data'!C65/1000</f>
        <v>19309.92302</v>
      </c>
      <c r="L26" s="238">
        <f>+'IPR Data'!D65/1000</f>
        <v>19843.87101</v>
      </c>
      <c r="M26" s="144"/>
      <c r="N26" s="144"/>
      <c r="O26" s="144"/>
      <c r="P26" s="144"/>
      <c r="R26" s="142"/>
      <c r="S26" s="142"/>
    </row>
    <row r="27" spans="1:16" ht="12.75">
      <c r="A27" s="144">
        <v>19</v>
      </c>
      <c r="B27" s="144"/>
      <c r="C27" s="143" t="s">
        <v>591</v>
      </c>
      <c r="D27" s="144"/>
      <c r="E27" s="238">
        <v>-1</v>
      </c>
      <c r="F27" s="238">
        <v>15.99545</v>
      </c>
      <c r="G27" s="238">
        <v>6.39241</v>
      </c>
      <c r="H27" s="238">
        <v>-16</v>
      </c>
      <c r="I27" s="238">
        <v>0</v>
      </c>
      <c r="J27" s="238">
        <v>0</v>
      </c>
      <c r="K27" s="238">
        <v>0</v>
      </c>
      <c r="L27" s="238">
        <v>0</v>
      </c>
      <c r="M27" s="144"/>
      <c r="N27" s="144"/>
      <c r="O27" s="144"/>
      <c r="P27" s="144"/>
    </row>
    <row r="28" spans="1:16" ht="12.75">
      <c r="A28" s="144">
        <v>20</v>
      </c>
      <c r="B28" s="144"/>
      <c r="C28" s="143" t="s">
        <v>3</v>
      </c>
      <c r="D28" s="144"/>
      <c r="E28" s="238">
        <v>152613</v>
      </c>
      <c r="F28" s="238">
        <v>161137.601</v>
      </c>
      <c r="G28" s="238">
        <v>152611.81</v>
      </c>
      <c r="H28" s="238">
        <v>150170</v>
      </c>
      <c r="I28" s="238">
        <v>147237.784</v>
      </c>
      <c r="J28" s="238">
        <v>152963.00003999998</v>
      </c>
      <c r="K28" s="238">
        <f>+'cost table'!D6</f>
        <v>154364.00003</v>
      </c>
      <c r="L28" s="238">
        <f>+'cost table'!E6</f>
        <v>157217.99998999998</v>
      </c>
      <c r="M28" s="144"/>
      <c r="N28" s="144"/>
      <c r="O28" s="144"/>
      <c r="P28" s="144"/>
    </row>
    <row r="29" spans="1:16" ht="12.75">
      <c r="A29" s="144">
        <v>21</v>
      </c>
      <c r="B29" s="144"/>
      <c r="C29" s="143" t="s">
        <v>590</v>
      </c>
      <c r="D29" s="144"/>
      <c r="E29" s="238">
        <v>20219</v>
      </c>
      <c r="F29" s="238">
        <v>19642.95236</v>
      </c>
      <c r="G29" s="238">
        <v>17585.78404</v>
      </c>
      <c r="H29" s="238">
        <v>19434</v>
      </c>
      <c r="I29" s="238">
        <v>19783.38596</v>
      </c>
      <c r="J29" s="238">
        <v>21999.999989999997</v>
      </c>
      <c r="K29" s="238">
        <f>+'cost table'!D13</f>
        <v>22000</v>
      </c>
      <c r="L29" s="238">
        <f>+'cost table'!E13</f>
        <v>22000.000009999996</v>
      </c>
      <c r="M29" s="144"/>
      <c r="N29" s="144"/>
      <c r="O29" s="144"/>
      <c r="P29" s="144"/>
    </row>
    <row r="30" spans="1:16" ht="12.75">
      <c r="A30" s="144">
        <v>22</v>
      </c>
      <c r="B30" s="144"/>
      <c r="C30" s="143" t="s">
        <v>4</v>
      </c>
      <c r="D30" s="144"/>
      <c r="E30" s="238">
        <v>245100</v>
      </c>
      <c r="F30" s="238">
        <v>253007.41599999988</v>
      </c>
      <c r="G30" s="238">
        <v>240297.81900000008</v>
      </c>
      <c r="H30" s="238">
        <v>236477</v>
      </c>
      <c r="I30" s="238">
        <v>251009.12199999997</v>
      </c>
      <c r="J30" s="238">
        <v>256175.755</v>
      </c>
      <c r="K30" s="238">
        <f>+'cost table'!D7+'IPR Data'!C82</f>
        <v>274495.18707</v>
      </c>
      <c r="L30" s="238">
        <f>+'cost table'!E7+'IPR Data'!D82</f>
        <v>281198.26102</v>
      </c>
      <c r="M30" s="144"/>
      <c r="N30" s="144" t="s">
        <v>827</v>
      </c>
      <c r="O30" s="144"/>
      <c r="P30" s="144"/>
    </row>
    <row r="31" spans="1:16" ht="12.75">
      <c r="A31" s="144">
        <v>23</v>
      </c>
      <c r="B31" s="144"/>
      <c r="C31" s="143" t="s">
        <v>587</v>
      </c>
      <c r="D31" s="144"/>
      <c r="E31" s="238">
        <v>248031</v>
      </c>
      <c r="F31" s="238">
        <v>228539.90288000013</v>
      </c>
      <c r="G31" s="238">
        <v>226236.25752999997</v>
      </c>
      <c r="H31" s="238">
        <v>241109</v>
      </c>
      <c r="I31" s="238">
        <v>234970.90568000005</v>
      </c>
      <c r="J31" s="238">
        <v>244918.88413999998</v>
      </c>
      <c r="K31" s="238">
        <f>+'cost table'!D60</f>
        <v>269234.6472800001</v>
      </c>
      <c r="L31" s="238">
        <f>+'cost table'!E60</f>
        <v>268865.20195</v>
      </c>
      <c r="M31" s="144"/>
      <c r="N31" s="144"/>
      <c r="O31" s="144"/>
      <c r="P31" s="144"/>
    </row>
    <row r="32" spans="1:16" ht="12.75">
      <c r="A32" s="144">
        <v>24</v>
      </c>
      <c r="B32" s="144"/>
      <c r="C32" s="415" t="s">
        <v>589</v>
      </c>
      <c r="D32" s="241"/>
      <c r="E32" s="238">
        <v>59978</v>
      </c>
      <c r="F32" s="238">
        <v>63600.470369999995</v>
      </c>
      <c r="G32" s="238">
        <v>62124.59109</v>
      </c>
      <c r="H32" s="238">
        <v>76253.08854000001</v>
      </c>
      <c r="I32" s="238">
        <v>86821.80531</v>
      </c>
      <c r="J32" s="238">
        <v>85921.76225999999</v>
      </c>
      <c r="K32" s="238">
        <f>+'IPR Data'!C72/1000</f>
        <v>93583.03250000003</v>
      </c>
      <c r="L32" s="238">
        <f>+'IPR Data'!D72/1000</f>
        <v>96489.55585</v>
      </c>
      <c r="M32" s="144"/>
      <c r="N32" s="144"/>
      <c r="O32" s="144"/>
      <c r="P32" s="144"/>
    </row>
    <row r="33" spans="1:16" ht="12.75">
      <c r="A33" s="144">
        <v>25</v>
      </c>
      <c r="B33" s="144"/>
      <c r="C33" s="413" t="s">
        <v>586</v>
      </c>
      <c r="D33" s="144"/>
      <c r="E33" s="238">
        <v>128166</v>
      </c>
      <c r="F33" s="238">
        <v>105764.43406</v>
      </c>
      <c r="G33" s="238">
        <v>106086.87485000001</v>
      </c>
      <c r="H33" s="238">
        <v>114985.13953</v>
      </c>
      <c r="I33" s="238">
        <v>95085.17031</v>
      </c>
      <c r="J33" s="238">
        <v>113351.80000999999</v>
      </c>
      <c r="K33" s="238">
        <f>SUM('IPR Data'!C36/1000)</f>
        <v>113681.31301000001</v>
      </c>
      <c r="L33" s="238">
        <f>SUM('IPR Data'!D36/1000)</f>
        <v>113743.61806000002</v>
      </c>
      <c r="M33" s="144"/>
      <c r="N33" s="144"/>
      <c r="O33" s="144"/>
      <c r="P33" s="144"/>
    </row>
    <row r="34" spans="1:16" ht="12.75">
      <c r="A34" s="144">
        <v>26</v>
      </c>
      <c r="B34" s="144"/>
      <c r="C34" s="143" t="s">
        <v>592</v>
      </c>
      <c r="D34" s="144"/>
      <c r="E34" s="238">
        <v>-416</v>
      </c>
      <c r="F34" s="238">
        <v>-594.89572</v>
      </c>
      <c r="G34" s="238">
        <v>-343.93828</v>
      </c>
      <c r="H34" s="238">
        <v>-2232</v>
      </c>
      <c r="I34" s="238">
        <v>-1014.11428</v>
      </c>
      <c r="J34" s="238">
        <v>0</v>
      </c>
      <c r="K34" s="238">
        <f>+'cost table'!D69</f>
        <v>0</v>
      </c>
      <c r="L34" s="238">
        <f>+'cost table'!E69</f>
        <v>0</v>
      </c>
      <c r="M34" s="52"/>
      <c r="N34" s="144"/>
      <c r="O34" s="144"/>
      <c r="P34" s="144"/>
    </row>
    <row r="35" spans="1:16" ht="12.75">
      <c r="A35" s="144">
        <v>27</v>
      </c>
      <c r="B35" s="144"/>
      <c r="C35" s="143" t="s">
        <v>37</v>
      </c>
      <c r="D35" s="144"/>
      <c r="E35" s="238">
        <v>10969</v>
      </c>
      <c r="F35" s="238">
        <v>11275</v>
      </c>
      <c r="G35" s="238">
        <v>11180</v>
      </c>
      <c r="H35" s="238">
        <v>10985</v>
      </c>
      <c r="I35" s="238">
        <v>11941.8</v>
      </c>
      <c r="J35" s="238">
        <v>11982.999960000001</v>
      </c>
      <c r="K35" s="238">
        <f>+'cost table'!D62</f>
        <v>11942</v>
      </c>
      <c r="L35" s="238">
        <f>+'cost table'!E62</f>
        <v>11941.999989999998</v>
      </c>
      <c r="M35" s="144"/>
      <c r="N35" s="144"/>
      <c r="O35" s="144"/>
      <c r="P35" s="144"/>
    </row>
    <row r="36" spans="1:19" ht="12.75">
      <c r="A36" s="144">
        <v>28</v>
      </c>
      <c r="B36" s="144"/>
      <c r="C36" s="411" t="s">
        <v>583</v>
      </c>
      <c r="D36" s="144"/>
      <c r="E36" s="238">
        <v>48009</v>
      </c>
      <c r="F36" s="238">
        <v>46223.59241</v>
      </c>
      <c r="G36" s="238">
        <v>56346.29493</v>
      </c>
      <c r="H36" s="238">
        <v>45709.25064</v>
      </c>
      <c r="I36" s="238">
        <v>39474.761049999994</v>
      </c>
      <c r="J36" s="238">
        <v>46629.15511</v>
      </c>
      <c r="K36" s="238">
        <f>SUM('cost table'!D52:D59)+'cost table'!D30+'cost table'!D25+'cost table'!D27</f>
        <v>55851.95933</v>
      </c>
      <c r="L36" s="238">
        <f>SUM('cost table'!E52:E59)+'cost table'!E30+'cost table'!E25+'cost table'!E27</f>
        <v>56077.04755000001</v>
      </c>
      <c r="M36" s="144"/>
      <c r="N36" s="144"/>
      <c r="O36" s="144"/>
      <c r="P36" s="144"/>
      <c r="R36" s="142"/>
      <c r="S36" s="142"/>
    </row>
    <row r="37" spans="1:16" ht="12.75">
      <c r="A37" s="144">
        <v>29</v>
      </c>
      <c r="B37" s="144"/>
      <c r="C37" s="412" t="s">
        <v>585</v>
      </c>
      <c r="D37" s="144"/>
      <c r="E37" s="238">
        <v>14012</v>
      </c>
      <c r="F37" s="238">
        <v>15623.63464</v>
      </c>
      <c r="G37" s="238">
        <v>16769.98082</v>
      </c>
      <c r="H37" s="238">
        <v>17128.044560000002</v>
      </c>
      <c r="I37" s="238">
        <v>18146.86302</v>
      </c>
      <c r="J37" s="238">
        <v>18798.7214</v>
      </c>
      <c r="K37" s="238">
        <f>SUM('cost table'!D50:D51)</f>
        <v>19243.87388</v>
      </c>
      <c r="L37" s="238">
        <f>SUM('cost table'!E50:E51)</f>
        <v>20047.23828</v>
      </c>
      <c r="M37" s="144"/>
      <c r="N37" s="144"/>
      <c r="O37" s="144"/>
      <c r="P37" s="144"/>
    </row>
    <row r="38" spans="1:19" ht="12.75">
      <c r="A38" s="144">
        <v>30</v>
      </c>
      <c r="B38" s="144"/>
      <c r="C38" s="414" t="s">
        <v>584</v>
      </c>
      <c r="D38" s="144"/>
      <c r="E38" s="238">
        <v>8173</v>
      </c>
      <c r="F38" s="238">
        <v>8755.179290000002</v>
      </c>
      <c r="G38" s="238">
        <v>4860.6874800000005</v>
      </c>
      <c r="H38" s="238">
        <v>3716.66746</v>
      </c>
      <c r="I38" s="238">
        <v>3795.8615499999996</v>
      </c>
      <c r="J38" s="238">
        <v>4764.06492</v>
      </c>
      <c r="K38" s="238">
        <f>SUM('cost table'!D45:D49)</f>
        <v>7427.663379999999</v>
      </c>
      <c r="L38" s="238">
        <f>SUM('cost table'!E45:E49)</f>
        <v>7676.542269999999</v>
      </c>
      <c r="M38" s="144"/>
      <c r="N38" s="144"/>
      <c r="O38" s="144"/>
      <c r="P38" s="144"/>
      <c r="R38" s="142"/>
      <c r="S38" s="142"/>
    </row>
    <row r="39" spans="1:16" ht="12.75">
      <c r="A39" s="144">
        <v>31</v>
      </c>
      <c r="B39" s="144"/>
      <c r="C39" s="143" t="s">
        <v>825</v>
      </c>
      <c r="D39" s="144"/>
      <c r="E39" s="238">
        <v>0</v>
      </c>
      <c r="F39" s="238">
        <v>0</v>
      </c>
      <c r="G39" s="238">
        <v>0</v>
      </c>
      <c r="H39" s="238">
        <v>5500</v>
      </c>
      <c r="I39" s="238">
        <v>4945.84696</v>
      </c>
      <c r="J39" s="238">
        <v>5500</v>
      </c>
      <c r="K39" s="238">
        <f>+'IPR Data'!C15/1000</f>
        <v>5749.25004</v>
      </c>
      <c r="L39" s="238">
        <f>+'IPR Data'!D15/1000</f>
        <v>5500</v>
      </c>
      <c r="M39" s="144"/>
      <c r="N39" s="144"/>
      <c r="O39" s="144"/>
      <c r="P39" s="144"/>
    </row>
    <row r="40" spans="1:16" ht="12.75">
      <c r="A40" s="144">
        <v>32</v>
      </c>
      <c r="B40" s="144"/>
      <c r="C40" s="416" t="s">
        <v>588</v>
      </c>
      <c r="D40" s="144"/>
      <c r="E40" s="238">
        <v>201595</v>
      </c>
      <c r="F40" s="238">
        <v>168641.11268000002</v>
      </c>
      <c r="G40" s="238">
        <v>178712.70321</v>
      </c>
      <c r="H40" s="238">
        <v>166793.45145999998</v>
      </c>
      <c r="I40" s="238">
        <v>211713.33538</v>
      </c>
      <c r="J40" s="238">
        <v>197163.56698000003</v>
      </c>
      <c r="K40" s="238">
        <f>'Revised Revenue Test'!E20</f>
        <v>209421.28199</v>
      </c>
      <c r="L40" s="238">
        <f>'Revised Revenue Test'!F20</f>
        <v>210125.79898000002</v>
      </c>
      <c r="M40" s="144"/>
      <c r="N40" s="144"/>
      <c r="O40" s="282"/>
      <c r="P40" s="144"/>
    </row>
    <row r="41" spans="1:16" ht="12.75">
      <c r="A41" s="144">
        <v>33</v>
      </c>
      <c r="B41" s="144"/>
      <c r="C41" s="143" t="s">
        <v>869</v>
      </c>
      <c r="D41" s="144"/>
      <c r="E41" s="243">
        <v>31392</v>
      </c>
      <c r="F41" s="243">
        <v>26793.644</v>
      </c>
      <c r="G41" s="243">
        <v>31852.091</v>
      </c>
      <c r="H41" s="243">
        <v>30749</v>
      </c>
      <c r="I41" s="243">
        <v>32993.366</v>
      </c>
      <c r="J41" s="243">
        <v>29000</v>
      </c>
      <c r="K41" s="243">
        <f>+'IPR Data'!C61/1000</f>
        <v>32765.000010000003</v>
      </c>
      <c r="L41" s="243">
        <f>+'IPR Data'!D61/1000</f>
        <v>32764.99998</v>
      </c>
      <c r="M41" s="144"/>
      <c r="N41" s="144"/>
      <c r="O41" s="144"/>
      <c r="P41" s="144"/>
    </row>
    <row r="42" spans="1:16" ht="12.75">
      <c r="A42" s="144">
        <v>34</v>
      </c>
      <c r="B42" s="144" t="s">
        <v>593</v>
      </c>
      <c r="C42" s="144"/>
      <c r="D42" s="144"/>
      <c r="E42" s="238">
        <v>1188441</v>
      </c>
      <c r="F42" s="238">
        <v>1129514.40844</v>
      </c>
      <c r="G42" s="238">
        <v>1117823.1373400004</v>
      </c>
      <c r="H42" s="238">
        <f>SUM(H26:H41)</f>
        <v>1132497.64219</v>
      </c>
      <c r="I42" s="238">
        <f>SUM(I26:I41)</f>
        <v>1175087.07239</v>
      </c>
      <c r="J42" s="238">
        <f>SUM(J26:J41)</f>
        <v>1206584.4708100003</v>
      </c>
      <c r="K42" s="238">
        <f>SUM(K26:K41)</f>
        <v>1289069.13154</v>
      </c>
      <c r="L42" s="238">
        <f>SUM(L26:L41)</f>
        <v>1303492.1349400003</v>
      </c>
      <c r="M42" s="144"/>
      <c r="N42" s="25"/>
      <c r="O42" s="144"/>
      <c r="P42" s="144"/>
    </row>
    <row r="43" spans="2:16" ht="12.75">
      <c r="B43" s="144"/>
      <c r="C43" s="144"/>
      <c r="D43" s="144"/>
      <c r="E43" s="238"/>
      <c r="F43" s="238"/>
      <c r="G43" s="238"/>
      <c r="H43" s="238"/>
      <c r="I43" s="238"/>
      <c r="J43" s="238"/>
      <c r="K43" s="238"/>
      <c r="L43" s="25"/>
      <c r="M43" s="144"/>
      <c r="N43" s="25"/>
      <c r="O43" s="144"/>
      <c r="P43" s="144"/>
    </row>
    <row r="44" spans="1:16" ht="12.75">
      <c r="A44" s="144">
        <f>+A42+1</f>
        <v>35</v>
      </c>
      <c r="B44" s="144" t="s">
        <v>594</v>
      </c>
      <c r="C44" s="144"/>
      <c r="D44" s="144"/>
      <c r="E44" s="25">
        <v>2155236</v>
      </c>
      <c r="F44" s="25">
        <v>2269364.09326</v>
      </c>
      <c r="G44" s="25">
        <v>1801073.6438400005</v>
      </c>
      <c r="H44" s="25">
        <f>H23+H42</f>
        <v>1987324.8904900001</v>
      </c>
      <c r="I44" s="25">
        <f>I23+I42</f>
        <v>2121815.85255</v>
      </c>
      <c r="J44" s="25">
        <f>J23+J42</f>
        <v>1891477.9353800002</v>
      </c>
      <c r="K44" s="238">
        <f>K23+K42</f>
        <v>2100238.1545</v>
      </c>
      <c r="L44" s="25">
        <f>L23+L42</f>
        <v>2250026.28898</v>
      </c>
      <c r="M44" s="144"/>
      <c r="N44" s="25"/>
      <c r="O44" s="144"/>
      <c r="P44" s="144"/>
    </row>
    <row r="45" spans="1:9" ht="12.75" hidden="1">
      <c r="A45" s="144"/>
      <c r="E45" s="25"/>
      <c r="F45" s="25"/>
      <c r="G45" s="238"/>
      <c r="H45" s="238"/>
      <c r="I45" s="238"/>
    </row>
    <row r="46" spans="1:9" ht="12.75" hidden="1">
      <c r="A46" s="144"/>
      <c r="E46" s="25"/>
      <c r="F46" s="25"/>
      <c r="G46" s="238"/>
      <c r="H46" s="238"/>
      <c r="I46" s="238"/>
    </row>
    <row r="47" spans="1:9" ht="12.75">
      <c r="A47" s="144"/>
      <c r="E47" s="25"/>
      <c r="F47" s="25"/>
      <c r="G47" s="238"/>
      <c r="H47" s="238"/>
      <c r="I47" s="238"/>
    </row>
    <row r="48" spans="1:11" ht="20.25" customHeight="1">
      <c r="A48" s="245" t="s">
        <v>229</v>
      </c>
      <c r="B48" s="35" t="s">
        <v>596</v>
      </c>
      <c r="G48" s="35"/>
      <c r="H48" s="35"/>
      <c r="I48" s="35"/>
      <c r="J48" s="35"/>
      <c r="K48" s="35"/>
    </row>
    <row r="49" spans="1:12" ht="41.25" customHeight="1">
      <c r="A49" s="245" t="s">
        <v>349</v>
      </c>
      <c r="B49" s="489" t="s">
        <v>826</v>
      </c>
      <c r="C49" s="489"/>
      <c r="D49" s="489"/>
      <c r="E49" s="489"/>
      <c r="F49" s="489"/>
      <c r="G49" s="489"/>
      <c r="H49" s="489"/>
      <c r="I49" s="489"/>
      <c r="J49" s="489"/>
      <c r="K49" s="489"/>
      <c r="L49" s="489"/>
    </row>
    <row r="50" spans="1:12" ht="28.5" customHeight="1">
      <c r="A50" s="245" t="s">
        <v>350</v>
      </c>
      <c r="B50" s="489" t="s">
        <v>870</v>
      </c>
      <c r="C50" s="489"/>
      <c r="D50" s="489"/>
      <c r="E50" s="489"/>
      <c r="F50" s="489"/>
      <c r="G50" s="489"/>
      <c r="H50" s="489"/>
      <c r="I50" s="489"/>
      <c r="J50" s="489"/>
      <c r="K50" s="489"/>
      <c r="L50" s="489"/>
    </row>
    <row r="51" ht="12.75">
      <c r="A51" s="244"/>
    </row>
    <row r="52" ht="12.75">
      <c r="A52" s="244"/>
    </row>
  </sheetData>
  <mergeCells count="7">
    <mergeCell ref="B50:L50"/>
    <mergeCell ref="B49:L49"/>
    <mergeCell ref="K5:L5"/>
    <mergeCell ref="A1:P1"/>
    <mergeCell ref="A2:P2"/>
    <mergeCell ref="A3:P3"/>
    <mergeCell ref="E5:I5"/>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2:AD146"/>
  <sheetViews>
    <sheetView zoomScale="98" zoomScaleNormal="98" workbookViewId="0" topLeftCell="A82">
      <selection activeCell="F121" sqref="F121"/>
    </sheetView>
  </sheetViews>
  <sheetFormatPr defaultColWidth="9.140625" defaultRowHeight="12.75"/>
  <cols>
    <col min="1" max="1" width="5.140625" style="146" customWidth="1"/>
    <col min="2" max="2" width="39.421875" style="0" customWidth="1"/>
    <col min="3" max="3" width="12.28125" style="0" bestFit="1" customWidth="1"/>
    <col min="4" max="4" width="11.57421875" style="0" bestFit="1" customWidth="1"/>
    <col min="5" max="5" width="13.140625" style="0" customWidth="1"/>
    <col min="6" max="9" width="11.57421875" style="0" bestFit="1" customWidth="1"/>
    <col min="10" max="10" width="11.421875" style="0" customWidth="1"/>
    <col min="11" max="11" width="11.57421875" style="0" customWidth="1"/>
    <col min="12" max="13" width="11.8515625" style="0" customWidth="1"/>
    <col min="14" max="15" width="11.7109375" style="0" bestFit="1" customWidth="1"/>
    <col min="16" max="19" width="13.28125" style="0" bestFit="1" customWidth="1"/>
    <col min="20" max="20" width="10.28125" style="0" bestFit="1" customWidth="1"/>
    <col min="21" max="26" width="11.00390625" style="0" bestFit="1" customWidth="1"/>
  </cols>
  <sheetData>
    <row r="2" spans="2:8" ht="12.75">
      <c r="B2" s="7" t="s">
        <v>154</v>
      </c>
      <c r="C2" s="8"/>
      <c r="D2" s="8"/>
      <c r="E2" s="8"/>
      <c r="F2" s="8"/>
      <c r="G2" s="8"/>
      <c r="H2" s="8"/>
    </row>
    <row r="3" spans="2:8" ht="12.75">
      <c r="B3" s="7" t="s">
        <v>246</v>
      </c>
      <c r="C3" s="8"/>
      <c r="D3" s="8"/>
      <c r="E3" s="8"/>
      <c r="F3" s="8"/>
      <c r="G3" s="8"/>
      <c r="H3" s="8"/>
    </row>
    <row r="4" spans="7:29" ht="12.75">
      <c r="G4" s="15"/>
      <c r="S4" s="28"/>
      <c r="T4" s="28"/>
      <c r="Z4" s="17"/>
      <c r="AA4" s="17"/>
      <c r="AB4" s="17"/>
      <c r="AC4" s="28"/>
    </row>
    <row r="5" spans="3:8" ht="12.75">
      <c r="C5" s="9" t="s">
        <v>156</v>
      </c>
      <c r="D5" s="9" t="s">
        <v>157</v>
      </c>
      <c r="E5" s="9" t="s">
        <v>158</v>
      </c>
      <c r="F5" s="9" t="s">
        <v>159</v>
      </c>
      <c r="G5" s="9" t="s">
        <v>160</v>
      </c>
      <c r="H5" s="9" t="s">
        <v>161</v>
      </c>
    </row>
    <row r="6" spans="3:26" ht="12.75">
      <c r="C6" s="10">
        <v>2024</v>
      </c>
      <c r="D6" s="10">
        <f>+C6+1</f>
        <v>2025</v>
      </c>
      <c r="E6" s="10">
        <f aca="true" t="shared" si="0" ref="E6:Q6">+D6+1</f>
        <v>2026</v>
      </c>
      <c r="F6" s="10">
        <f t="shared" si="0"/>
        <v>2027</v>
      </c>
      <c r="G6" s="10">
        <f t="shared" si="0"/>
        <v>2028</v>
      </c>
      <c r="H6" s="10">
        <f t="shared" si="0"/>
        <v>2029</v>
      </c>
      <c r="I6" s="10">
        <f t="shared" si="0"/>
        <v>2030</v>
      </c>
      <c r="J6" s="10">
        <f t="shared" si="0"/>
        <v>2031</v>
      </c>
      <c r="K6" s="10">
        <f t="shared" si="0"/>
        <v>2032</v>
      </c>
      <c r="L6" s="10">
        <f t="shared" si="0"/>
        <v>2033</v>
      </c>
      <c r="M6" s="10">
        <f t="shared" si="0"/>
        <v>2034</v>
      </c>
      <c r="N6" s="10">
        <f t="shared" si="0"/>
        <v>2035</v>
      </c>
      <c r="O6" s="10">
        <f t="shared" si="0"/>
        <v>2036</v>
      </c>
      <c r="P6" s="10">
        <f t="shared" si="0"/>
        <v>2037</v>
      </c>
      <c r="Q6" s="10">
        <f t="shared" si="0"/>
        <v>2038</v>
      </c>
      <c r="R6" s="10"/>
      <c r="S6" s="10"/>
      <c r="T6" s="10"/>
      <c r="U6" s="10"/>
      <c r="V6" s="10"/>
      <c r="W6" s="10"/>
      <c r="X6" s="10"/>
      <c r="Y6" s="10"/>
      <c r="Z6" s="10"/>
    </row>
    <row r="7" spans="1:27" ht="18.75" customHeight="1">
      <c r="A7" s="147">
        <v>1</v>
      </c>
      <c r="B7" s="203" t="s">
        <v>675</v>
      </c>
      <c r="C7" s="4">
        <v>586596.31878</v>
      </c>
      <c r="D7" s="4">
        <f>+C7</f>
        <v>586596.31878</v>
      </c>
      <c r="E7" s="4">
        <f aca="true" t="shared" si="1" ref="E7:Q7">+D7</f>
        <v>586596.31878</v>
      </c>
      <c r="F7" s="4">
        <f t="shared" si="1"/>
        <v>586596.31878</v>
      </c>
      <c r="G7" s="4">
        <f t="shared" si="1"/>
        <v>586596.31878</v>
      </c>
      <c r="H7" s="4">
        <f t="shared" si="1"/>
        <v>586596.31878</v>
      </c>
      <c r="I7" s="4">
        <f t="shared" si="1"/>
        <v>586596.31878</v>
      </c>
      <c r="J7" s="4">
        <f t="shared" si="1"/>
        <v>586596.31878</v>
      </c>
      <c r="K7" s="4">
        <f t="shared" si="1"/>
        <v>586596.31878</v>
      </c>
      <c r="L7" s="4">
        <f t="shared" si="1"/>
        <v>586596.31878</v>
      </c>
      <c r="M7" s="4">
        <f t="shared" si="1"/>
        <v>586596.31878</v>
      </c>
      <c r="N7" s="4">
        <f t="shared" si="1"/>
        <v>586596.31878</v>
      </c>
      <c r="O7" s="4">
        <f t="shared" si="1"/>
        <v>586596.31878</v>
      </c>
      <c r="P7" s="4">
        <f t="shared" si="1"/>
        <v>586596.31878</v>
      </c>
      <c r="Q7" s="4">
        <f t="shared" si="1"/>
        <v>586596.31878</v>
      </c>
      <c r="R7" s="4"/>
      <c r="S7" s="4"/>
      <c r="T7" s="4"/>
      <c r="U7" s="4"/>
      <c r="V7" s="4"/>
      <c r="W7" s="4"/>
      <c r="X7" s="4"/>
      <c r="Y7" s="4"/>
      <c r="Z7" s="4"/>
      <c r="AA7">
        <v>1.5507858622548927</v>
      </c>
    </row>
    <row r="8" spans="1:27" s="15" customFormat="1" ht="12.75">
      <c r="A8" s="147">
        <v>2</v>
      </c>
      <c r="B8" s="13" t="s">
        <v>162</v>
      </c>
      <c r="C8" s="100">
        <f>+C131</f>
        <v>0.0038769646556372317</v>
      </c>
      <c r="D8" s="100">
        <f aca="true" t="shared" si="2" ref="D8:Q8">+D131</f>
        <v>0.00545431846319251</v>
      </c>
      <c r="E8" s="100">
        <f t="shared" si="2"/>
        <v>0.006549265833247787</v>
      </c>
      <c r="F8" s="100">
        <f t="shared" si="2"/>
        <v>0.007205668958247788</v>
      </c>
      <c r="G8" s="100">
        <f t="shared" si="2"/>
        <v>0.007404207551997788</v>
      </c>
      <c r="H8" s="100">
        <f t="shared" si="2"/>
        <v>0.007422896926997788</v>
      </c>
      <c r="I8" s="100">
        <f t="shared" si="2"/>
        <v>0.007413465833247788</v>
      </c>
      <c r="J8" s="100">
        <f t="shared" si="2"/>
        <v>0.007408185833247788</v>
      </c>
      <c r="K8" s="100">
        <f t="shared" si="2"/>
        <v>0.007405775989497787</v>
      </c>
      <c r="L8" s="100">
        <f t="shared" si="2"/>
        <v>0.007405312395747788</v>
      </c>
      <c r="M8" s="100">
        <f t="shared" si="2"/>
        <v>0.007405312395747788</v>
      </c>
      <c r="N8" s="100">
        <f t="shared" si="2"/>
        <v>0.007405312395747788</v>
      </c>
      <c r="O8" s="100">
        <f t="shared" si="2"/>
        <v>0.007405312395747788</v>
      </c>
      <c r="P8" s="100">
        <f t="shared" si="2"/>
        <v>0.007405312395747788</v>
      </c>
      <c r="Q8" s="100">
        <f t="shared" si="2"/>
        <v>0.007405312395747788</v>
      </c>
      <c r="S8" s="168"/>
      <c r="AA8" s="15">
        <v>2.181727385277004</v>
      </c>
    </row>
    <row r="9" spans="1:27" ht="25.5" customHeight="1">
      <c r="A9" s="147">
        <v>3</v>
      </c>
      <c r="B9" s="202" t="s">
        <v>676</v>
      </c>
      <c r="C9" s="12">
        <f>-C7*C8</f>
        <v>-2274.2131950369703</v>
      </c>
      <c r="D9" s="12">
        <f>-D7*D8</f>
        <v>-3199.483131962513</v>
      </c>
      <c r="E9" s="12">
        <f>-E7*E8</f>
        <v>-3841.775228494781</v>
      </c>
      <c r="F9" s="12">
        <f aca="true" t="shared" si="3" ref="F9:Q9">-F7*F8</f>
        <v>-4226.8188852554695</v>
      </c>
      <c r="G9" s="12">
        <f t="shared" si="3"/>
        <v>-4343.280893484978</v>
      </c>
      <c r="H9" s="12">
        <f t="shared" si="3"/>
        <v>-4354.244012060276</v>
      </c>
      <c r="I9" s="12">
        <f t="shared" si="3"/>
        <v>-4348.711767184457</v>
      </c>
      <c r="J9" s="12">
        <f t="shared" si="3"/>
        <v>-4345.614538621299</v>
      </c>
      <c r="K9" s="12">
        <f t="shared" si="3"/>
        <v>-4344.200933148713</v>
      </c>
      <c r="L9" s="12">
        <f t="shared" si="3"/>
        <v>-4343.928990761555</v>
      </c>
      <c r="M9" s="12">
        <f>-M7*M8</f>
        <v>-4343.928990761555</v>
      </c>
      <c r="N9" s="12">
        <f t="shared" si="3"/>
        <v>-4343.928990761555</v>
      </c>
      <c r="O9" s="12">
        <f t="shared" si="3"/>
        <v>-4343.928990761555</v>
      </c>
      <c r="P9" s="12">
        <f t="shared" si="3"/>
        <v>-4343.928990761555</v>
      </c>
      <c r="Q9" s="12">
        <f t="shared" si="3"/>
        <v>-4343.928990761555</v>
      </c>
      <c r="R9" s="12"/>
      <c r="S9" s="12"/>
      <c r="T9" s="12"/>
      <c r="U9" s="12"/>
      <c r="V9" s="12"/>
      <c r="W9" s="12"/>
      <c r="X9" s="12"/>
      <c r="Y9" s="12"/>
      <c r="Z9" s="12"/>
      <c r="AA9">
        <v>2.619706333299115</v>
      </c>
    </row>
    <row r="10" spans="1:27" ht="12.75">
      <c r="A10" s="147">
        <v>4</v>
      </c>
      <c r="B10" s="11" t="s">
        <v>163</v>
      </c>
      <c r="C10" s="12">
        <f>-C38</f>
        <v>-3417.796754691189</v>
      </c>
      <c r="D10" s="12">
        <f aca="true" t="shared" si="4" ref="D10:Q10">-D38</f>
        <v>-5774.6588958380635</v>
      </c>
      <c r="E10" s="12" t="e">
        <f>-E38</f>
        <v>#REF!</v>
      </c>
      <c r="F10" s="12" t="e">
        <f t="shared" si="4"/>
        <v>#REF!</v>
      </c>
      <c r="G10" s="12" t="e">
        <f t="shared" si="4"/>
        <v>#REF!</v>
      </c>
      <c r="H10" s="12" t="e">
        <f t="shared" si="4"/>
        <v>#REF!</v>
      </c>
      <c r="I10" s="12" t="e">
        <f t="shared" si="4"/>
        <v>#REF!</v>
      </c>
      <c r="J10" s="12" t="e">
        <f t="shared" si="4"/>
        <v>#REF!</v>
      </c>
      <c r="K10" s="12" t="e">
        <f t="shared" si="4"/>
        <v>#REF!</v>
      </c>
      <c r="L10" s="12" t="e">
        <f t="shared" si="4"/>
        <v>#REF!</v>
      </c>
      <c r="M10" s="12" t="e">
        <f t="shared" si="4"/>
        <v>#REF!</v>
      </c>
      <c r="N10" s="12" t="e">
        <f t="shared" si="4"/>
        <v>#REF!</v>
      </c>
      <c r="O10" s="12" t="e">
        <f t="shared" si="4"/>
        <v>#REF!</v>
      </c>
      <c r="P10" s="12" t="e">
        <f t="shared" si="4"/>
        <v>#REF!</v>
      </c>
      <c r="Q10" s="12" t="e">
        <f t="shared" si="4"/>
        <v>#REF!</v>
      </c>
      <c r="R10" s="12"/>
      <c r="S10" s="12"/>
      <c r="T10" s="12"/>
      <c r="U10" s="12"/>
      <c r="V10" s="12"/>
      <c r="W10" s="12"/>
      <c r="X10" s="12"/>
      <c r="Y10" s="12"/>
      <c r="Z10" s="12"/>
      <c r="AA10">
        <v>2.882267583299115</v>
      </c>
    </row>
    <row r="11" spans="1:27" ht="26.25" customHeight="1">
      <c r="A11" s="147">
        <v>6</v>
      </c>
      <c r="B11" s="202" t="s">
        <v>677</v>
      </c>
      <c r="C11" s="12">
        <f>+C10-C9</f>
        <v>-1143.5835596542188</v>
      </c>
      <c r="D11" s="12">
        <f aca="true" t="shared" si="5" ref="D11:Q11">+D10-D9</f>
        <v>-2575.1757638755503</v>
      </c>
      <c r="E11" s="12" t="e">
        <f t="shared" si="5"/>
        <v>#REF!</v>
      </c>
      <c r="F11" s="12" t="e">
        <f t="shared" si="5"/>
        <v>#REF!</v>
      </c>
      <c r="G11" s="12" t="e">
        <f t="shared" si="5"/>
        <v>#REF!</v>
      </c>
      <c r="H11" s="12" t="e">
        <f t="shared" si="5"/>
        <v>#REF!</v>
      </c>
      <c r="I11" s="12" t="e">
        <f t="shared" si="5"/>
        <v>#REF!</v>
      </c>
      <c r="J11" s="12" t="e">
        <f t="shared" si="5"/>
        <v>#REF!</v>
      </c>
      <c r="K11" s="12" t="e">
        <f t="shared" si="5"/>
        <v>#REF!</v>
      </c>
      <c r="L11" s="12" t="e">
        <f t="shared" si="5"/>
        <v>#REF!</v>
      </c>
      <c r="M11" s="12" t="e">
        <f t="shared" si="5"/>
        <v>#REF!</v>
      </c>
      <c r="N11" s="12" t="e">
        <f t="shared" si="5"/>
        <v>#REF!</v>
      </c>
      <c r="O11" s="12" t="e">
        <f t="shared" si="5"/>
        <v>#REF!</v>
      </c>
      <c r="P11" s="12" t="e">
        <f t="shared" si="5"/>
        <v>#REF!</v>
      </c>
      <c r="Q11" s="12" t="e">
        <f t="shared" si="5"/>
        <v>#REF!</v>
      </c>
      <c r="R11" s="12"/>
      <c r="S11" s="12"/>
      <c r="U11" s="152"/>
      <c r="V11" s="152"/>
      <c r="W11" s="12"/>
      <c r="X11" s="12"/>
      <c r="Y11" s="12"/>
      <c r="Z11" s="12"/>
      <c r="AA11">
        <v>2.961683020799115</v>
      </c>
    </row>
    <row r="12" spans="20:27" ht="12.75">
      <c r="T12" s="5"/>
      <c r="U12" s="5"/>
      <c r="V12" s="5"/>
      <c r="AA12">
        <v>2.969158770799115</v>
      </c>
    </row>
    <row r="13" spans="2:27" ht="12.75">
      <c r="B13" s="32"/>
      <c r="C13" s="21"/>
      <c r="D13" s="21"/>
      <c r="E13" s="21"/>
      <c r="F13" s="21"/>
      <c r="G13" s="21"/>
      <c r="H13" s="21"/>
      <c r="I13" s="21"/>
      <c r="J13" s="21"/>
      <c r="K13" s="21"/>
      <c r="L13" s="21"/>
      <c r="M13" s="21"/>
      <c r="N13" s="21"/>
      <c r="O13" s="21"/>
      <c r="P13" s="21"/>
      <c r="Q13" s="21"/>
      <c r="R13" s="21"/>
      <c r="S13" s="21"/>
      <c r="T13" s="24"/>
      <c r="U13" s="24"/>
      <c r="V13" s="24"/>
      <c r="W13" s="21"/>
      <c r="X13" s="21"/>
      <c r="Y13" s="21"/>
      <c r="Z13" s="21"/>
      <c r="AA13">
        <v>2.965386333299115</v>
      </c>
    </row>
    <row r="14" spans="2:27" ht="12.75">
      <c r="B14" s="32"/>
      <c r="C14" s="21"/>
      <c r="D14" s="21"/>
      <c r="E14" s="21"/>
      <c r="F14" s="21"/>
      <c r="G14" s="21"/>
      <c r="H14" s="21"/>
      <c r="I14" s="21"/>
      <c r="J14" s="21"/>
      <c r="K14" s="21"/>
      <c r="L14" s="21"/>
      <c r="M14" s="21"/>
      <c r="N14" s="21"/>
      <c r="O14" s="21"/>
      <c r="P14" s="21"/>
      <c r="Q14" s="21"/>
      <c r="R14" s="21"/>
      <c r="S14" s="21"/>
      <c r="T14" s="21"/>
      <c r="U14" s="21"/>
      <c r="V14" s="21"/>
      <c r="W14" s="21"/>
      <c r="X14" s="21"/>
      <c r="Y14" s="21"/>
      <c r="Z14" s="21"/>
      <c r="AA14">
        <v>2.963274333299115</v>
      </c>
    </row>
    <row r="15" spans="1:27" ht="12.75">
      <c r="A15" s="491" t="s">
        <v>416</v>
      </c>
      <c r="B15" s="491"/>
      <c r="C15" s="491"/>
      <c r="D15" s="491"/>
      <c r="E15" s="491"/>
      <c r="F15" s="21"/>
      <c r="G15" s="21"/>
      <c r="H15" s="21"/>
      <c r="I15" s="21"/>
      <c r="J15" s="21"/>
      <c r="K15" s="21"/>
      <c r="L15" s="21"/>
      <c r="M15" s="21"/>
      <c r="N15" s="21"/>
      <c r="O15" s="21"/>
      <c r="P15" s="21"/>
      <c r="Q15" s="21"/>
      <c r="R15" s="21"/>
      <c r="S15" s="21"/>
      <c r="T15" s="21"/>
      <c r="U15" s="21"/>
      <c r="V15" s="21"/>
      <c r="W15" s="21"/>
      <c r="X15" s="21"/>
      <c r="Y15" s="21"/>
      <c r="Z15" s="21"/>
      <c r="AA15">
        <v>2.962310395799115</v>
      </c>
    </row>
    <row r="16" spans="1:27" ht="12.75">
      <c r="A16" s="491" t="s">
        <v>246</v>
      </c>
      <c r="B16" s="491"/>
      <c r="C16" s="491"/>
      <c r="D16" s="491"/>
      <c r="E16" s="491"/>
      <c r="F16" s="21"/>
      <c r="G16" s="21"/>
      <c r="H16" s="21"/>
      <c r="I16" s="21"/>
      <c r="J16" s="21"/>
      <c r="K16" s="21"/>
      <c r="L16" s="21"/>
      <c r="M16" s="21"/>
      <c r="N16" s="21"/>
      <c r="O16" s="21"/>
      <c r="P16" s="21"/>
      <c r="Q16" s="21"/>
      <c r="R16" s="21"/>
      <c r="S16" s="21"/>
      <c r="T16" s="21"/>
      <c r="U16" s="25"/>
      <c r="V16" s="21"/>
      <c r="W16" s="21"/>
      <c r="X16" s="21"/>
      <c r="Y16" s="21"/>
      <c r="Z16" s="21"/>
      <c r="AA16">
        <v>2.962124958299115</v>
      </c>
    </row>
    <row r="17" spans="2:27" ht="12.75">
      <c r="B17" s="21"/>
      <c r="C17" s="21"/>
      <c r="D17" s="21"/>
      <c r="E17" s="21"/>
      <c r="F17" s="21"/>
      <c r="G17" s="21"/>
      <c r="H17" s="21"/>
      <c r="I17" s="21"/>
      <c r="J17" s="21"/>
      <c r="K17" s="21"/>
      <c r="L17" s="21"/>
      <c r="M17" s="21"/>
      <c r="N17" s="21"/>
      <c r="O17" s="21"/>
      <c r="P17" s="21"/>
      <c r="Q17" s="21"/>
      <c r="R17" s="21"/>
      <c r="S17" s="21"/>
      <c r="T17" s="21"/>
      <c r="V17" s="21"/>
      <c r="W17" s="21"/>
      <c r="X17" s="21"/>
      <c r="Y17" s="21"/>
      <c r="Z17" s="21"/>
      <c r="AA17">
        <v>2.962124958299115</v>
      </c>
    </row>
    <row r="18" spans="2:27" ht="12.75">
      <c r="B18" s="21"/>
      <c r="C18" s="40" t="s">
        <v>156</v>
      </c>
      <c r="D18" s="40" t="s">
        <v>157</v>
      </c>
      <c r="E18" s="21"/>
      <c r="F18" s="21"/>
      <c r="G18" s="21"/>
      <c r="H18" s="21"/>
      <c r="I18" s="21"/>
      <c r="J18" s="21"/>
      <c r="K18" s="21"/>
      <c r="L18" s="21"/>
      <c r="M18" s="21"/>
      <c r="N18" s="21"/>
      <c r="O18" s="21"/>
      <c r="P18" s="21"/>
      <c r="Q18" s="21"/>
      <c r="R18" s="21"/>
      <c r="S18" s="21"/>
      <c r="T18" s="21"/>
      <c r="V18" s="21"/>
      <c r="W18" s="21"/>
      <c r="X18" s="21"/>
      <c r="Y18" s="21"/>
      <c r="Z18" s="21"/>
      <c r="AA18">
        <v>2.962124958299115</v>
      </c>
    </row>
    <row r="19" spans="3:27" ht="12.75">
      <c r="C19" s="10">
        <f aca="true" t="shared" si="6" ref="C19:Q19">C6</f>
        <v>2024</v>
      </c>
      <c r="D19" s="10">
        <f t="shared" si="6"/>
        <v>2025</v>
      </c>
      <c r="E19" s="10">
        <f t="shared" si="6"/>
        <v>2026</v>
      </c>
      <c r="F19" s="10">
        <f t="shared" si="6"/>
        <v>2027</v>
      </c>
      <c r="G19" s="10">
        <f t="shared" si="6"/>
        <v>2028</v>
      </c>
      <c r="H19" s="10">
        <f t="shared" si="6"/>
        <v>2029</v>
      </c>
      <c r="I19" s="10">
        <f t="shared" si="6"/>
        <v>2030</v>
      </c>
      <c r="J19" s="10">
        <f t="shared" si="6"/>
        <v>2031</v>
      </c>
      <c r="K19" s="10">
        <f t="shared" si="6"/>
        <v>2032</v>
      </c>
      <c r="L19" s="10">
        <f t="shared" si="6"/>
        <v>2033</v>
      </c>
      <c r="M19" s="10">
        <f t="shared" si="6"/>
        <v>2034</v>
      </c>
      <c r="N19" s="10">
        <f t="shared" si="6"/>
        <v>2035</v>
      </c>
      <c r="O19" s="10">
        <f t="shared" si="6"/>
        <v>2036</v>
      </c>
      <c r="P19" s="10">
        <f t="shared" si="6"/>
        <v>2037</v>
      </c>
      <c r="Q19" s="10">
        <f t="shared" si="6"/>
        <v>2038</v>
      </c>
      <c r="R19" s="83"/>
      <c r="S19" s="83"/>
      <c r="T19" s="83"/>
      <c r="U19" s="83"/>
      <c r="V19" s="83"/>
      <c r="W19" s="83"/>
      <c r="X19" s="83"/>
      <c r="Y19" s="83"/>
      <c r="Z19" s="83"/>
      <c r="AA19">
        <v>2.962124958299115</v>
      </c>
    </row>
    <row r="20" spans="1:27" s="28" customFormat="1" ht="12.75">
      <c r="A20" s="91">
        <v>1</v>
      </c>
      <c r="B20" s="28" t="s">
        <v>190</v>
      </c>
      <c r="C20" s="76">
        <f>+'Income Statement Cash Flows'!E95</f>
        <v>129000</v>
      </c>
      <c r="D20" s="76">
        <f>+'Income Statement Cash Flows'!F95</f>
        <v>129000</v>
      </c>
      <c r="E20" s="76" t="e">
        <f>+#REF!</f>
        <v>#REF!</v>
      </c>
      <c r="F20" s="76" t="e">
        <f>+#REF!</f>
        <v>#REF!</v>
      </c>
      <c r="G20" s="76" t="e">
        <f>+#REF!</f>
        <v>#REF!</v>
      </c>
      <c r="H20" s="76" t="e">
        <f>+#REF!</f>
        <v>#REF!</v>
      </c>
      <c r="I20" s="76" t="e">
        <f>+#REF!</f>
        <v>#REF!</v>
      </c>
      <c r="J20" s="76" t="e">
        <f>+#REF!</f>
        <v>#REF!</v>
      </c>
      <c r="K20" s="76" t="e">
        <f>+#REF!</f>
        <v>#REF!</v>
      </c>
      <c r="L20" s="76" t="e">
        <f aca="true" t="shared" si="7" ref="L20:Q20">+K20</f>
        <v>#REF!</v>
      </c>
      <c r="M20" s="76" t="e">
        <f t="shared" si="7"/>
        <v>#REF!</v>
      </c>
      <c r="N20" s="76" t="e">
        <f t="shared" si="7"/>
        <v>#REF!</v>
      </c>
      <c r="O20" s="76" t="e">
        <f t="shared" si="7"/>
        <v>#REF!</v>
      </c>
      <c r="P20" s="76" t="e">
        <f t="shared" si="7"/>
        <v>#REF!</v>
      </c>
      <c r="Q20" s="76" t="e">
        <f t="shared" si="7"/>
        <v>#REF!</v>
      </c>
      <c r="R20" s="76"/>
      <c r="S20" s="76"/>
      <c r="T20" s="76"/>
      <c r="U20" s="76"/>
      <c r="V20" s="76"/>
      <c r="W20" s="76"/>
      <c r="X20" s="76"/>
      <c r="Y20" s="76"/>
      <c r="Z20" s="76"/>
      <c r="AA20" s="28">
        <v>2.962124958299115</v>
      </c>
    </row>
    <row r="21" spans="1:27" s="28" customFormat="1" ht="12.75">
      <c r="A21" s="146">
        <v>2</v>
      </c>
      <c r="C21" s="76"/>
      <c r="D21" s="76"/>
      <c r="E21" s="76"/>
      <c r="F21" s="76"/>
      <c r="G21" s="76"/>
      <c r="H21" s="76"/>
      <c r="I21" s="76"/>
      <c r="J21" s="76"/>
      <c r="K21" s="76"/>
      <c r="L21" s="76"/>
      <c r="M21" s="76"/>
      <c r="N21" s="76"/>
      <c r="O21" s="76"/>
      <c r="P21" s="76"/>
      <c r="Q21" s="76"/>
      <c r="R21" s="76"/>
      <c r="S21" s="76"/>
      <c r="T21" s="76"/>
      <c r="U21" s="76"/>
      <c r="V21" s="76"/>
      <c r="W21" s="76"/>
      <c r="X21" s="76"/>
      <c r="Y21" s="76"/>
      <c r="Z21" s="76"/>
      <c r="AA21" s="28">
        <v>2.962124958299115</v>
      </c>
    </row>
    <row r="22" spans="1:27" ht="12.75">
      <c r="A22" s="91">
        <v>3</v>
      </c>
      <c r="B22" t="s">
        <v>622</v>
      </c>
      <c r="C22" s="25"/>
      <c r="D22" s="25"/>
      <c r="E22" s="25"/>
      <c r="F22" s="25"/>
      <c r="G22" s="25"/>
      <c r="H22" s="25"/>
      <c r="I22" s="25"/>
      <c r="J22" s="25"/>
      <c r="K22" s="25"/>
      <c r="L22" s="25"/>
      <c r="M22" s="25"/>
      <c r="N22" s="25"/>
      <c r="O22" s="25"/>
      <c r="P22" s="25"/>
      <c r="Q22" s="25"/>
      <c r="R22" s="25"/>
      <c r="S22" s="25"/>
      <c r="T22" s="25"/>
      <c r="U22" s="25"/>
      <c r="V22" s="25"/>
      <c r="W22" s="25"/>
      <c r="X22" s="25"/>
      <c r="Y22" s="25"/>
      <c r="Z22" s="25"/>
      <c r="AA22">
        <v>2.962124958299115</v>
      </c>
    </row>
    <row r="23" spans="1:27" ht="12.75">
      <c r="A23" s="146">
        <v>4</v>
      </c>
      <c r="B23" t="s">
        <v>421</v>
      </c>
      <c r="C23" s="381">
        <v>600000</v>
      </c>
      <c r="D23" s="21">
        <f>+C24</f>
        <v>729000</v>
      </c>
      <c r="E23" s="21">
        <f>+D24</f>
        <v>858000</v>
      </c>
      <c r="F23" s="21" t="e">
        <f aca="true" t="shared" si="8" ref="F23:Q23">E24</f>
        <v>#REF!</v>
      </c>
      <c r="G23" s="21" t="e">
        <f t="shared" si="8"/>
        <v>#REF!</v>
      </c>
      <c r="H23" s="21" t="e">
        <f t="shared" si="8"/>
        <v>#REF!</v>
      </c>
      <c r="I23" s="21" t="e">
        <f t="shared" si="8"/>
        <v>#REF!</v>
      </c>
      <c r="J23" s="21" t="e">
        <f t="shared" si="8"/>
        <v>#REF!</v>
      </c>
      <c r="K23" s="21" t="e">
        <f t="shared" si="8"/>
        <v>#REF!</v>
      </c>
      <c r="L23" s="21" t="e">
        <f t="shared" si="8"/>
        <v>#REF!</v>
      </c>
      <c r="M23" s="21" t="e">
        <f t="shared" si="8"/>
        <v>#REF!</v>
      </c>
      <c r="N23" s="21" t="e">
        <f t="shared" si="8"/>
        <v>#REF!</v>
      </c>
      <c r="O23" s="21" t="e">
        <f t="shared" si="8"/>
        <v>#REF!</v>
      </c>
      <c r="P23" s="21" t="e">
        <f t="shared" si="8"/>
        <v>#REF!</v>
      </c>
      <c r="Q23" s="21" t="e">
        <f t="shared" si="8"/>
        <v>#REF!</v>
      </c>
      <c r="R23" s="21"/>
      <c r="S23" s="167" t="s">
        <v>840</v>
      </c>
      <c r="T23" s="21"/>
      <c r="U23" s="21"/>
      <c r="V23" s="21"/>
      <c r="W23" s="21"/>
      <c r="X23" s="21"/>
      <c r="Y23" s="21"/>
      <c r="Z23" s="21"/>
      <c r="AA23">
        <v>2.962124958299115</v>
      </c>
    </row>
    <row r="24" spans="1:27" ht="12.75">
      <c r="A24" s="91">
        <v>5</v>
      </c>
      <c r="B24" t="s">
        <v>422</v>
      </c>
      <c r="C24" s="4">
        <f>+C23+C20</f>
        <v>729000</v>
      </c>
      <c r="D24" s="21">
        <f>+D23+D20</f>
        <v>858000</v>
      </c>
      <c r="E24" s="21" t="e">
        <f>E23+E20</f>
        <v>#REF!</v>
      </c>
      <c r="F24" s="21" t="e">
        <f aca="true" t="shared" si="9" ref="F24:Q24">F23+F20</f>
        <v>#REF!</v>
      </c>
      <c r="G24" s="21" t="e">
        <f t="shared" si="9"/>
        <v>#REF!</v>
      </c>
      <c r="H24" s="21" t="e">
        <f t="shared" si="9"/>
        <v>#REF!</v>
      </c>
      <c r="I24" s="21" t="e">
        <f t="shared" si="9"/>
        <v>#REF!</v>
      </c>
      <c r="J24" s="21" t="e">
        <f t="shared" si="9"/>
        <v>#REF!</v>
      </c>
      <c r="K24" s="21" t="e">
        <f t="shared" si="9"/>
        <v>#REF!</v>
      </c>
      <c r="L24" s="21" t="e">
        <f t="shared" si="9"/>
        <v>#REF!</v>
      </c>
      <c r="M24" s="21" t="e">
        <f t="shared" si="9"/>
        <v>#REF!</v>
      </c>
      <c r="N24" s="21" t="e">
        <f t="shared" si="9"/>
        <v>#REF!</v>
      </c>
      <c r="O24" s="21" t="e">
        <f t="shared" si="9"/>
        <v>#REF!</v>
      </c>
      <c r="P24" s="21" t="e">
        <f t="shared" si="9"/>
        <v>#REF!</v>
      </c>
      <c r="Q24" s="21" t="e">
        <f t="shared" si="9"/>
        <v>#REF!</v>
      </c>
      <c r="R24" s="21"/>
      <c r="S24" s="25"/>
      <c r="T24" s="21"/>
      <c r="U24" s="21"/>
      <c r="V24" s="21"/>
      <c r="W24" s="21"/>
      <c r="X24" s="21"/>
      <c r="Y24" s="21"/>
      <c r="Z24" s="21"/>
      <c r="AA24">
        <v>2.962124958299115</v>
      </c>
    </row>
    <row r="25" spans="1:27" ht="12.75">
      <c r="A25" s="146">
        <v>6</v>
      </c>
      <c r="B25" s="38" t="s">
        <v>203</v>
      </c>
      <c r="C25" s="21">
        <f>AVERAGE(C23:C24)</f>
        <v>664500</v>
      </c>
      <c r="D25" s="21">
        <f>AVERAGE(D23:D24)</f>
        <v>793500</v>
      </c>
      <c r="E25" s="21" t="e">
        <f>AVERAGE(E23:E24)</f>
        <v>#REF!</v>
      </c>
      <c r="F25" s="21" t="e">
        <f aca="true" t="shared" si="10" ref="F25:Q25">AVERAGE(F23:F24)</f>
        <v>#REF!</v>
      </c>
      <c r="G25" s="21" t="e">
        <f t="shared" si="10"/>
        <v>#REF!</v>
      </c>
      <c r="H25" s="21" t="e">
        <f t="shared" si="10"/>
        <v>#REF!</v>
      </c>
      <c r="I25" s="21" t="e">
        <f t="shared" si="10"/>
        <v>#REF!</v>
      </c>
      <c r="J25" s="21" t="e">
        <f t="shared" si="10"/>
        <v>#REF!</v>
      </c>
      <c r="K25" s="21" t="e">
        <f t="shared" si="10"/>
        <v>#REF!</v>
      </c>
      <c r="L25" s="21" t="e">
        <f t="shared" si="10"/>
        <v>#REF!</v>
      </c>
      <c r="M25" s="21" t="e">
        <f t="shared" si="10"/>
        <v>#REF!</v>
      </c>
      <c r="N25" s="21" t="e">
        <f t="shared" si="10"/>
        <v>#REF!</v>
      </c>
      <c r="O25" s="21" t="e">
        <f t="shared" si="10"/>
        <v>#REF!</v>
      </c>
      <c r="P25" s="21" t="e">
        <f t="shared" si="10"/>
        <v>#REF!</v>
      </c>
      <c r="Q25" s="21" t="e">
        <f t="shared" si="10"/>
        <v>#REF!</v>
      </c>
      <c r="R25" s="21"/>
      <c r="S25" s="21"/>
      <c r="T25" s="21"/>
      <c r="U25" s="21"/>
      <c r="V25" s="21"/>
      <c r="W25" s="21"/>
      <c r="X25" s="21"/>
      <c r="Y25" s="21"/>
      <c r="Z25" s="21"/>
      <c r="AA25">
        <v>2.962124958299115</v>
      </c>
    </row>
    <row r="26" spans="1:27" ht="12.75">
      <c r="A26" s="91">
        <v>7</v>
      </c>
      <c r="B26" s="11"/>
      <c r="C26" s="21"/>
      <c r="D26" s="23"/>
      <c r="E26" s="23"/>
      <c r="F26" s="23"/>
      <c r="G26" s="23"/>
      <c r="H26" s="23"/>
      <c r="I26" s="23"/>
      <c r="J26" s="23"/>
      <c r="K26" s="23"/>
      <c r="L26" s="23"/>
      <c r="M26" s="23"/>
      <c r="N26" s="23"/>
      <c r="O26" s="23"/>
      <c r="P26" s="23"/>
      <c r="Q26" s="23"/>
      <c r="R26" s="23"/>
      <c r="S26" s="23"/>
      <c r="T26" s="23"/>
      <c r="U26" s="23"/>
      <c r="V26" s="23"/>
      <c r="W26" s="23"/>
      <c r="X26" s="23"/>
      <c r="Y26" s="23"/>
      <c r="Z26" s="23"/>
      <c r="AA26">
        <v>2.962124958299115</v>
      </c>
    </row>
    <row r="27" spans="1:27" s="17" customFormat="1" ht="12.75">
      <c r="A27" s="146">
        <v>8</v>
      </c>
      <c r="B27" t="s">
        <v>423</v>
      </c>
      <c r="C27" s="15">
        <f>+C131</f>
        <v>0.0038769646556372317</v>
      </c>
      <c r="D27" s="15">
        <f aca="true" t="shared" si="11" ref="D27:Q27">+D131</f>
        <v>0.00545431846319251</v>
      </c>
      <c r="E27" s="15">
        <f t="shared" si="11"/>
        <v>0.006549265833247787</v>
      </c>
      <c r="F27" s="15">
        <f t="shared" si="11"/>
        <v>0.007205668958247788</v>
      </c>
      <c r="G27" s="15">
        <f t="shared" si="11"/>
        <v>0.007404207551997788</v>
      </c>
      <c r="H27" s="15">
        <f t="shared" si="11"/>
        <v>0.007422896926997788</v>
      </c>
      <c r="I27" s="15">
        <f t="shared" si="11"/>
        <v>0.007413465833247788</v>
      </c>
      <c r="J27" s="15">
        <f t="shared" si="11"/>
        <v>0.007408185833247788</v>
      </c>
      <c r="K27" s="15">
        <f t="shared" si="11"/>
        <v>0.007405775989497787</v>
      </c>
      <c r="L27" s="15">
        <f t="shared" si="11"/>
        <v>0.007405312395747788</v>
      </c>
      <c r="M27" s="15">
        <f t="shared" si="11"/>
        <v>0.007405312395747788</v>
      </c>
      <c r="N27" s="15">
        <f t="shared" si="11"/>
        <v>0.007405312395747788</v>
      </c>
      <c r="O27" s="15">
        <f t="shared" si="11"/>
        <v>0.007405312395747788</v>
      </c>
      <c r="P27" s="15">
        <f t="shared" si="11"/>
        <v>0.007405312395747788</v>
      </c>
      <c r="Q27" s="15">
        <f t="shared" si="11"/>
        <v>0.007405312395747788</v>
      </c>
      <c r="AA27" s="17">
        <v>2.962124958299115</v>
      </c>
    </row>
    <row r="28" spans="1:27" s="17" customFormat="1" ht="12.75">
      <c r="A28" s="91">
        <v>9</v>
      </c>
      <c r="B28" t="s">
        <v>424</v>
      </c>
      <c r="C28" s="4">
        <f>+C27*C25</f>
        <v>2576.2430136709404</v>
      </c>
      <c r="D28" s="4">
        <f>+D27*D25</f>
        <v>4328.001700543256</v>
      </c>
      <c r="E28" s="4" t="e">
        <f>+E27*E25</f>
        <v>#REF!</v>
      </c>
      <c r="F28" s="4" t="e">
        <f aca="true" t="shared" si="12" ref="F28:Q28">+F27*F25</f>
        <v>#REF!</v>
      </c>
      <c r="G28" s="4" t="e">
        <f t="shared" si="12"/>
        <v>#REF!</v>
      </c>
      <c r="H28" s="4" t="e">
        <f t="shared" si="12"/>
        <v>#REF!</v>
      </c>
      <c r="I28" s="4" t="e">
        <f t="shared" si="12"/>
        <v>#REF!</v>
      </c>
      <c r="J28" s="4" t="e">
        <f t="shared" si="12"/>
        <v>#REF!</v>
      </c>
      <c r="K28" s="4" t="e">
        <f t="shared" si="12"/>
        <v>#REF!</v>
      </c>
      <c r="L28" s="4" t="e">
        <f t="shared" si="12"/>
        <v>#REF!</v>
      </c>
      <c r="M28" s="4" t="e">
        <f t="shared" si="12"/>
        <v>#REF!</v>
      </c>
      <c r="N28" s="4" t="e">
        <f t="shared" si="12"/>
        <v>#REF!</v>
      </c>
      <c r="O28" s="4" t="e">
        <f t="shared" si="12"/>
        <v>#REF!</v>
      </c>
      <c r="P28" s="4" t="e">
        <f t="shared" si="12"/>
        <v>#REF!</v>
      </c>
      <c r="Q28" s="4" t="e">
        <f t="shared" si="12"/>
        <v>#REF!</v>
      </c>
      <c r="AA28" s="17">
        <v>2.962124958299115</v>
      </c>
    </row>
    <row r="29" spans="1:27" s="17" customFormat="1" ht="12.75">
      <c r="A29" s="146">
        <v>10</v>
      </c>
      <c r="B29" s="26"/>
      <c r="AA29" s="17">
        <v>2.962124958299115</v>
      </c>
    </row>
    <row r="30" spans="1:29" s="28" customFormat="1" ht="12.75">
      <c r="A30" s="91">
        <v>11</v>
      </c>
      <c r="B30" s="28" t="s">
        <v>191</v>
      </c>
      <c r="C30" s="85">
        <f>+'Federal DS'!E10</f>
        <v>421</v>
      </c>
      <c r="D30" s="85">
        <f>+'Federal DS'!F10</f>
        <v>855</v>
      </c>
      <c r="E30" s="85">
        <f>+'Federal DS'!G10</f>
        <v>1381</v>
      </c>
      <c r="F30" s="85">
        <f>+'Federal DS'!H10</f>
        <v>1698</v>
      </c>
      <c r="G30" s="85">
        <f>+'Federal DS'!I10</f>
        <v>2385</v>
      </c>
      <c r="H30" s="85">
        <f>+'Federal DS'!J10</f>
        <v>1942</v>
      </c>
      <c r="I30" s="85">
        <f>+'Federal DS'!K10</f>
        <v>1927</v>
      </c>
      <c r="J30" s="85">
        <f>+'Federal DS'!L10</f>
        <v>701</v>
      </c>
      <c r="K30" s="85">
        <f>+'Federal DS'!M10</f>
        <v>760</v>
      </c>
      <c r="L30" s="85">
        <f>+'Federal DS'!N10</f>
        <v>856</v>
      </c>
      <c r="M30" s="85">
        <f>+'Federal DS'!O10</f>
        <v>910</v>
      </c>
      <c r="N30" s="85">
        <f>+'Federal DS'!P10</f>
        <v>960</v>
      </c>
      <c r="O30" s="85">
        <f>+'Federal DS'!Q10</f>
        <v>1015</v>
      </c>
      <c r="P30" s="85">
        <f>+'Federal DS'!R10</f>
        <v>1073</v>
      </c>
      <c r="Q30" s="85">
        <f>+'Federal DS'!S10</f>
        <v>1127</v>
      </c>
      <c r="R30" s="85"/>
      <c r="S30" s="85"/>
      <c r="T30" s="85"/>
      <c r="U30" s="85"/>
      <c r="V30" s="85"/>
      <c r="W30" s="85"/>
      <c r="X30" s="85"/>
      <c r="Y30" s="85"/>
      <c r="Z30" s="85"/>
      <c r="AA30" s="29">
        <v>2.962124958299115</v>
      </c>
      <c r="AB30" s="29"/>
      <c r="AC30" s="29"/>
    </row>
    <row r="31" spans="1:27" ht="12.75">
      <c r="A31" s="146">
        <v>12</v>
      </c>
      <c r="AA31">
        <v>2.962124958299115</v>
      </c>
    </row>
    <row r="32" spans="1:27" ht="12.75">
      <c r="A32" s="91">
        <v>13</v>
      </c>
      <c r="B32" t="s">
        <v>640</v>
      </c>
      <c r="C32" s="21"/>
      <c r="D32" s="37"/>
      <c r="E32" s="37"/>
      <c r="AA32">
        <v>2.962124958299115</v>
      </c>
    </row>
    <row r="33" spans="1:27" ht="12.75">
      <c r="A33" s="146">
        <v>14</v>
      </c>
      <c r="B33" t="s">
        <v>201</v>
      </c>
      <c r="C33" s="383">
        <v>108475</v>
      </c>
      <c r="D33" s="96">
        <f>+C34</f>
        <v>108475</v>
      </c>
      <c r="E33" s="96">
        <f>+D34</f>
        <v>108475</v>
      </c>
      <c r="F33" s="96">
        <f aca="true" t="shared" si="13" ref="F33:Q33">+E34</f>
        <v>108475</v>
      </c>
      <c r="G33" s="96">
        <f t="shared" si="13"/>
        <v>108475</v>
      </c>
      <c r="H33" s="96">
        <f t="shared" si="13"/>
        <v>108475</v>
      </c>
      <c r="I33" s="96">
        <f t="shared" si="13"/>
        <v>108475</v>
      </c>
      <c r="J33" s="96">
        <f t="shared" si="13"/>
        <v>108475</v>
      </c>
      <c r="K33" s="96">
        <f t="shared" si="13"/>
        <v>108475</v>
      </c>
      <c r="L33" s="96">
        <f t="shared" si="13"/>
        <v>108475</v>
      </c>
      <c r="M33" s="96">
        <f t="shared" si="13"/>
        <v>108475</v>
      </c>
      <c r="N33" s="96">
        <f t="shared" si="13"/>
        <v>108475</v>
      </c>
      <c r="O33" s="96">
        <f t="shared" si="13"/>
        <v>108475</v>
      </c>
      <c r="P33" s="96">
        <f t="shared" si="13"/>
        <v>108475</v>
      </c>
      <c r="Q33" s="96">
        <f t="shared" si="13"/>
        <v>108475</v>
      </c>
      <c r="S33" s="167" t="s">
        <v>843</v>
      </c>
      <c r="AA33">
        <v>2.962124958299115</v>
      </c>
    </row>
    <row r="34" spans="1:27" ht="12.75">
      <c r="A34" s="91">
        <v>15</v>
      </c>
      <c r="B34" t="s">
        <v>202</v>
      </c>
      <c r="C34" s="21">
        <f>+C33</f>
        <v>108475</v>
      </c>
      <c r="D34" s="21">
        <f>+D33</f>
        <v>108475</v>
      </c>
      <c r="E34" s="21">
        <f aca="true" t="shared" si="14" ref="E34:Q34">+E33</f>
        <v>108475</v>
      </c>
      <c r="F34" s="21">
        <f t="shared" si="14"/>
        <v>108475</v>
      </c>
      <c r="G34" s="21">
        <f t="shared" si="14"/>
        <v>108475</v>
      </c>
      <c r="H34" s="21">
        <f t="shared" si="14"/>
        <v>108475</v>
      </c>
      <c r="I34" s="21">
        <f t="shared" si="14"/>
        <v>108475</v>
      </c>
      <c r="J34" s="21">
        <f t="shared" si="14"/>
        <v>108475</v>
      </c>
      <c r="K34" s="21">
        <f t="shared" si="14"/>
        <v>108475</v>
      </c>
      <c r="L34" s="21">
        <f t="shared" si="14"/>
        <v>108475</v>
      </c>
      <c r="M34" s="21">
        <f t="shared" si="14"/>
        <v>108475</v>
      </c>
      <c r="N34" s="21">
        <f t="shared" si="14"/>
        <v>108475</v>
      </c>
      <c r="O34" s="21">
        <f t="shared" si="14"/>
        <v>108475</v>
      </c>
      <c r="P34" s="21">
        <f t="shared" si="14"/>
        <v>108475</v>
      </c>
      <c r="Q34" s="21">
        <f t="shared" si="14"/>
        <v>108475</v>
      </c>
      <c r="R34" s="21"/>
      <c r="S34" s="167"/>
      <c r="AA34">
        <v>2.962124958299115</v>
      </c>
    </row>
    <row r="35" spans="1:26" ht="12.75">
      <c r="A35" s="146">
        <v>16</v>
      </c>
      <c r="B35" s="38" t="s">
        <v>203</v>
      </c>
      <c r="C35" s="36">
        <f aca="true" t="shared" si="15" ref="C35:Q35">(C33+C34)/2</f>
        <v>108475</v>
      </c>
      <c r="D35" s="36">
        <f t="shared" si="15"/>
        <v>108475</v>
      </c>
      <c r="E35" s="36">
        <f t="shared" si="15"/>
        <v>108475</v>
      </c>
      <c r="F35" s="36">
        <f t="shared" si="15"/>
        <v>108475</v>
      </c>
      <c r="G35" s="36">
        <f t="shared" si="15"/>
        <v>108475</v>
      </c>
      <c r="H35" s="36">
        <f t="shared" si="15"/>
        <v>108475</v>
      </c>
      <c r="I35" s="36">
        <f t="shared" si="15"/>
        <v>108475</v>
      </c>
      <c r="J35" s="36">
        <f t="shared" si="15"/>
        <v>108475</v>
      </c>
      <c r="K35" s="36">
        <f t="shared" si="15"/>
        <v>108475</v>
      </c>
      <c r="L35" s="36">
        <f t="shared" si="15"/>
        <v>108475</v>
      </c>
      <c r="M35" s="36">
        <f t="shared" si="15"/>
        <v>108475</v>
      </c>
      <c r="N35" s="36">
        <f t="shared" si="15"/>
        <v>108475</v>
      </c>
      <c r="O35" s="36">
        <f t="shared" si="15"/>
        <v>108475</v>
      </c>
      <c r="P35" s="36">
        <f t="shared" si="15"/>
        <v>108475</v>
      </c>
      <c r="Q35" s="36">
        <f t="shared" si="15"/>
        <v>108475</v>
      </c>
      <c r="R35" s="36"/>
      <c r="S35" s="36"/>
      <c r="T35" s="36"/>
      <c r="U35" s="36"/>
      <c r="V35" s="36"/>
      <c r="W35" s="36"/>
      <c r="X35" s="36"/>
      <c r="Y35" s="36"/>
      <c r="Z35" s="36"/>
    </row>
    <row r="36" spans="1:26" s="28" customFormat="1" ht="12.75">
      <c r="A36" s="91">
        <v>17</v>
      </c>
      <c r="B36" s="28" t="s">
        <v>141</v>
      </c>
      <c r="C36" s="86">
        <f aca="true" t="shared" si="16" ref="C36:Q36">C35*C27</f>
        <v>420.5537410202487</v>
      </c>
      <c r="D36" s="86">
        <f t="shared" si="16"/>
        <v>591.6571952948075</v>
      </c>
      <c r="E36" s="86">
        <f t="shared" si="16"/>
        <v>710.4316112615537</v>
      </c>
      <c r="F36" s="86">
        <f t="shared" si="16"/>
        <v>781.6349402459288</v>
      </c>
      <c r="G36" s="86">
        <f t="shared" si="16"/>
        <v>803.17141420296</v>
      </c>
      <c r="H36" s="86">
        <f t="shared" si="16"/>
        <v>805.198744156085</v>
      </c>
      <c r="I36" s="86">
        <f t="shared" si="16"/>
        <v>804.1757062615537</v>
      </c>
      <c r="J36" s="86">
        <f t="shared" si="16"/>
        <v>803.6029582615538</v>
      </c>
      <c r="K36" s="86">
        <f t="shared" si="16"/>
        <v>803.3415504607725</v>
      </c>
      <c r="L36" s="86">
        <f t="shared" si="16"/>
        <v>803.2912621287413</v>
      </c>
      <c r="M36" s="86">
        <f t="shared" si="16"/>
        <v>803.2912621287413</v>
      </c>
      <c r="N36" s="86">
        <f t="shared" si="16"/>
        <v>803.2912621287413</v>
      </c>
      <c r="O36" s="86">
        <f t="shared" si="16"/>
        <v>803.2912621287413</v>
      </c>
      <c r="P36" s="86">
        <f t="shared" si="16"/>
        <v>803.2912621287413</v>
      </c>
      <c r="Q36" s="86">
        <f t="shared" si="16"/>
        <v>803.2912621287413</v>
      </c>
      <c r="R36" s="86"/>
      <c r="S36" s="86"/>
      <c r="T36" s="86"/>
      <c r="U36" s="86"/>
      <c r="V36" s="86"/>
      <c r="W36" s="86"/>
      <c r="X36" s="86"/>
      <c r="Y36" s="86"/>
      <c r="Z36" s="86"/>
    </row>
    <row r="37" spans="1:26" s="28" customFormat="1" ht="12.75">
      <c r="A37" s="146">
        <v>18</v>
      </c>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2.75">
      <c r="A38" s="146">
        <v>26</v>
      </c>
      <c r="B38" s="30" t="s">
        <v>480</v>
      </c>
      <c r="C38" s="24">
        <f aca="true" t="shared" si="17" ref="C38:Q38">+C36+C30+C28</f>
        <v>3417.796754691189</v>
      </c>
      <c r="D38" s="24">
        <f t="shared" si="17"/>
        <v>5774.6588958380635</v>
      </c>
      <c r="E38" s="24" t="e">
        <f t="shared" si="17"/>
        <v>#REF!</v>
      </c>
      <c r="F38" s="24" t="e">
        <f t="shared" si="17"/>
        <v>#REF!</v>
      </c>
      <c r="G38" s="24" t="e">
        <f t="shared" si="17"/>
        <v>#REF!</v>
      </c>
      <c r="H38" s="24" t="e">
        <f t="shared" si="17"/>
        <v>#REF!</v>
      </c>
      <c r="I38" s="24" t="e">
        <f t="shared" si="17"/>
        <v>#REF!</v>
      </c>
      <c r="J38" s="24" t="e">
        <f t="shared" si="17"/>
        <v>#REF!</v>
      </c>
      <c r="K38" s="24" t="e">
        <f t="shared" si="17"/>
        <v>#REF!</v>
      </c>
      <c r="L38" s="24" t="e">
        <f t="shared" si="17"/>
        <v>#REF!</v>
      </c>
      <c r="M38" s="24" t="e">
        <f t="shared" si="17"/>
        <v>#REF!</v>
      </c>
      <c r="N38" s="24" t="e">
        <f t="shared" si="17"/>
        <v>#REF!</v>
      </c>
      <c r="O38" s="24" t="e">
        <f t="shared" si="17"/>
        <v>#REF!</v>
      </c>
      <c r="P38" s="24" t="e">
        <f t="shared" si="17"/>
        <v>#REF!</v>
      </c>
      <c r="Q38" s="24" t="e">
        <f t="shared" si="17"/>
        <v>#REF!</v>
      </c>
      <c r="R38" s="24"/>
      <c r="S38" s="24"/>
      <c r="T38" s="24"/>
      <c r="U38" s="24"/>
      <c r="V38" s="24"/>
      <c r="W38" s="24"/>
      <c r="X38" s="24"/>
      <c r="Y38" s="24"/>
      <c r="Z38" s="24"/>
    </row>
    <row r="40" spans="3:4" ht="12.75">
      <c r="C40" s="21"/>
      <c r="D40" s="21"/>
    </row>
    <row r="41" spans="3:4" ht="12.75">
      <c r="C41" s="21"/>
      <c r="D41" s="21"/>
    </row>
    <row r="42" ht="12.75">
      <c r="C42" s="19"/>
    </row>
    <row r="43" spans="2:26" ht="12.75">
      <c r="B43" s="20"/>
      <c r="C43" s="27"/>
      <c r="D43" s="27"/>
      <c r="E43" s="27"/>
      <c r="F43" s="27"/>
      <c r="G43" s="27"/>
      <c r="H43" s="27"/>
      <c r="I43" s="27"/>
      <c r="J43" s="27"/>
      <c r="K43" s="21"/>
      <c r="L43" s="21"/>
      <c r="M43" s="21"/>
      <c r="N43" s="21"/>
      <c r="O43" s="21"/>
      <c r="P43" s="21"/>
      <c r="Q43" s="21"/>
      <c r="R43" s="21"/>
      <c r="S43" s="21"/>
      <c r="T43" s="21"/>
      <c r="U43" s="21"/>
      <c r="V43" s="21"/>
      <c r="W43" s="21"/>
      <c r="X43" s="21"/>
      <c r="Y43" s="21"/>
      <c r="Z43" s="21"/>
    </row>
    <row r="44" spans="3:26" ht="12.75">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5" ht="12.75">
      <c r="A45" s="491" t="s">
        <v>416</v>
      </c>
      <c r="B45" s="491"/>
      <c r="C45" s="491"/>
      <c r="D45" s="491"/>
      <c r="E45" s="491"/>
    </row>
    <row r="46" spans="1:6" ht="12.75">
      <c r="A46" s="491" t="s">
        <v>417</v>
      </c>
      <c r="B46" s="491"/>
      <c r="C46" s="491"/>
      <c r="D46" s="491"/>
      <c r="E46" s="491"/>
      <c r="F46" s="75"/>
    </row>
    <row r="47" spans="1:26" ht="12.75">
      <c r="A47" s="491" t="s">
        <v>246</v>
      </c>
      <c r="B47" s="491"/>
      <c r="C47" s="491"/>
      <c r="D47" s="491"/>
      <c r="E47" s="491"/>
      <c r="F47" s="22"/>
      <c r="G47" s="22"/>
      <c r="H47" s="22"/>
      <c r="I47" s="22"/>
      <c r="J47" s="22"/>
      <c r="M47" s="21"/>
      <c r="N47" s="21"/>
      <c r="O47" s="21"/>
      <c r="P47" s="21"/>
      <c r="Q47" s="21"/>
      <c r="R47" s="21"/>
      <c r="S47" s="21"/>
      <c r="T47" s="21"/>
      <c r="U47" s="21"/>
      <c r="V47" s="21"/>
      <c r="W47" s="21"/>
      <c r="X47" s="21"/>
      <c r="Y47" s="21"/>
      <c r="Z47" s="21"/>
    </row>
    <row r="48" spans="6:26" ht="12.75">
      <c r="F48" s="21"/>
      <c r="G48" s="21"/>
      <c r="H48" s="21"/>
      <c r="I48" s="21"/>
      <c r="J48" s="21"/>
      <c r="K48" s="21"/>
      <c r="L48" s="21"/>
      <c r="M48" s="21"/>
      <c r="N48" s="21"/>
      <c r="O48" s="21"/>
      <c r="P48" s="21"/>
      <c r="Q48" s="21"/>
      <c r="R48" s="21"/>
      <c r="S48" s="21"/>
      <c r="T48" s="21"/>
      <c r="U48" s="21"/>
      <c r="V48" s="21"/>
      <c r="W48" s="21"/>
      <c r="X48" s="21"/>
      <c r="Y48" s="21"/>
      <c r="Z48" s="21"/>
    </row>
    <row r="49" spans="3:26" ht="12.75">
      <c r="C49" s="92" t="s">
        <v>156</v>
      </c>
      <c r="D49" s="92" t="s">
        <v>157</v>
      </c>
      <c r="E49" s="92" t="s">
        <v>158</v>
      </c>
      <c r="F49" s="21"/>
      <c r="G49" s="21"/>
      <c r="H49" s="21"/>
      <c r="I49" s="21"/>
      <c r="J49" s="21"/>
      <c r="K49" s="21"/>
      <c r="L49" s="21"/>
      <c r="M49" s="21"/>
      <c r="N49" s="21"/>
      <c r="O49" s="21"/>
      <c r="P49" s="21"/>
      <c r="Q49" s="21"/>
      <c r="R49" s="21"/>
      <c r="S49" s="21"/>
      <c r="T49" s="21"/>
      <c r="U49" s="21"/>
      <c r="V49" s="21"/>
      <c r="W49" s="21"/>
      <c r="X49" s="21"/>
      <c r="Y49" s="21"/>
      <c r="Z49" s="21"/>
    </row>
    <row r="50" spans="5:26" ht="12.75">
      <c r="E50" s="67" t="s">
        <v>418</v>
      </c>
      <c r="F50" s="21"/>
      <c r="G50" s="21"/>
      <c r="H50" s="21"/>
      <c r="I50" s="21"/>
      <c r="J50" s="21"/>
      <c r="K50" s="21"/>
      <c r="L50" s="21"/>
      <c r="M50" s="21"/>
      <c r="N50" s="21"/>
      <c r="O50" s="21"/>
      <c r="P50" s="21"/>
      <c r="Q50" s="21"/>
      <c r="R50" s="21"/>
      <c r="S50" s="21"/>
      <c r="T50" s="21"/>
      <c r="U50" s="21"/>
      <c r="V50" s="21"/>
      <c r="W50" s="21"/>
      <c r="X50" s="21"/>
      <c r="Y50" s="21"/>
      <c r="Z50" s="21"/>
    </row>
    <row r="51" spans="3:26" ht="12.75">
      <c r="C51" s="67">
        <f>+C6</f>
        <v>2024</v>
      </c>
      <c r="D51" s="248">
        <f>+D6</f>
        <v>2025</v>
      </c>
      <c r="E51" s="67" t="s">
        <v>419</v>
      </c>
      <c r="F51" s="21"/>
      <c r="G51" s="21"/>
      <c r="H51" s="21"/>
      <c r="I51" s="21"/>
      <c r="J51" s="21"/>
      <c r="K51" s="21"/>
      <c r="L51" s="21"/>
      <c r="M51" s="21"/>
      <c r="N51" s="21"/>
      <c r="O51" s="21"/>
      <c r="P51" s="21"/>
      <c r="Q51" s="21"/>
      <c r="R51" s="21"/>
      <c r="S51" s="21"/>
      <c r="T51" s="21"/>
      <c r="U51" s="21"/>
      <c r="V51" s="21"/>
      <c r="W51" s="21"/>
      <c r="X51" s="21"/>
      <c r="Y51" s="21"/>
      <c r="Z51" s="21"/>
    </row>
    <row r="52" spans="1:26" ht="12.75">
      <c r="A52" s="146">
        <v>1</v>
      </c>
      <c r="B52" t="s">
        <v>420</v>
      </c>
      <c r="C52" s="234">
        <f>+'Revised Revenue Test'!E101</f>
        <v>170950.38450288333</v>
      </c>
      <c r="D52" s="234">
        <f>+'Revised Revenue Test'!F101</f>
        <v>86593.4845241453</v>
      </c>
      <c r="E52" s="77"/>
      <c r="F52" s="21"/>
      <c r="G52" s="21"/>
      <c r="H52" s="21"/>
      <c r="I52" s="21"/>
      <c r="J52" s="21"/>
      <c r="K52" s="21"/>
      <c r="L52" s="21"/>
      <c r="M52" s="21"/>
      <c r="N52" s="21"/>
      <c r="O52" s="21"/>
      <c r="P52" s="21"/>
      <c r="Q52" s="21"/>
      <c r="R52" s="21"/>
      <c r="S52" s="21"/>
      <c r="T52" s="21"/>
      <c r="U52" s="21"/>
      <c r="V52" s="21"/>
      <c r="W52" s="21"/>
      <c r="X52" s="21"/>
      <c r="Y52" s="21"/>
      <c r="Z52" s="21"/>
    </row>
    <row r="53" spans="1:26" ht="12.75">
      <c r="A53" s="146">
        <v>2</v>
      </c>
      <c r="C53" s="77"/>
      <c r="D53" s="77"/>
      <c r="E53" s="78"/>
      <c r="F53" s="21"/>
      <c r="G53" s="21"/>
      <c r="H53" s="21"/>
      <c r="I53" s="21"/>
      <c r="J53" s="234" t="s">
        <v>769</v>
      </c>
      <c r="L53" s="21"/>
      <c r="M53" s="21"/>
      <c r="N53" s="21"/>
      <c r="O53" s="21"/>
      <c r="P53" s="21"/>
      <c r="Q53" s="21"/>
      <c r="R53" s="21"/>
      <c r="S53" s="21"/>
      <c r="T53" s="21"/>
      <c r="U53" s="21"/>
      <c r="V53" s="21"/>
      <c r="W53" s="21"/>
      <c r="X53" s="21"/>
      <c r="Y53" s="21"/>
      <c r="Z53" s="21"/>
    </row>
    <row r="54" spans="1:10" ht="12.75">
      <c r="A54" s="146">
        <v>3</v>
      </c>
      <c r="B54" t="s">
        <v>622</v>
      </c>
      <c r="C54" s="77"/>
      <c r="D54" s="77"/>
      <c r="E54" s="77"/>
      <c r="J54" s="234" t="s">
        <v>770</v>
      </c>
    </row>
    <row r="55" spans="1:5" ht="12.75">
      <c r="A55" s="146">
        <v>4</v>
      </c>
      <c r="B55" t="s">
        <v>421</v>
      </c>
      <c r="C55" s="77">
        <f>+C23</f>
        <v>600000</v>
      </c>
      <c r="D55" s="77">
        <f>+C56</f>
        <v>770950.3845028833</v>
      </c>
      <c r="E55" s="77">
        <f>D56</f>
        <v>857543.8690270286</v>
      </c>
    </row>
    <row r="56" spans="1:5" ht="12.75">
      <c r="A56" s="146">
        <v>5</v>
      </c>
      <c r="B56" t="s">
        <v>422</v>
      </c>
      <c r="C56" s="77">
        <f>C55+C52</f>
        <v>770950.3845028833</v>
      </c>
      <c r="D56" s="77">
        <f>D55+D52</f>
        <v>857543.8690270286</v>
      </c>
      <c r="E56" s="77">
        <f>E55</f>
        <v>857543.8690270286</v>
      </c>
    </row>
    <row r="57" spans="1:5" ht="12.75">
      <c r="A57" s="146">
        <v>6</v>
      </c>
      <c r="B57" s="38" t="s">
        <v>203</v>
      </c>
      <c r="C57" s="77">
        <f>ROUND((C55+C56)*0.5,0)</f>
        <v>685475</v>
      </c>
      <c r="D57" s="77">
        <f>ROUND((D55+D56)*0.5,0)</f>
        <v>814247</v>
      </c>
      <c r="E57" s="77">
        <f>ROUND((E55+E56)*0.5,0)</f>
        <v>857544</v>
      </c>
    </row>
    <row r="58" spans="1:5" ht="12.75">
      <c r="A58" s="146">
        <v>7</v>
      </c>
      <c r="C58" s="77"/>
      <c r="D58" s="77"/>
      <c r="E58" s="77"/>
    </row>
    <row r="59" spans="1:5" ht="12.75">
      <c r="A59" s="146">
        <v>8</v>
      </c>
      <c r="B59" t="s">
        <v>423</v>
      </c>
      <c r="C59" s="79">
        <f>+C27</f>
        <v>0.0038769646556372317</v>
      </c>
      <c r="D59" s="79">
        <f>+D27</f>
        <v>0.00545431846319251</v>
      </c>
      <c r="E59" s="79">
        <f>D59</f>
        <v>0.00545431846319251</v>
      </c>
    </row>
    <row r="60" spans="1:9" ht="12.75">
      <c r="A60" s="146">
        <v>9</v>
      </c>
      <c r="B60" t="s">
        <v>424</v>
      </c>
      <c r="C60" s="85">
        <f>+C59*C57</f>
        <v>2657.5623473229316</v>
      </c>
      <c r="D60" s="85">
        <f>+D59*D57</f>
        <v>4441.162445699112</v>
      </c>
      <c r="E60" s="78">
        <f>ROUND(E57*E59,0)</f>
        <v>4677</v>
      </c>
      <c r="G60" s="21">
        <f>+'Revised Revenue Test'!E95</f>
        <v>171281.50059122642</v>
      </c>
      <c r="H60" s="21">
        <f>+'Revised Revenue Test'!F95</f>
        <v>86829.30416513942</v>
      </c>
      <c r="I60" s="157">
        <f>(G60+H60)/2</f>
        <v>129055.40237818292</v>
      </c>
    </row>
    <row r="61" spans="1:5" ht="12.75">
      <c r="A61" s="146">
        <v>10</v>
      </c>
      <c r="C61" s="80"/>
      <c r="D61" s="80"/>
      <c r="E61" s="80"/>
    </row>
    <row r="62" spans="1:5" ht="12.75">
      <c r="A62" s="146">
        <v>11</v>
      </c>
      <c r="B62" t="s">
        <v>425</v>
      </c>
      <c r="C62" s="81">
        <f>+'Federal DS'!D10</f>
        <v>198</v>
      </c>
      <c r="D62" s="81">
        <f>+'Federal DS'!E10</f>
        <v>421</v>
      </c>
      <c r="E62" s="81">
        <f>+E30</f>
        <v>1381</v>
      </c>
    </row>
    <row r="63" spans="1:5" ht="12.75">
      <c r="A63" s="146">
        <v>12</v>
      </c>
      <c r="C63" s="77"/>
      <c r="D63" s="77"/>
      <c r="E63" s="77"/>
    </row>
    <row r="64" spans="1:5" ht="12" customHeight="1">
      <c r="A64" s="146">
        <v>13</v>
      </c>
      <c r="B64" t="s">
        <v>640</v>
      </c>
      <c r="C64" s="82"/>
      <c r="D64" s="82"/>
      <c r="E64" s="82"/>
    </row>
    <row r="65" spans="1:5" ht="12.75">
      <c r="A65" s="146">
        <v>14</v>
      </c>
      <c r="B65" t="s">
        <v>201</v>
      </c>
      <c r="C65" s="77">
        <f>+C33</f>
        <v>108475</v>
      </c>
      <c r="D65" s="77">
        <f>+C66</f>
        <v>108475</v>
      </c>
      <c r="E65" s="77">
        <f>D66</f>
        <v>108475</v>
      </c>
    </row>
    <row r="66" spans="1:5" ht="12.75">
      <c r="A66" s="146">
        <v>15</v>
      </c>
      <c r="B66" t="s">
        <v>202</v>
      </c>
      <c r="C66" s="77">
        <f>+C34</f>
        <v>108475</v>
      </c>
      <c r="D66" s="77">
        <f>+D34</f>
        <v>108475</v>
      </c>
      <c r="E66" s="78">
        <f>E65</f>
        <v>108475</v>
      </c>
    </row>
    <row r="67" spans="1:5" ht="12.75">
      <c r="A67" s="146">
        <v>16</v>
      </c>
      <c r="B67" s="38" t="s">
        <v>203</v>
      </c>
      <c r="C67" s="77">
        <f>+C35</f>
        <v>108475</v>
      </c>
      <c r="D67" s="77">
        <f>+D35</f>
        <v>108475</v>
      </c>
      <c r="E67" s="77">
        <f>E66</f>
        <v>108475</v>
      </c>
    </row>
    <row r="68" spans="1:5" ht="12.75">
      <c r="A68" s="146">
        <v>17</v>
      </c>
      <c r="B68" s="28" t="s">
        <v>141</v>
      </c>
      <c r="C68" s="77">
        <f>+C67*C59</f>
        <v>420.5537410202487</v>
      </c>
      <c r="D68" s="77">
        <f>+D67*D59</f>
        <v>591.6571952948075</v>
      </c>
      <c r="E68" s="81">
        <f>E67*E59</f>
        <v>591.6571952948075</v>
      </c>
    </row>
    <row r="69" ht="10.5" customHeight="1">
      <c r="A69" s="146">
        <v>18</v>
      </c>
    </row>
    <row r="70" spans="1:5" ht="12.75">
      <c r="A70" s="159">
        <v>19</v>
      </c>
      <c r="B70" s="158" t="s">
        <v>430</v>
      </c>
      <c r="C70" s="158"/>
      <c r="D70" s="160"/>
      <c r="E70" s="160"/>
    </row>
    <row r="71" spans="1:5" ht="12.75">
      <c r="A71" s="159">
        <v>20</v>
      </c>
      <c r="B71" s="158" t="s">
        <v>201</v>
      </c>
      <c r="C71" s="160"/>
      <c r="D71" s="160"/>
      <c r="E71" s="160"/>
    </row>
    <row r="72" spans="1:5" ht="12.75">
      <c r="A72" s="159">
        <v>21</v>
      </c>
      <c r="B72" s="161" t="s">
        <v>422</v>
      </c>
      <c r="C72" s="160"/>
      <c r="D72" s="160"/>
      <c r="E72" s="160"/>
    </row>
    <row r="73" spans="1:5" ht="12.75">
      <c r="A73" s="159">
        <v>22</v>
      </c>
      <c r="B73" s="162" t="s">
        <v>203</v>
      </c>
      <c r="C73" s="160"/>
      <c r="D73" s="160"/>
      <c r="E73" s="160"/>
    </row>
    <row r="74" spans="1:5" ht="12.75">
      <c r="A74" s="159">
        <v>24</v>
      </c>
      <c r="B74" s="161" t="s">
        <v>141</v>
      </c>
      <c r="C74" s="163"/>
      <c r="D74" s="163"/>
      <c r="E74" s="163"/>
    </row>
    <row r="75" spans="1:5" ht="12.75">
      <c r="A75" s="159">
        <v>25</v>
      </c>
      <c r="B75" s="158"/>
      <c r="C75" s="158"/>
      <c r="D75" s="158"/>
      <c r="E75" s="158"/>
    </row>
    <row r="76" spans="1:5" ht="12.75">
      <c r="A76" s="146">
        <v>26</v>
      </c>
      <c r="B76" s="28" t="s">
        <v>426</v>
      </c>
      <c r="C76" s="78">
        <f>C60+C62+C68+C74</f>
        <v>3276.1160883431803</v>
      </c>
      <c r="D76" s="78">
        <f>D60+D62+D68+D74</f>
        <v>5453.819640993919</v>
      </c>
      <c r="E76" s="78">
        <f>E60+E62+E68+E74</f>
        <v>6649.657195294807</v>
      </c>
    </row>
    <row r="77" ht="12.75">
      <c r="A77" s="146">
        <v>27</v>
      </c>
    </row>
    <row r="78" spans="1:5" ht="12.75">
      <c r="A78" s="146">
        <v>28</v>
      </c>
      <c r="B78" s="5" t="s">
        <v>427</v>
      </c>
      <c r="C78" s="93">
        <f>ROUND((C55+C65+C71)*C59,0)</f>
        <v>2747</v>
      </c>
      <c r="D78" s="93">
        <f>ROUND((D55+D65+D71)*D59,0)</f>
        <v>4797</v>
      </c>
      <c r="E78" s="77"/>
    </row>
    <row r="79" spans="1:5" ht="12.75">
      <c r="A79" s="146">
        <v>29</v>
      </c>
      <c r="B79" s="5" t="s">
        <v>428</v>
      </c>
      <c r="C79" s="24">
        <f>C62</f>
        <v>198</v>
      </c>
      <c r="D79" s="24">
        <f>D62</f>
        <v>421</v>
      </c>
      <c r="E79" s="77"/>
    </row>
    <row r="80" spans="1:5" ht="12.75">
      <c r="A80" s="146">
        <v>30</v>
      </c>
      <c r="B80" s="94" t="s">
        <v>429</v>
      </c>
      <c r="C80" s="93">
        <f>SUM(C78:C79)</f>
        <v>2945</v>
      </c>
      <c r="D80" s="93">
        <f>SUM(D78:D79)</f>
        <v>5218</v>
      </c>
      <c r="E80" s="77"/>
    </row>
    <row r="84" spans="1:5" ht="12.75">
      <c r="A84" s="491" t="s">
        <v>416</v>
      </c>
      <c r="B84" s="491"/>
      <c r="C84" s="491"/>
      <c r="D84" s="491"/>
      <c r="E84" s="491"/>
    </row>
    <row r="85" spans="1:5" ht="12.75">
      <c r="A85" s="491" t="s">
        <v>431</v>
      </c>
      <c r="B85" s="491"/>
      <c r="C85" s="491"/>
      <c r="D85" s="491"/>
      <c r="E85" s="491"/>
    </row>
    <row r="86" spans="1:5" ht="12.75">
      <c r="A86" s="491" t="s">
        <v>246</v>
      </c>
      <c r="B86" s="491"/>
      <c r="C86" s="491"/>
      <c r="D86" s="491"/>
      <c r="E86" s="491"/>
    </row>
    <row r="88" spans="3:5" ht="12.75">
      <c r="C88" s="92" t="s">
        <v>156</v>
      </c>
      <c r="D88" s="92" t="s">
        <v>157</v>
      </c>
      <c r="E88" s="92" t="s">
        <v>158</v>
      </c>
    </row>
    <row r="89" ht="12.75">
      <c r="E89" s="83" t="s">
        <v>418</v>
      </c>
    </row>
    <row r="90" spans="3:5" ht="12.75">
      <c r="C90" s="83">
        <f>+C51</f>
        <v>2024</v>
      </c>
      <c r="D90" s="92">
        <f>+D51</f>
        <v>2025</v>
      </c>
      <c r="E90" s="83" t="s">
        <v>419</v>
      </c>
    </row>
    <row r="91" spans="1:5" ht="12.75">
      <c r="A91" s="146">
        <v>1</v>
      </c>
      <c r="B91" t="s">
        <v>420</v>
      </c>
      <c r="C91" s="77">
        <f>+'Current Revenue Test'!E97</f>
        <v>-1460.2380329358566</v>
      </c>
      <c r="D91" s="77">
        <f>+'Current Revenue Test'!F97</f>
        <v>-184111.91978800003</v>
      </c>
      <c r="E91" s="77"/>
    </row>
    <row r="92" spans="1:5" ht="12.75">
      <c r="A92" s="146">
        <v>2</v>
      </c>
      <c r="C92" s="77"/>
      <c r="D92" s="77"/>
      <c r="E92" s="78"/>
    </row>
    <row r="93" spans="1:5" ht="12.75">
      <c r="A93" s="146">
        <v>3</v>
      </c>
      <c r="B93" t="s">
        <v>622</v>
      </c>
      <c r="C93" s="77"/>
      <c r="D93" s="77"/>
      <c r="E93" s="77"/>
    </row>
    <row r="94" spans="1:5" ht="12.75">
      <c r="A94" s="146">
        <v>4</v>
      </c>
      <c r="B94" t="s">
        <v>421</v>
      </c>
      <c r="C94" s="77">
        <f>+C23</f>
        <v>600000</v>
      </c>
      <c r="D94" s="77">
        <f>+C95</f>
        <v>598539.7619670641</v>
      </c>
      <c r="E94" s="77">
        <f>D95</f>
        <v>414427.84217906406</v>
      </c>
    </row>
    <row r="95" spans="1:5" ht="12.75">
      <c r="A95" s="146">
        <v>5</v>
      </c>
      <c r="B95" t="s">
        <v>422</v>
      </c>
      <c r="C95" s="77">
        <f>C94+C91+C92</f>
        <v>598539.7619670641</v>
      </c>
      <c r="D95" s="77">
        <f>D94+D91+D92</f>
        <v>414427.84217906406</v>
      </c>
      <c r="E95" s="77">
        <f>E94</f>
        <v>414427.84217906406</v>
      </c>
    </row>
    <row r="96" spans="1:5" ht="12.75">
      <c r="A96" s="146">
        <v>6</v>
      </c>
      <c r="B96" s="38" t="s">
        <v>203</v>
      </c>
      <c r="C96" s="77">
        <f>ROUND((C94+C95)*0.5,0)</f>
        <v>599270</v>
      </c>
      <c r="D96" s="77">
        <f>ROUND((D94+D95)*0.5,0)</f>
        <v>506484</v>
      </c>
      <c r="E96" s="77">
        <f>ROUND((E94+E95)*0.5,0)</f>
        <v>414428</v>
      </c>
    </row>
    <row r="97" spans="1:5" ht="12.75">
      <c r="A97" s="146">
        <v>7</v>
      </c>
      <c r="C97" s="77"/>
      <c r="D97" s="77"/>
      <c r="E97" s="77"/>
    </row>
    <row r="98" spans="1:5" ht="12.75">
      <c r="A98" s="146">
        <v>8</v>
      </c>
      <c r="B98" s="28" t="s">
        <v>423</v>
      </c>
      <c r="C98" s="87">
        <f>+C59</f>
        <v>0.0038769646556372317</v>
      </c>
      <c r="D98" s="87">
        <f>+D59</f>
        <v>0.00545431846319251</v>
      </c>
      <c r="E98" s="87">
        <f>D98</f>
        <v>0.00545431846319251</v>
      </c>
    </row>
    <row r="99" spans="1:5" ht="12.75">
      <c r="A99" s="146">
        <v>9</v>
      </c>
      <c r="B99" s="28" t="s">
        <v>424</v>
      </c>
      <c r="C99" s="78">
        <f>ROUND(C96*C98,0)</f>
        <v>2323</v>
      </c>
      <c r="D99" s="78">
        <f>ROUND(D96*D98,0)</f>
        <v>2763</v>
      </c>
      <c r="E99" s="78">
        <f>ROUND(E96*E98,0)</f>
        <v>2260</v>
      </c>
    </row>
    <row r="100" spans="1:5" ht="12.75">
      <c r="A100" s="146">
        <v>10</v>
      </c>
      <c r="B100" s="28"/>
      <c r="C100" s="78"/>
      <c r="D100" s="78"/>
      <c r="E100" s="78"/>
    </row>
    <row r="101" spans="1:5" ht="12.75">
      <c r="A101" s="146">
        <v>11</v>
      </c>
      <c r="B101" s="28" t="s">
        <v>425</v>
      </c>
      <c r="C101" s="88">
        <f>+C62</f>
        <v>198</v>
      </c>
      <c r="D101" s="88">
        <f>+D62</f>
        <v>421</v>
      </c>
      <c r="E101" s="88"/>
    </row>
    <row r="102" spans="1:5" ht="12.75">
      <c r="A102" s="146">
        <v>12</v>
      </c>
      <c r="B102" s="28"/>
      <c r="C102" s="78"/>
      <c r="D102" s="78"/>
      <c r="E102" s="78"/>
    </row>
    <row r="103" spans="1:5" ht="12.75">
      <c r="A103" s="146">
        <v>13</v>
      </c>
      <c r="B103" t="s">
        <v>640</v>
      </c>
      <c r="C103" s="88"/>
      <c r="D103" s="88"/>
      <c r="E103" s="88"/>
    </row>
    <row r="104" spans="1:5" ht="12.75">
      <c r="A104" s="146">
        <v>14</v>
      </c>
      <c r="B104" s="28" t="s">
        <v>201</v>
      </c>
      <c r="C104" s="78">
        <f aca="true" t="shared" si="18" ref="C104:D106">+C65</f>
        <v>108475</v>
      </c>
      <c r="D104" s="78">
        <f t="shared" si="18"/>
        <v>108475</v>
      </c>
      <c r="E104" s="78">
        <f>D105</f>
        <v>108475</v>
      </c>
    </row>
    <row r="105" spans="1:5" ht="12.75">
      <c r="A105" s="146">
        <v>15</v>
      </c>
      <c r="B105" s="28" t="s">
        <v>202</v>
      </c>
      <c r="C105" s="78">
        <f t="shared" si="18"/>
        <v>108475</v>
      </c>
      <c r="D105" s="78">
        <f t="shared" si="18"/>
        <v>108475</v>
      </c>
      <c r="E105" s="78">
        <f>E104</f>
        <v>108475</v>
      </c>
    </row>
    <row r="106" spans="1:5" ht="12.75">
      <c r="A106" s="146">
        <v>16</v>
      </c>
      <c r="B106" s="89" t="s">
        <v>203</v>
      </c>
      <c r="C106" s="78">
        <f t="shared" si="18"/>
        <v>108475</v>
      </c>
      <c r="D106" s="78">
        <f t="shared" si="18"/>
        <v>108475</v>
      </c>
      <c r="E106" s="78">
        <f>E105</f>
        <v>108475</v>
      </c>
    </row>
    <row r="107" spans="1:5" ht="12.75">
      <c r="A107" s="146">
        <v>17</v>
      </c>
      <c r="B107" s="28" t="s">
        <v>141</v>
      </c>
      <c r="C107" s="78">
        <f>+C106*C98</f>
        <v>420.5537410202487</v>
      </c>
      <c r="D107" s="78">
        <f>+D106*D98</f>
        <v>591.6571952948075</v>
      </c>
      <c r="E107" s="88">
        <f>E106*E98</f>
        <v>591.6571952948075</v>
      </c>
    </row>
    <row r="108" spans="1:5" ht="12.75">
      <c r="A108" s="146">
        <v>18</v>
      </c>
      <c r="B108" s="28"/>
      <c r="C108" s="28"/>
      <c r="D108" s="28"/>
      <c r="E108" s="28"/>
    </row>
    <row r="109" spans="1:5" ht="12.75">
      <c r="A109" s="159">
        <v>19</v>
      </c>
      <c r="B109" s="161" t="s">
        <v>430</v>
      </c>
      <c r="C109" s="161"/>
      <c r="D109" s="164"/>
      <c r="E109" s="164"/>
    </row>
    <row r="110" spans="1:5" ht="12.75">
      <c r="A110" s="159">
        <v>20</v>
      </c>
      <c r="B110" s="161" t="s">
        <v>201</v>
      </c>
      <c r="C110" s="164"/>
      <c r="D110" s="164"/>
      <c r="E110" s="164"/>
    </row>
    <row r="111" spans="1:5" ht="12.75">
      <c r="A111" s="159">
        <v>21</v>
      </c>
      <c r="B111" s="161" t="s">
        <v>202</v>
      </c>
      <c r="C111" s="164"/>
      <c r="D111" s="164"/>
      <c r="E111" s="164"/>
    </row>
    <row r="112" spans="1:5" ht="12.75">
      <c r="A112" s="159">
        <v>22</v>
      </c>
      <c r="B112" s="165" t="s">
        <v>203</v>
      </c>
      <c r="C112" s="164"/>
      <c r="D112" s="164"/>
      <c r="E112" s="164"/>
    </row>
    <row r="113" spans="1:5" ht="12.75">
      <c r="A113" s="159">
        <v>24</v>
      </c>
      <c r="B113" s="161" t="s">
        <v>141</v>
      </c>
      <c r="C113" s="166"/>
      <c r="D113" s="166"/>
      <c r="E113" s="166"/>
    </row>
    <row r="114" spans="1:5" ht="12.75">
      <c r="A114" s="159">
        <v>25</v>
      </c>
      <c r="B114" s="161"/>
      <c r="C114" s="163"/>
      <c r="D114" s="163"/>
      <c r="E114" s="163"/>
    </row>
    <row r="115" spans="1:5" ht="12.75">
      <c r="A115" s="146">
        <v>26</v>
      </c>
      <c r="B115" s="28" t="s">
        <v>426</v>
      </c>
      <c r="C115" s="78">
        <f>C99+C101+C107+C113</f>
        <v>2941.5537410202487</v>
      </c>
      <c r="D115" s="78">
        <f>D99+D101+D107+D113</f>
        <v>3775.6571952948075</v>
      </c>
      <c r="E115" s="78">
        <f>E99+E101+E107+E113</f>
        <v>2851.6571952948075</v>
      </c>
    </row>
    <row r="116" ht="12.75">
      <c r="A116" s="146">
        <v>27</v>
      </c>
    </row>
    <row r="117" spans="1:5" ht="12.75">
      <c r="A117" s="146">
        <v>28</v>
      </c>
      <c r="B117" s="5" t="s">
        <v>427</v>
      </c>
      <c r="C117" s="93">
        <f>ROUND((C94+C104+C110)*C98,0)</f>
        <v>2747</v>
      </c>
      <c r="D117" s="93">
        <f>ROUND((D94+D104+D110)*D98,0)</f>
        <v>3856</v>
      </c>
      <c r="E117" s="77"/>
    </row>
    <row r="118" spans="1:5" ht="12.75">
      <c r="A118" s="146">
        <v>29</v>
      </c>
      <c r="B118" s="5" t="s">
        <v>428</v>
      </c>
      <c r="C118" s="24">
        <f>C101</f>
        <v>198</v>
      </c>
      <c r="D118" s="24">
        <f>D101</f>
        <v>421</v>
      </c>
      <c r="E118" s="77"/>
    </row>
    <row r="119" spans="1:5" ht="12.75">
      <c r="A119" s="146">
        <v>30</v>
      </c>
      <c r="B119" s="94" t="s">
        <v>429</v>
      </c>
      <c r="C119" s="93">
        <f>SUM(C117:C118)</f>
        <v>2945</v>
      </c>
      <c r="D119" s="93">
        <f>SUM(D117:D118)</f>
        <v>4277</v>
      </c>
      <c r="E119" s="77"/>
    </row>
    <row r="127" ht="12.75">
      <c r="B127" s="28"/>
    </row>
    <row r="128" ht="12.75">
      <c r="B128" s="28"/>
    </row>
    <row r="130" spans="2:30" ht="12.75">
      <c r="B130" s="35" t="s">
        <v>841</v>
      </c>
      <c r="C130">
        <v>0.015507858622548927</v>
      </c>
      <c r="D130" s="15">
        <v>0.02181727385277004</v>
      </c>
      <c r="E130">
        <v>0.026197063332991148</v>
      </c>
      <c r="F130">
        <v>0.02882267583299115</v>
      </c>
      <c r="G130">
        <v>0.029616830207991152</v>
      </c>
      <c r="H130">
        <v>0.02969158770799115</v>
      </c>
      <c r="I130">
        <v>0.02965386333299115</v>
      </c>
      <c r="J130">
        <v>0.02963274333299115</v>
      </c>
      <c r="K130">
        <v>0.02962310395799115</v>
      </c>
      <c r="L130">
        <v>0.02962124958299115</v>
      </c>
      <c r="M130">
        <v>0.02962124958299115</v>
      </c>
      <c r="N130">
        <v>0.02962124958299115</v>
      </c>
      <c r="O130">
        <v>0.02962124958299115</v>
      </c>
      <c r="P130" s="28">
        <v>0.02962124958299115</v>
      </c>
      <c r="Q130" s="28">
        <v>0.02962124958299115</v>
      </c>
      <c r="R130">
        <v>0.02962124958299115</v>
      </c>
      <c r="S130">
        <v>0.02962124958299115</v>
      </c>
      <c r="T130">
        <v>0.02962124958299115</v>
      </c>
      <c r="U130">
        <v>0.02962124958299115</v>
      </c>
      <c r="V130">
        <v>0.02962124958299115</v>
      </c>
      <c r="W130" s="17">
        <v>0.02962124958299115</v>
      </c>
      <c r="X130" s="17">
        <v>0.02962124958299115</v>
      </c>
      <c r="Y130" s="17">
        <v>0.02962124958299115</v>
      </c>
      <c r="Z130" s="29">
        <v>0.02962124958299115</v>
      </c>
      <c r="AA130">
        <v>0.02962124958299115</v>
      </c>
      <c r="AB130">
        <v>0.02962124958299115</v>
      </c>
      <c r="AC130">
        <v>0.02962124958299115</v>
      </c>
      <c r="AD130">
        <v>0.02962124958299115</v>
      </c>
    </row>
    <row r="131" spans="2:30" ht="12.75">
      <c r="B131" s="35" t="s">
        <v>842</v>
      </c>
      <c r="C131" s="382">
        <f>+C130/4</f>
        <v>0.0038769646556372317</v>
      </c>
      <c r="D131" s="382">
        <f aca="true" t="shared" si="19" ref="D131:AD131">+D130/4</f>
        <v>0.00545431846319251</v>
      </c>
      <c r="E131" s="382">
        <f t="shared" si="19"/>
        <v>0.006549265833247787</v>
      </c>
      <c r="F131" s="382">
        <f t="shared" si="19"/>
        <v>0.007205668958247788</v>
      </c>
      <c r="G131" s="382">
        <f t="shared" si="19"/>
        <v>0.007404207551997788</v>
      </c>
      <c r="H131" s="382">
        <f t="shared" si="19"/>
        <v>0.007422896926997788</v>
      </c>
      <c r="I131" s="382">
        <f t="shared" si="19"/>
        <v>0.007413465833247788</v>
      </c>
      <c r="J131" s="382">
        <f t="shared" si="19"/>
        <v>0.007408185833247788</v>
      </c>
      <c r="K131" s="382">
        <f t="shared" si="19"/>
        <v>0.007405775989497787</v>
      </c>
      <c r="L131" s="382">
        <f t="shared" si="19"/>
        <v>0.007405312395747788</v>
      </c>
      <c r="M131" s="382">
        <f t="shared" si="19"/>
        <v>0.007405312395747788</v>
      </c>
      <c r="N131" s="382">
        <f t="shared" si="19"/>
        <v>0.007405312395747788</v>
      </c>
      <c r="O131" s="382">
        <f t="shared" si="19"/>
        <v>0.007405312395747788</v>
      </c>
      <c r="P131" s="382">
        <f t="shared" si="19"/>
        <v>0.007405312395747788</v>
      </c>
      <c r="Q131" s="382">
        <f t="shared" si="19"/>
        <v>0.007405312395747788</v>
      </c>
      <c r="R131" s="382">
        <f t="shared" si="19"/>
        <v>0.007405312395747788</v>
      </c>
      <c r="S131" s="382">
        <f t="shared" si="19"/>
        <v>0.007405312395747788</v>
      </c>
      <c r="T131" s="382">
        <f t="shared" si="19"/>
        <v>0.007405312395747788</v>
      </c>
      <c r="U131" s="382">
        <f t="shared" si="19"/>
        <v>0.007405312395747788</v>
      </c>
      <c r="V131" s="382">
        <f t="shared" si="19"/>
        <v>0.007405312395747788</v>
      </c>
      <c r="W131" s="382">
        <f t="shared" si="19"/>
        <v>0.007405312395747788</v>
      </c>
      <c r="X131" s="382">
        <f t="shared" si="19"/>
        <v>0.007405312395747788</v>
      </c>
      <c r="Y131" s="382">
        <f t="shared" si="19"/>
        <v>0.007405312395747788</v>
      </c>
      <c r="Z131" s="382">
        <f t="shared" si="19"/>
        <v>0.007405312395747788</v>
      </c>
      <c r="AA131" s="382">
        <f t="shared" si="19"/>
        <v>0.007405312395747788</v>
      </c>
      <c r="AB131" s="382">
        <f t="shared" si="19"/>
        <v>0.007405312395747788</v>
      </c>
      <c r="AC131" s="382">
        <f t="shared" si="19"/>
        <v>0.007405312395747788</v>
      </c>
      <c r="AD131" s="382">
        <f t="shared" si="19"/>
        <v>0.007405312395747788</v>
      </c>
    </row>
    <row r="132" spans="3:17" ht="12.75">
      <c r="C132" s="21"/>
      <c r="D132" s="21"/>
      <c r="E132" s="21"/>
      <c r="F132" s="21"/>
      <c r="G132" s="21"/>
      <c r="H132" s="21"/>
      <c r="I132" s="21"/>
      <c r="J132" s="21"/>
      <c r="K132" s="21"/>
      <c r="L132" s="21"/>
      <c r="M132" s="21"/>
      <c r="N132" s="21"/>
      <c r="O132" s="21"/>
      <c r="P132" s="21"/>
      <c r="Q132" s="21"/>
    </row>
    <row r="133" spans="2:17" ht="12.75">
      <c r="B133" s="20"/>
      <c r="C133" s="21"/>
      <c r="D133" s="21"/>
      <c r="E133" s="21"/>
      <c r="F133" s="21"/>
      <c r="G133" s="21"/>
      <c r="H133" s="21"/>
      <c r="I133" s="21"/>
      <c r="J133" s="21"/>
      <c r="K133" s="21"/>
      <c r="L133" s="21"/>
      <c r="M133" s="21"/>
      <c r="N133" s="21"/>
      <c r="O133" s="21"/>
      <c r="P133" s="21"/>
      <c r="Q133" s="21"/>
    </row>
    <row r="134" spans="3:17" ht="12.75">
      <c r="C134" s="21"/>
      <c r="D134" s="21"/>
      <c r="E134" s="21"/>
      <c r="F134" s="21"/>
      <c r="G134" s="21"/>
      <c r="H134" s="21"/>
      <c r="I134" s="21"/>
      <c r="J134" s="21"/>
      <c r="K134" s="21"/>
      <c r="L134" s="21"/>
      <c r="M134" s="21"/>
      <c r="N134" s="21"/>
      <c r="O134" s="21"/>
      <c r="P134" s="21"/>
      <c r="Q134" s="21"/>
    </row>
    <row r="135" spans="3:17" ht="12.75">
      <c r="C135" s="21"/>
      <c r="D135" s="21"/>
      <c r="E135" s="21"/>
      <c r="F135" s="21"/>
      <c r="G135" s="21"/>
      <c r="H135" s="21"/>
      <c r="I135" s="21"/>
      <c r="J135" s="21"/>
      <c r="K135" s="21"/>
      <c r="L135" s="21"/>
      <c r="M135" s="21"/>
      <c r="N135" s="21"/>
      <c r="O135" s="21"/>
      <c r="P135" s="21"/>
      <c r="Q135" s="21"/>
    </row>
    <row r="136" spans="1:17" ht="12.75">
      <c r="A136" s="148"/>
      <c r="B136" s="35"/>
      <c r="C136" s="25"/>
      <c r="D136" s="25"/>
      <c r="E136" s="25"/>
      <c r="F136" s="25"/>
      <c r="G136" s="25"/>
      <c r="H136" s="25"/>
      <c r="I136" s="25"/>
      <c r="J136" s="25"/>
      <c r="K136" s="25"/>
      <c r="L136" s="25"/>
      <c r="M136" s="25"/>
      <c r="N136" s="25"/>
      <c r="O136" s="25"/>
      <c r="P136" s="25"/>
      <c r="Q136" s="25"/>
    </row>
    <row r="137" spans="3:17" ht="12.75">
      <c r="C137" s="22"/>
      <c r="D137" s="22"/>
      <c r="E137" s="22"/>
      <c r="F137" s="22"/>
      <c r="G137" s="22"/>
      <c r="H137" s="22"/>
      <c r="I137" s="22"/>
      <c r="J137" s="22"/>
      <c r="K137" s="22"/>
      <c r="L137" s="22"/>
      <c r="M137" s="22"/>
      <c r="N137" s="22"/>
      <c r="O137" s="22"/>
      <c r="P137" s="22"/>
      <c r="Q137" s="22"/>
    </row>
    <row r="138" spans="2:17" ht="12.75">
      <c r="B138" s="33"/>
      <c r="C138" s="21"/>
      <c r="D138" s="21"/>
      <c r="E138" s="21"/>
      <c r="F138" s="21"/>
      <c r="G138" s="21"/>
      <c r="H138" s="21"/>
      <c r="I138" s="21"/>
      <c r="J138" s="21"/>
      <c r="K138" s="21"/>
      <c r="L138" s="21"/>
      <c r="M138" s="21"/>
      <c r="N138" s="21"/>
      <c r="O138" s="21"/>
      <c r="P138" s="21"/>
      <c r="Q138" s="21"/>
    </row>
    <row r="139" spans="3:17" ht="12.75">
      <c r="C139" s="21"/>
      <c r="D139" s="21"/>
      <c r="E139" s="21"/>
      <c r="F139" s="21"/>
      <c r="G139" s="21"/>
      <c r="H139" s="21"/>
      <c r="I139" s="21"/>
      <c r="J139" s="21"/>
      <c r="K139" s="21"/>
      <c r="L139" s="21"/>
      <c r="M139" s="21"/>
      <c r="N139" s="21"/>
      <c r="O139" s="21"/>
      <c r="P139" s="21"/>
      <c r="Q139" s="21"/>
    </row>
    <row r="140" spans="2:17" ht="12.75">
      <c r="B140" s="20"/>
      <c r="C140" s="21"/>
      <c r="D140" s="21"/>
      <c r="E140" s="21"/>
      <c r="F140" s="21"/>
      <c r="G140" s="21"/>
      <c r="H140" s="21"/>
      <c r="I140" s="21"/>
      <c r="J140" s="21"/>
      <c r="K140" s="21"/>
      <c r="L140" s="21"/>
      <c r="M140" s="21"/>
      <c r="N140" s="21"/>
      <c r="O140" s="21"/>
      <c r="P140" s="21"/>
      <c r="Q140" s="21"/>
    </row>
    <row r="141" spans="2:17" ht="12.75">
      <c r="B141" s="30"/>
      <c r="C141" s="21"/>
      <c r="D141" s="21"/>
      <c r="E141" s="21"/>
      <c r="F141" s="21"/>
      <c r="G141" s="21"/>
      <c r="H141" s="21"/>
      <c r="I141" s="21"/>
      <c r="J141" s="21"/>
      <c r="K141" s="21"/>
      <c r="L141" s="21"/>
      <c r="M141" s="21"/>
      <c r="N141" s="21"/>
      <c r="O141" s="21"/>
      <c r="P141" s="21"/>
      <c r="Q141" s="21"/>
    </row>
    <row r="142" spans="2:17" ht="12.75">
      <c r="B142" s="31"/>
      <c r="C142" s="16"/>
      <c r="D142" s="16"/>
      <c r="E142" s="16"/>
      <c r="F142" s="16"/>
      <c r="G142" s="16"/>
      <c r="H142" s="16"/>
      <c r="I142" s="16"/>
      <c r="J142" s="16"/>
      <c r="K142" s="16"/>
      <c r="L142" s="16"/>
      <c r="M142" s="16"/>
      <c r="N142" s="16"/>
      <c r="O142" s="16"/>
      <c r="P142" s="16"/>
      <c r="Q142" s="16"/>
    </row>
    <row r="143" spans="2:17" ht="12.75">
      <c r="B143" s="32"/>
      <c r="C143" s="21"/>
      <c r="D143" s="21"/>
      <c r="E143" s="21"/>
      <c r="F143" s="21"/>
      <c r="G143" s="21"/>
      <c r="H143" s="21"/>
      <c r="I143" s="21"/>
      <c r="J143" s="21"/>
      <c r="K143" s="21"/>
      <c r="L143" s="21"/>
      <c r="M143" s="21"/>
      <c r="N143" s="21"/>
      <c r="O143" s="21"/>
      <c r="P143" s="21"/>
      <c r="Q143" s="21"/>
    </row>
    <row r="144" spans="2:17" ht="12.75">
      <c r="B144" s="32"/>
      <c r="C144" s="21"/>
      <c r="D144" s="21"/>
      <c r="E144" s="21"/>
      <c r="F144" s="21"/>
      <c r="G144" s="21"/>
      <c r="H144" s="21"/>
      <c r="I144" s="21"/>
      <c r="J144" s="21"/>
      <c r="K144" s="21"/>
      <c r="L144" s="21"/>
      <c r="M144" s="21"/>
      <c r="N144" s="21"/>
      <c r="O144" s="21"/>
      <c r="P144" s="21"/>
      <c r="Q144" s="21"/>
    </row>
    <row r="145" spans="2:17" ht="12.75">
      <c r="B145" s="32"/>
      <c r="C145" s="21"/>
      <c r="D145" s="21"/>
      <c r="E145" s="21"/>
      <c r="F145" s="21"/>
      <c r="G145" s="21"/>
      <c r="H145" s="21"/>
      <c r="I145" s="21"/>
      <c r="J145" s="21"/>
      <c r="K145" s="21"/>
      <c r="L145" s="21"/>
      <c r="M145" s="21"/>
      <c r="N145" s="21"/>
      <c r="O145" s="21"/>
      <c r="P145" s="21"/>
      <c r="Q145" s="21"/>
    </row>
    <row r="146" spans="2:17" ht="12.75">
      <c r="B146" s="34"/>
      <c r="C146" s="21"/>
      <c r="D146" s="21"/>
      <c r="E146" s="21"/>
      <c r="F146" s="21"/>
      <c r="G146" s="21"/>
      <c r="H146" s="21"/>
      <c r="I146" s="21"/>
      <c r="J146" s="21"/>
      <c r="K146" s="21"/>
      <c r="L146" s="21"/>
      <c r="M146" s="21"/>
      <c r="N146" s="21"/>
      <c r="O146" s="21"/>
      <c r="P146" s="21"/>
      <c r="Q146" s="21"/>
    </row>
  </sheetData>
  <mergeCells count="8">
    <mergeCell ref="A15:E15"/>
    <mergeCell ref="A16:E16"/>
    <mergeCell ref="A84:E84"/>
    <mergeCell ref="A85:E85"/>
    <mergeCell ref="A86:E86"/>
    <mergeCell ref="A45:E45"/>
    <mergeCell ref="A47:E47"/>
    <mergeCell ref="A46:E46"/>
  </mergeCells>
  <conditionalFormatting sqref="C142:Q142">
    <cfRule type="expression" priority="15" dxfId="0" stopIfTrue="1">
      <formula>IF(AND(C38="",ROW()&lt;MATCH($B:$B,"Revenue Credits / Rate Design Adjustments",0)),TRUE,FALSE)</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K24"/>
  <sheetViews>
    <sheetView workbookViewId="0" topLeftCell="A1">
      <selection activeCell="C19" sqref="C19"/>
    </sheetView>
  </sheetViews>
  <sheetFormatPr defaultColWidth="9.140625" defaultRowHeight="12.75"/>
  <cols>
    <col min="3" max="3" width="28.57421875" style="0" customWidth="1"/>
    <col min="4" max="4" width="12.8515625" style="0" bestFit="1" customWidth="1"/>
  </cols>
  <sheetData>
    <row r="1" ht="12.75">
      <c r="A1" t="s">
        <v>142</v>
      </c>
    </row>
    <row r="2" ht="12.75">
      <c r="K2" s="35"/>
    </row>
    <row r="3" ht="12.75">
      <c r="K3" s="35"/>
    </row>
    <row r="4" ht="15.75">
      <c r="K4" s="179"/>
    </row>
    <row r="5" spans="4:11" ht="15.75">
      <c r="D5">
        <v>2024</v>
      </c>
      <c r="E5">
        <v>2025</v>
      </c>
      <c r="K5" s="179"/>
    </row>
    <row r="6" spans="3:11" ht="27.75" customHeight="1">
      <c r="C6" t="s">
        <v>414</v>
      </c>
      <c r="D6" s="391">
        <v>0.4</v>
      </c>
      <c r="E6" s="391">
        <f>+D6</f>
        <v>0.4</v>
      </c>
      <c r="I6" s="35"/>
      <c r="K6" s="179"/>
    </row>
    <row r="7" spans="3:10" ht="12.75">
      <c r="C7" t="s">
        <v>415</v>
      </c>
      <c r="D7" s="114">
        <v>0.26</v>
      </c>
      <c r="E7" s="114">
        <f>+D7</f>
        <v>0.26</v>
      </c>
      <c r="I7" s="35"/>
      <c r="J7" s="35"/>
    </row>
    <row r="8" spans="3:9" ht="12.75">
      <c r="C8" s="35" t="s">
        <v>639</v>
      </c>
      <c r="D8" s="6">
        <f>1-D7-D6</f>
        <v>0.33999999999999997</v>
      </c>
      <c r="E8" s="6">
        <f>1-E7-E6</f>
        <v>0.33999999999999997</v>
      </c>
      <c r="I8" s="35"/>
    </row>
    <row r="9" ht="12.75">
      <c r="I9" s="35"/>
    </row>
    <row r="10" ht="12.75">
      <c r="I10" s="35"/>
    </row>
    <row r="12" ht="12.75">
      <c r="C12" s="35" t="s">
        <v>877</v>
      </c>
    </row>
    <row r="13" ht="15">
      <c r="C13" s="390" t="s">
        <v>852</v>
      </c>
    </row>
    <row r="14" ht="15">
      <c r="C14" s="390" t="s">
        <v>853</v>
      </c>
    </row>
    <row r="15" ht="15">
      <c r="C15" s="390" t="s">
        <v>854</v>
      </c>
    </row>
    <row r="16" ht="15">
      <c r="C16" s="390" t="s">
        <v>855</v>
      </c>
    </row>
    <row r="18" spans="3:5" ht="12.75">
      <c r="C18" s="1"/>
      <c r="D18" s="2"/>
      <c r="E18" s="2"/>
    </row>
    <row r="19" spans="3:5" ht="12.75">
      <c r="C19" s="1"/>
      <c r="D19" s="2"/>
      <c r="E19" s="2"/>
    </row>
    <row r="20" spans="3:5" ht="12.75">
      <c r="C20" s="1"/>
      <c r="D20" s="2"/>
      <c r="E20" s="2"/>
    </row>
    <row r="21" spans="3:5" ht="12.75">
      <c r="C21" s="1"/>
      <c r="D21" s="2"/>
      <c r="E21" s="2"/>
    </row>
    <row r="22" spans="3:5" ht="12.75">
      <c r="C22" s="1"/>
      <c r="D22" s="2"/>
      <c r="E22" s="2"/>
    </row>
    <row r="23" spans="3:5" ht="12.75">
      <c r="C23" s="1"/>
      <c r="D23" s="2"/>
      <c r="E23" s="2"/>
    </row>
    <row r="24" spans="3:5" ht="12.75">
      <c r="C24" s="1"/>
      <c r="D24" s="2"/>
      <c r="E24" s="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Q150"/>
  <sheetViews>
    <sheetView showGridLines="0" workbookViewId="0" topLeftCell="A40">
      <selection activeCell="E98" sqref="E98"/>
    </sheetView>
  </sheetViews>
  <sheetFormatPr defaultColWidth="9.140625" defaultRowHeight="12.75"/>
  <cols>
    <col min="1" max="1" width="3.7109375" style="288" customWidth="1"/>
    <col min="2" max="2" width="4.421875" style="288" customWidth="1"/>
    <col min="3" max="3" width="4.28125" style="288" customWidth="1"/>
    <col min="4" max="4" width="58.7109375" style="288" customWidth="1"/>
    <col min="5" max="5" width="11.28125" style="288" customWidth="1"/>
    <col min="6" max="6" width="13.28125" style="288" customWidth="1"/>
    <col min="7" max="7" width="10.421875" style="288" customWidth="1"/>
    <col min="8" max="8" width="9.7109375" style="288" bestFit="1" customWidth="1"/>
    <col min="9" max="9" width="9.57421875" style="288" customWidth="1"/>
    <col min="10" max="10" width="9.140625" style="288" customWidth="1"/>
    <col min="11" max="11" width="4.57421875" style="288" customWidth="1"/>
    <col min="12" max="12" width="6.28125" style="288" customWidth="1"/>
    <col min="13" max="13" width="52.57421875" style="288" bestFit="1" customWidth="1"/>
    <col min="14" max="15" width="10.421875" style="288" bestFit="1" customWidth="1"/>
    <col min="16" max="17" width="11.140625" style="288" bestFit="1" customWidth="1"/>
    <col min="18" max="256" width="9.140625" style="288" customWidth="1"/>
    <col min="257" max="257" width="3.7109375" style="288" customWidth="1"/>
    <col min="258" max="258" width="4.421875" style="288" customWidth="1"/>
    <col min="259" max="259" width="4.28125" style="288" customWidth="1"/>
    <col min="260" max="260" width="58.7109375" style="288" customWidth="1"/>
    <col min="261" max="261" width="11.28125" style="288" customWidth="1"/>
    <col min="262" max="262" width="10.00390625" style="288" customWidth="1"/>
    <col min="263" max="263" width="10.421875" style="288" customWidth="1"/>
    <col min="264" max="264" width="9.7109375" style="288" bestFit="1" customWidth="1"/>
    <col min="265" max="265" width="9.57421875" style="288" customWidth="1"/>
    <col min="266" max="266" width="9.140625" style="288" customWidth="1"/>
    <col min="267" max="270" width="9.7109375" style="288" bestFit="1" customWidth="1"/>
    <col min="271" max="512" width="9.140625" style="288" customWidth="1"/>
    <col min="513" max="513" width="3.7109375" style="288" customWidth="1"/>
    <col min="514" max="514" width="4.421875" style="288" customWidth="1"/>
    <col min="515" max="515" width="4.28125" style="288" customWidth="1"/>
    <col min="516" max="516" width="58.7109375" style="288" customWidth="1"/>
    <col min="517" max="517" width="11.28125" style="288" customWidth="1"/>
    <col min="518" max="518" width="10.00390625" style="288" customWidth="1"/>
    <col min="519" max="519" width="10.421875" style="288" customWidth="1"/>
    <col min="520" max="520" width="9.7109375" style="288" bestFit="1" customWidth="1"/>
    <col min="521" max="521" width="9.57421875" style="288" customWidth="1"/>
    <col min="522" max="522" width="9.140625" style="288" customWidth="1"/>
    <col min="523" max="526" width="9.7109375" style="288" bestFit="1" customWidth="1"/>
    <col min="527" max="768" width="9.140625" style="288" customWidth="1"/>
    <col min="769" max="769" width="3.7109375" style="288" customWidth="1"/>
    <col min="770" max="770" width="4.421875" style="288" customWidth="1"/>
    <col min="771" max="771" width="4.28125" style="288" customWidth="1"/>
    <col min="772" max="772" width="58.7109375" style="288" customWidth="1"/>
    <col min="773" max="773" width="11.28125" style="288" customWidth="1"/>
    <col min="774" max="774" width="10.00390625" style="288" customWidth="1"/>
    <col min="775" max="775" width="10.421875" style="288" customWidth="1"/>
    <col min="776" max="776" width="9.7109375" style="288" bestFit="1" customWidth="1"/>
    <col min="777" max="777" width="9.57421875" style="288" customWidth="1"/>
    <col min="778" max="778" width="9.140625" style="288" customWidth="1"/>
    <col min="779" max="782" width="9.7109375" style="288" bestFit="1" customWidth="1"/>
    <col min="783" max="1024" width="9.140625" style="288" customWidth="1"/>
    <col min="1025" max="1025" width="3.7109375" style="288" customWidth="1"/>
    <col min="1026" max="1026" width="4.421875" style="288" customWidth="1"/>
    <col min="1027" max="1027" width="4.28125" style="288" customWidth="1"/>
    <col min="1028" max="1028" width="58.7109375" style="288" customWidth="1"/>
    <col min="1029" max="1029" width="11.28125" style="288" customWidth="1"/>
    <col min="1030" max="1030" width="10.00390625" style="288" customWidth="1"/>
    <col min="1031" max="1031" width="10.421875" style="288" customWidth="1"/>
    <col min="1032" max="1032" width="9.7109375" style="288" bestFit="1" customWidth="1"/>
    <col min="1033" max="1033" width="9.57421875" style="288" customWidth="1"/>
    <col min="1034" max="1034" width="9.140625" style="288" customWidth="1"/>
    <col min="1035" max="1038" width="9.7109375" style="288" bestFit="1" customWidth="1"/>
    <col min="1039" max="1280" width="9.140625" style="288" customWidth="1"/>
    <col min="1281" max="1281" width="3.7109375" style="288" customWidth="1"/>
    <col min="1282" max="1282" width="4.421875" style="288" customWidth="1"/>
    <col min="1283" max="1283" width="4.28125" style="288" customWidth="1"/>
    <col min="1284" max="1284" width="58.7109375" style="288" customWidth="1"/>
    <col min="1285" max="1285" width="11.28125" style="288" customWidth="1"/>
    <col min="1286" max="1286" width="10.00390625" style="288" customWidth="1"/>
    <col min="1287" max="1287" width="10.421875" style="288" customWidth="1"/>
    <col min="1288" max="1288" width="9.7109375" style="288" bestFit="1" customWidth="1"/>
    <col min="1289" max="1289" width="9.57421875" style="288" customWidth="1"/>
    <col min="1290" max="1290" width="9.140625" style="288" customWidth="1"/>
    <col min="1291" max="1294" width="9.7109375" style="288" bestFit="1" customWidth="1"/>
    <col min="1295" max="1536" width="9.140625" style="288" customWidth="1"/>
    <col min="1537" max="1537" width="3.7109375" style="288" customWidth="1"/>
    <col min="1538" max="1538" width="4.421875" style="288" customWidth="1"/>
    <col min="1539" max="1539" width="4.28125" style="288" customWidth="1"/>
    <col min="1540" max="1540" width="58.7109375" style="288" customWidth="1"/>
    <col min="1541" max="1541" width="11.28125" style="288" customWidth="1"/>
    <col min="1542" max="1542" width="10.00390625" style="288" customWidth="1"/>
    <col min="1543" max="1543" width="10.421875" style="288" customWidth="1"/>
    <col min="1544" max="1544" width="9.7109375" style="288" bestFit="1" customWidth="1"/>
    <col min="1545" max="1545" width="9.57421875" style="288" customWidth="1"/>
    <col min="1546" max="1546" width="9.140625" style="288" customWidth="1"/>
    <col min="1547" max="1550" width="9.7109375" style="288" bestFit="1" customWidth="1"/>
    <col min="1551" max="1792" width="9.140625" style="288" customWidth="1"/>
    <col min="1793" max="1793" width="3.7109375" style="288" customWidth="1"/>
    <col min="1794" max="1794" width="4.421875" style="288" customWidth="1"/>
    <col min="1795" max="1795" width="4.28125" style="288" customWidth="1"/>
    <col min="1796" max="1796" width="58.7109375" style="288" customWidth="1"/>
    <col min="1797" max="1797" width="11.28125" style="288" customWidth="1"/>
    <col min="1798" max="1798" width="10.00390625" style="288" customWidth="1"/>
    <col min="1799" max="1799" width="10.421875" style="288" customWidth="1"/>
    <col min="1800" max="1800" width="9.7109375" style="288" bestFit="1" customWidth="1"/>
    <col min="1801" max="1801" width="9.57421875" style="288" customWidth="1"/>
    <col min="1802" max="1802" width="9.140625" style="288" customWidth="1"/>
    <col min="1803" max="1806" width="9.7109375" style="288" bestFit="1" customWidth="1"/>
    <col min="1807" max="2048" width="9.140625" style="288" customWidth="1"/>
    <col min="2049" max="2049" width="3.7109375" style="288" customWidth="1"/>
    <col min="2050" max="2050" width="4.421875" style="288" customWidth="1"/>
    <col min="2051" max="2051" width="4.28125" style="288" customWidth="1"/>
    <col min="2052" max="2052" width="58.7109375" style="288" customWidth="1"/>
    <col min="2053" max="2053" width="11.28125" style="288" customWidth="1"/>
    <col min="2054" max="2054" width="10.00390625" style="288" customWidth="1"/>
    <col min="2055" max="2055" width="10.421875" style="288" customWidth="1"/>
    <col min="2056" max="2056" width="9.7109375" style="288" bestFit="1" customWidth="1"/>
    <col min="2057" max="2057" width="9.57421875" style="288" customWidth="1"/>
    <col min="2058" max="2058" width="9.140625" style="288" customWidth="1"/>
    <col min="2059" max="2062" width="9.7109375" style="288" bestFit="1" customWidth="1"/>
    <col min="2063" max="2304" width="9.140625" style="288" customWidth="1"/>
    <col min="2305" max="2305" width="3.7109375" style="288" customWidth="1"/>
    <col min="2306" max="2306" width="4.421875" style="288" customWidth="1"/>
    <col min="2307" max="2307" width="4.28125" style="288" customWidth="1"/>
    <col min="2308" max="2308" width="58.7109375" style="288" customWidth="1"/>
    <col min="2309" max="2309" width="11.28125" style="288" customWidth="1"/>
    <col min="2310" max="2310" width="10.00390625" style="288" customWidth="1"/>
    <col min="2311" max="2311" width="10.421875" style="288" customWidth="1"/>
    <col min="2312" max="2312" width="9.7109375" style="288" bestFit="1" customWidth="1"/>
    <col min="2313" max="2313" width="9.57421875" style="288" customWidth="1"/>
    <col min="2314" max="2314" width="9.140625" style="288" customWidth="1"/>
    <col min="2315" max="2318" width="9.7109375" style="288" bestFit="1" customWidth="1"/>
    <col min="2319" max="2560" width="9.140625" style="288" customWidth="1"/>
    <col min="2561" max="2561" width="3.7109375" style="288" customWidth="1"/>
    <col min="2562" max="2562" width="4.421875" style="288" customWidth="1"/>
    <col min="2563" max="2563" width="4.28125" style="288" customWidth="1"/>
    <col min="2564" max="2564" width="58.7109375" style="288" customWidth="1"/>
    <col min="2565" max="2565" width="11.28125" style="288" customWidth="1"/>
    <col min="2566" max="2566" width="10.00390625" style="288" customWidth="1"/>
    <col min="2567" max="2567" width="10.421875" style="288" customWidth="1"/>
    <col min="2568" max="2568" width="9.7109375" style="288" bestFit="1" customWidth="1"/>
    <col min="2569" max="2569" width="9.57421875" style="288" customWidth="1"/>
    <col min="2570" max="2570" width="9.140625" style="288" customWidth="1"/>
    <col min="2571" max="2574" width="9.7109375" style="288" bestFit="1" customWidth="1"/>
    <col min="2575" max="2816" width="9.140625" style="288" customWidth="1"/>
    <col min="2817" max="2817" width="3.7109375" style="288" customWidth="1"/>
    <col min="2818" max="2818" width="4.421875" style="288" customWidth="1"/>
    <col min="2819" max="2819" width="4.28125" style="288" customWidth="1"/>
    <col min="2820" max="2820" width="58.7109375" style="288" customWidth="1"/>
    <col min="2821" max="2821" width="11.28125" style="288" customWidth="1"/>
    <col min="2822" max="2822" width="10.00390625" style="288" customWidth="1"/>
    <col min="2823" max="2823" width="10.421875" style="288" customWidth="1"/>
    <col min="2824" max="2824" width="9.7109375" style="288" bestFit="1" customWidth="1"/>
    <col min="2825" max="2825" width="9.57421875" style="288" customWidth="1"/>
    <col min="2826" max="2826" width="9.140625" style="288" customWidth="1"/>
    <col min="2827" max="2830" width="9.7109375" style="288" bestFit="1" customWidth="1"/>
    <col min="2831" max="3072" width="9.140625" style="288" customWidth="1"/>
    <col min="3073" max="3073" width="3.7109375" style="288" customWidth="1"/>
    <col min="3074" max="3074" width="4.421875" style="288" customWidth="1"/>
    <col min="3075" max="3075" width="4.28125" style="288" customWidth="1"/>
    <col min="3076" max="3076" width="58.7109375" style="288" customWidth="1"/>
    <col min="3077" max="3077" width="11.28125" style="288" customWidth="1"/>
    <col min="3078" max="3078" width="10.00390625" style="288" customWidth="1"/>
    <col min="3079" max="3079" width="10.421875" style="288" customWidth="1"/>
    <col min="3080" max="3080" width="9.7109375" style="288" bestFit="1" customWidth="1"/>
    <col min="3081" max="3081" width="9.57421875" style="288" customWidth="1"/>
    <col min="3082" max="3082" width="9.140625" style="288" customWidth="1"/>
    <col min="3083" max="3086" width="9.7109375" style="288" bestFit="1" customWidth="1"/>
    <col min="3087" max="3328" width="9.140625" style="288" customWidth="1"/>
    <col min="3329" max="3329" width="3.7109375" style="288" customWidth="1"/>
    <col min="3330" max="3330" width="4.421875" style="288" customWidth="1"/>
    <col min="3331" max="3331" width="4.28125" style="288" customWidth="1"/>
    <col min="3332" max="3332" width="58.7109375" style="288" customWidth="1"/>
    <col min="3333" max="3333" width="11.28125" style="288" customWidth="1"/>
    <col min="3334" max="3334" width="10.00390625" style="288" customWidth="1"/>
    <col min="3335" max="3335" width="10.421875" style="288" customWidth="1"/>
    <col min="3336" max="3336" width="9.7109375" style="288" bestFit="1" customWidth="1"/>
    <col min="3337" max="3337" width="9.57421875" style="288" customWidth="1"/>
    <col min="3338" max="3338" width="9.140625" style="288" customWidth="1"/>
    <col min="3339" max="3342" width="9.7109375" style="288" bestFit="1" customWidth="1"/>
    <col min="3343" max="3584" width="9.140625" style="288" customWidth="1"/>
    <col min="3585" max="3585" width="3.7109375" style="288" customWidth="1"/>
    <col min="3586" max="3586" width="4.421875" style="288" customWidth="1"/>
    <col min="3587" max="3587" width="4.28125" style="288" customWidth="1"/>
    <col min="3588" max="3588" width="58.7109375" style="288" customWidth="1"/>
    <col min="3589" max="3589" width="11.28125" style="288" customWidth="1"/>
    <col min="3590" max="3590" width="10.00390625" style="288" customWidth="1"/>
    <col min="3591" max="3591" width="10.421875" style="288" customWidth="1"/>
    <col min="3592" max="3592" width="9.7109375" style="288" bestFit="1" customWidth="1"/>
    <col min="3593" max="3593" width="9.57421875" style="288" customWidth="1"/>
    <col min="3594" max="3594" width="9.140625" style="288" customWidth="1"/>
    <col min="3595" max="3598" width="9.7109375" style="288" bestFit="1" customWidth="1"/>
    <col min="3599" max="3840" width="9.140625" style="288" customWidth="1"/>
    <col min="3841" max="3841" width="3.7109375" style="288" customWidth="1"/>
    <col min="3842" max="3842" width="4.421875" style="288" customWidth="1"/>
    <col min="3843" max="3843" width="4.28125" style="288" customWidth="1"/>
    <col min="3844" max="3844" width="58.7109375" style="288" customWidth="1"/>
    <col min="3845" max="3845" width="11.28125" style="288" customWidth="1"/>
    <col min="3846" max="3846" width="10.00390625" style="288" customWidth="1"/>
    <col min="3847" max="3847" width="10.421875" style="288" customWidth="1"/>
    <col min="3848" max="3848" width="9.7109375" style="288" bestFit="1" customWidth="1"/>
    <col min="3849" max="3849" width="9.57421875" style="288" customWidth="1"/>
    <col min="3850" max="3850" width="9.140625" style="288" customWidth="1"/>
    <col min="3851" max="3854" width="9.7109375" style="288" bestFit="1" customWidth="1"/>
    <col min="3855" max="4096" width="9.140625" style="288" customWidth="1"/>
    <col min="4097" max="4097" width="3.7109375" style="288" customWidth="1"/>
    <col min="4098" max="4098" width="4.421875" style="288" customWidth="1"/>
    <col min="4099" max="4099" width="4.28125" style="288" customWidth="1"/>
    <col min="4100" max="4100" width="58.7109375" style="288" customWidth="1"/>
    <col min="4101" max="4101" width="11.28125" style="288" customWidth="1"/>
    <col min="4102" max="4102" width="10.00390625" style="288" customWidth="1"/>
    <col min="4103" max="4103" width="10.421875" style="288" customWidth="1"/>
    <col min="4104" max="4104" width="9.7109375" style="288" bestFit="1" customWidth="1"/>
    <col min="4105" max="4105" width="9.57421875" style="288" customWidth="1"/>
    <col min="4106" max="4106" width="9.140625" style="288" customWidth="1"/>
    <col min="4107" max="4110" width="9.7109375" style="288" bestFit="1" customWidth="1"/>
    <col min="4111" max="4352" width="9.140625" style="288" customWidth="1"/>
    <col min="4353" max="4353" width="3.7109375" style="288" customWidth="1"/>
    <col min="4354" max="4354" width="4.421875" style="288" customWidth="1"/>
    <col min="4355" max="4355" width="4.28125" style="288" customWidth="1"/>
    <col min="4356" max="4356" width="58.7109375" style="288" customWidth="1"/>
    <col min="4357" max="4357" width="11.28125" style="288" customWidth="1"/>
    <col min="4358" max="4358" width="10.00390625" style="288" customWidth="1"/>
    <col min="4359" max="4359" width="10.421875" style="288" customWidth="1"/>
    <col min="4360" max="4360" width="9.7109375" style="288" bestFit="1" customWidth="1"/>
    <col min="4361" max="4361" width="9.57421875" style="288" customWidth="1"/>
    <col min="4362" max="4362" width="9.140625" style="288" customWidth="1"/>
    <col min="4363" max="4366" width="9.7109375" style="288" bestFit="1" customWidth="1"/>
    <col min="4367" max="4608" width="9.140625" style="288" customWidth="1"/>
    <col min="4609" max="4609" width="3.7109375" style="288" customWidth="1"/>
    <col min="4610" max="4610" width="4.421875" style="288" customWidth="1"/>
    <col min="4611" max="4611" width="4.28125" style="288" customWidth="1"/>
    <col min="4612" max="4612" width="58.7109375" style="288" customWidth="1"/>
    <col min="4613" max="4613" width="11.28125" style="288" customWidth="1"/>
    <col min="4614" max="4614" width="10.00390625" style="288" customWidth="1"/>
    <col min="4615" max="4615" width="10.421875" style="288" customWidth="1"/>
    <col min="4616" max="4616" width="9.7109375" style="288" bestFit="1" customWidth="1"/>
    <col min="4617" max="4617" width="9.57421875" style="288" customWidth="1"/>
    <col min="4618" max="4618" width="9.140625" style="288" customWidth="1"/>
    <col min="4619" max="4622" width="9.7109375" style="288" bestFit="1" customWidth="1"/>
    <col min="4623" max="4864" width="9.140625" style="288" customWidth="1"/>
    <col min="4865" max="4865" width="3.7109375" style="288" customWidth="1"/>
    <col min="4866" max="4866" width="4.421875" style="288" customWidth="1"/>
    <col min="4867" max="4867" width="4.28125" style="288" customWidth="1"/>
    <col min="4868" max="4868" width="58.7109375" style="288" customWidth="1"/>
    <col min="4869" max="4869" width="11.28125" style="288" customWidth="1"/>
    <col min="4870" max="4870" width="10.00390625" style="288" customWidth="1"/>
    <col min="4871" max="4871" width="10.421875" style="288" customWidth="1"/>
    <col min="4872" max="4872" width="9.7109375" style="288" bestFit="1" customWidth="1"/>
    <col min="4873" max="4873" width="9.57421875" style="288" customWidth="1"/>
    <col min="4874" max="4874" width="9.140625" style="288" customWidth="1"/>
    <col min="4875" max="4878" width="9.7109375" style="288" bestFit="1" customWidth="1"/>
    <col min="4879" max="5120" width="9.140625" style="288" customWidth="1"/>
    <col min="5121" max="5121" width="3.7109375" style="288" customWidth="1"/>
    <col min="5122" max="5122" width="4.421875" style="288" customWidth="1"/>
    <col min="5123" max="5123" width="4.28125" style="288" customWidth="1"/>
    <col min="5124" max="5124" width="58.7109375" style="288" customWidth="1"/>
    <col min="5125" max="5125" width="11.28125" style="288" customWidth="1"/>
    <col min="5126" max="5126" width="10.00390625" style="288" customWidth="1"/>
    <col min="5127" max="5127" width="10.421875" style="288" customWidth="1"/>
    <col min="5128" max="5128" width="9.7109375" style="288" bestFit="1" customWidth="1"/>
    <col min="5129" max="5129" width="9.57421875" style="288" customWidth="1"/>
    <col min="5130" max="5130" width="9.140625" style="288" customWidth="1"/>
    <col min="5131" max="5134" width="9.7109375" style="288" bestFit="1" customWidth="1"/>
    <col min="5135" max="5376" width="9.140625" style="288" customWidth="1"/>
    <col min="5377" max="5377" width="3.7109375" style="288" customWidth="1"/>
    <col min="5378" max="5378" width="4.421875" style="288" customWidth="1"/>
    <col min="5379" max="5379" width="4.28125" style="288" customWidth="1"/>
    <col min="5380" max="5380" width="58.7109375" style="288" customWidth="1"/>
    <col min="5381" max="5381" width="11.28125" style="288" customWidth="1"/>
    <col min="5382" max="5382" width="10.00390625" style="288" customWidth="1"/>
    <col min="5383" max="5383" width="10.421875" style="288" customWidth="1"/>
    <col min="5384" max="5384" width="9.7109375" style="288" bestFit="1" customWidth="1"/>
    <col min="5385" max="5385" width="9.57421875" style="288" customWidth="1"/>
    <col min="5386" max="5386" width="9.140625" style="288" customWidth="1"/>
    <col min="5387" max="5390" width="9.7109375" style="288" bestFit="1" customWidth="1"/>
    <col min="5391" max="5632" width="9.140625" style="288" customWidth="1"/>
    <col min="5633" max="5633" width="3.7109375" style="288" customWidth="1"/>
    <col min="5634" max="5634" width="4.421875" style="288" customWidth="1"/>
    <col min="5635" max="5635" width="4.28125" style="288" customWidth="1"/>
    <col min="5636" max="5636" width="58.7109375" style="288" customWidth="1"/>
    <col min="5637" max="5637" width="11.28125" style="288" customWidth="1"/>
    <col min="5638" max="5638" width="10.00390625" style="288" customWidth="1"/>
    <col min="5639" max="5639" width="10.421875" style="288" customWidth="1"/>
    <col min="5640" max="5640" width="9.7109375" style="288" bestFit="1" customWidth="1"/>
    <col min="5641" max="5641" width="9.57421875" style="288" customWidth="1"/>
    <col min="5642" max="5642" width="9.140625" style="288" customWidth="1"/>
    <col min="5643" max="5646" width="9.7109375" style="288" bestFit="1" customWidth="1"/>
    <col min="5647" max="5888" width="9.140625" style="288" customWidth="1"/>
    <col min="5889" max="5889" width="3.7109375" style="288" customWidth="1"/>
    <col min="5890" max="5890" width="4.421875" style="288" customWidth="1"/>
    <col min="5891" max="5891" width="4.28125" style="288" customWidth="1"/>
    <col min="5892" max="5892" width="58.7109375" style="288" customWidth="1"/>
    <col min="5893" max="5893" width="11.28125" style="288" customWidth="1"/>
    <col min="5894" max="5894" width="10.00390625" style="288" customWidth="1"/>
    <col min="5895" max="5895" width="10.421875" style="288" customWidth="1"/>
    <col min="5896" max="5896" width="9.7109375" style="288" bestFit="1" customWidth="1"/>
    <col min="5897" max="5897" width="9.57421875" style="288" customWidth="1"/>
    <col min="5898" max="5898" width="9.140625" style="288" customWidth="1"/>
    <col min="5899" max="5902" width="9.7109375" style="288" bestFit="1" customWidth="1"/>
    <col min="5903" max="6144" width="9.140625" style="288" customWidth="1"/>
    <col min="6145" max="6145" width="3.7109375" style="288" customWidth="1"/>
    <col min="6146" max="6146" width="4.421875" style="288" customWidth="1"/>
    <col min="6147" max="6147" width="4.28125" style="288" customWidth="1"/>
    <col min="6148" max="6148" width="58.7109375" style="288" customWidth="1"/>
    <col min="6149" max="6149" width="11.28125" style="288" customWidth="1"/>
    <col min="6150" max="6150" width="10.00390625" style="288" customWidth="1"/>
    <col min="6151" max="6151" width="10.421875" style="288" customWidth="1"/>
    <col min="6152" max="6152" width="9.7109375" style="288" bestFit="1" customWidth="1"/>
    <col min="6153" max="6153" width="9.57421875" style="288" customWidth="1"/>
    <col min="6154" max="6154" width="9.140625" style="288" customWidth="1"/>
    <col min="6155" max="6158" width="9.7109375" style="288" bestFit="1" customWidth="1"/>
    <col min="6159" max="6400" width="9.140625" style="288" customWidth="1"/>
    <col min="6401" max="6401" width="3.7109375" style="288" customWidth="1"/>
    <col min="6402" max="6402" width="4.421875" style="288" customWidth="1"/>
    <col min="6403" max="6403" width="4.28125" style="288" customWidth="1"/>
    <col min="6404" max="6404" width="58.7109375" style="288" customWidth="1"/>
    <col min="6405" max="6405" width="11.28125" style="288" customWidth="1"/>
    <col min="6406" max="6406" width="10.00390625" style="288" customWidth="1"/>
    <col min="6407" max="6407" width="10.421875" style="288" customWidth="1"/>
    <col min="6408" max="6408" width="9.7109375" style="288" bestFit="1" customWidth="1"/>
    <col min="6409" max="6409" width="9.57421875" style="288" customWidth="1"/>
    <col min="6410" max="6410" width="9.140625" style="288" customWidth="1"/>
    <col min="6411" max="6414" width="9.7109375" style="288" bestFit="1" customWidth="1"/>
    <col min="6415" max="6656" width="9.140625" style="288" customWidth="1"/>
    <col min="6657" max="6657" width="3.7109375" style="288" customWidth="1"/>
    <col min="6658" max="6658" width="4.421875" style="288" customWidth="1"/>
    <col min="6659" max="6659" width="4.28125" style="288" customWidth="1"/>
    <col min="6660" max="6660" width="58.7109375" style="288" customWidth="1"/>
    <col min="6661" max="6661" width="11.28125" style="288" customWidth="1"/>
    <col min="6662" max="6662" width="10.00390625" style="288" customWidth="1"/>
    <col min="6663" max="6663" width="10.421875" style="288" customWidth="1"/>
    <col min="6664" max="6664" width="9.7109375" style="288" bestFit="1" customWidth="1"/>
    <col min="6665" max="6665" width="9.57421875" style="288" customWidth="1"/>
    <col min="6666" max="6666" width="9.140625" style="288" customWidth="1"/>
    <col min="6667" max="6670" width="9.7109375" style="288" bestFit="1" customWidth="1"/>
    <col min="6671" max="6912" width="9.140625" style="288" customWidth="1"/>
    <col min="6913" max="6913" width="3.7109375" style="288" customWidth="1"/>
    <col min="6914" max="6914" width="4.421875" style="288" customWidth="1"/>
    <col min="6915" max="6915" width="4.28125" style="288" customWidth="1"/>
    <col min="6916" max="6916" width="58.7109375" style="288" customWidth="1"/>
    <col min="6917" max="6917" width="11.28125" style="288" customWidth="1"/>
    <col min="6918" max="6918" width="10.00390625" style="288" customWidth="1"/>
    <col min="6919" max="6919" width="10.421875" style="288" customWidth="1"/>
    <col min="6920" max="6920" width="9.7109375" style="288" bestFit="1" customWidth="1"/>
    <col min="6921" max="6921" width="9.57421875" style="288" customWidth="1"/>
    <col min="6922" max="6922" width="9.140625" style="288" customWidth="1"/>
    <col min="6923" max="6926" width="9.7109375" style="288" bestFit="1" customWidth="1"/>
    <col min="6927" max="7168" width="9.140625" style="288" customWidth="1"/>
    <col min="7169" max="7169" width="3.7109375" style="288" customWidth="1"/>
    <col min="7170" max="7170" width="4.421875" style="288" customWidth="1"/>
    <col min="7171" max="7171" width="4.28125" style="288" customWidth="1"/>
    <col min="7172" max="7172" width="58.7109375" style="288" customWidth="1"/>
    <col min="7173" max="7173" width="11.28125" style="288" customWidth="1"/>
    <col min="7174" max="7174" width="10.00390625" style="288" customWidth="1"/>
    <col min="7175" max="7175" width="10.421875" style="288" customWidth="1"/>
    <col min="7176" max="7176" width="9.7109375" style="288" bestFit="1" customWidth="1"/>
    <col min="7177" max="7177" width="9.57421875" style="288" customWidth="1"/>
    <col min="7178" max="7178" width="9.140625" style="288" customWidth="1"/>
    <col min="7179" max="7182" width="9.7109375" style="288" bestFit="1" customWidth="1"/>
    <col min="7183" max="7424" width="9.140625" style="288" customWidth="1"/>
    <col min="7425" max="7425" width="3.7109375" style="288" customWidth="1"/>
    <col min="7426" max="7426" width="4.421875" style="288" customWidth="1"/>
    <col min="7427" max="7427" width="4.28125" style="288" customWidth="1"/>
    <col min="7428" max="7428" width="58.7109375" style="288" customWidth="1"/>
    <col min="7429" max="7429" width="11.28125" style="288" customWidth="1"/>
    <col min="7430" max="7430" width="10.00390625" style="288" customWidth="1"/>
    <col min="7431" max="7431" width="10.421875" style="288" customWidth="1"/>
    <col min="7432" max="7432" width="9.7109375" style="288" bestFit="1" customWidth="1"/>
    <col min="7433" max="7433" width="9.57421875" style="288" customWidth="1"/>
    <col min="7434" max="7434" width="9.140625" style="288" customWidth="1"/>
    <col min="7435" max="7438" width="9.7109375" style="288" bestFit="1" customWidth="1"/>
    <col min="7439" max="7680" width="9.140625" style="288" customWidth="1"/>
    <col min="7681" max="7681" width="3.7109375" style="288" customWidth="1"/>
    <col min="7682" max="7682" width="4.421875" style="288" customWidth="1"/>
    <col min="7683" max="7683" width="4.28125" style="288" customWidth="1"/>
    <col min="7684" max="7684" width="58.7109375" style="288" customWidth="1"/>
    <col min="7685" max="7685" width="11.28125" style="288" customWidth="1"/>
    <col min="7686" max="7686" width="10.00390625" style="288" customWidth="1"/>
    <col min="7687" max="7687" width="10.421875" style="288" customWidth="1"/>
    <col min="7688" max="7688" width="9.7109375" style="288" bestFit="1" customWidth="1"/>
    <col min="7689" max="7689" width="9.57421875" style="288" customWidth="1"/>
    <col min="7690" max="7690" width="9.140625" style="288" customWidth="1"/>
    <col min="7691" max="7694" width="9.7109375" style="288" bestFit="1" customWidth="1"/>
    <col min="7695" max="7936" width="9.140625" style="288" customWidth="1"/>
    <col min="7937" max="7937" width="3.7109375" style="288" customWidth="1"/>
    <col min="7938" max="7938" width="4.421875" style="288" customWidth="1"/>
    <col min="7939" max="7939" width="4.28125" style="288" customWidth="1"/>
    <col min="7940" max="7940" width="58.7109375" style="288" customWidth="1"/>
    <col min="7941" max="7941" width="11.28125" style="288" customWidth="1"/>
    <col min="7942" max="7942" width="10.00390625" style="288" customWidth="1"/>
    <col min="7943" max="7943" width="10.421875" style="288" customWidth="1"/>
    <col min="7944" max="7944" width="9.7109375" style="288" bestFit="1" customWidth="1"/>
    <col min="7945" max="7945" width="9.57421875" style="288" customWidth="1"/>
    <col min="7946" max="7946" width="9.140625" style="288" customWidth="1"/>
    <col min="7947" max="7950" width="9.7109375" style="288" bestFit="1" customWidth="1"/>
    <col min="7951" max="8192" width="9.140625" style="288" customWidth="1"/>
    <col min="8193" max="8193" width="3.7109375" style="288" customWidth="1"/>
    <col min="8194" max="8194" width="4.421875" style="288" customWidth="1"/>
    <col min="8195" max="8195" width="4.28125" style="288" customWidth="1"/>
    <col min="8196" max="8196" width="58.7109375" style="288" customWidth="1"/>
    <col min="8197" max="8197" width="11.28125" style="288" customWidth="1"/>
    <col min="8198" max="8198" width="10.00390625" style="288" customWidth="1"/>
    <col min="8199" max="8199" width="10.421875" style="288" customWidth="1"/>
    <col min="8200" max="8200" width="9.7109375" style="288" bestFit="1" customWidth="1"/>
    <col min="8201" max="8201" width="9.57421875" style="288" customWidth="1"/>
    <col min="8202" max="8202" width="9.140625" style="288" customWidth="1"/>
    <col min="8203" max="8206" width="9.7109375" style="288" bestFit="1" customWidth="1"/>
    <col min="8207" max="8448" width="9.140625" style="288" customWidth="1"/>
    <col min="8449" max="8449" width="3.7109375" style="288" customWidth="1"/>
    <col min="8450" max="8450" width="4.421875" style="288" customWidth="1"/>
    <col min="8451" max="8451" width="4.28125" style="288" customWidth="1"/>
    <col min="8452" max="8452" width="58.7109375" style="288" customWidth="1"/>
    <col min="8453" max="8453" width="11.28125" style="288" customWidth="1"/>
    <col min="8454" max="8454" width="10.00390625" style="288" customWidth="1"/>
    <col min="8455" max="8455" width="10.421875" style="288" customWidth="1"/>
    <col min="8456" max="8456" width="9.7109375" style="288" bestFit="1" customWidth="1"/>
    <col min="8457" max="8457" width="9.57421875" style="288" customWidth="1"/>
    <col min="8458" max="8458" width="9.140625" style="288" customWidth="1"/>
    <col min="8459" max="8462" width="9.7109375" style="288" bestFit="1" customWidth="1"/>
    <col min="8463" max="8704" width="9.140625" style="288" customWidth="1"/>
    <col min="8705" max="8705" width="3.7109375" style="288" customWidth="1"/>
    <col min="8706" max="8706" width="4.421875" style="288" customWidth="1"/>
    <col min="8707" max="8707" width="4.28125" style="288" customWidth="1"/>
    <col min="8708" max="8708" width="58.7109375" style="288" customWidth="1"/>
    <col min="8709" max="8709" width="11.28125" style="288" customWidth="1"/>
    <col min="8710" max="8710" width="10.00390625" style="288" customWidth="1"/>
    <col min="8711" max="8711" width="10.421875" style="288" customWidth="1"/>
    <col min="8712" max="8712" width="9.7109375" style="288" bestFit="1" customWidth="1"/>
    <col min="8713" max="8713" width="9.57421875" style="288" customWidth="1"/>
    <col min="8714" max="8714" width="9.140625" style="288" customWidth="1"/>
    <col min="8715" max="8718" width="9.7109375" style="288" bestFit="1" customWidth="1"/>
    <col min="8719" max="8960" width="9.140625" style="288" customWidth="1"/>
    <col min="8961" max="8961" width="3.7109375" style="288" customWidth="1"/>
    <col min="8962" max="8962" width="4.421875" style="288" customWidth="1"/>
    <col min="8963" max="8963" width="4.28125" style="288" customWidth="1"/>
    <col min="8964" max="8964" width="58.7109375" style="288" customWidth="1"/>
    <col min="8965" max="8965" width="11.28125" style="288" customWidth="1"/>
    <col min="8966" max="8966" width="10.00390625" style="288" customWidth="1"/>
    <col min="8967" max="8967" width="10.421875" style="288" customWidth="1"/>
    <col min="8968" max="8968" width="9.7109375" style="288" bestFit="1" customWidth="1"/>
    <col min="8969" max="8969" width="9.57421875" style="288" customWidth="1"/>
    <col min="8970" max="8970" width="9.140625" style="288" customWidth="1"/>
    <col min="8971" max="8974" width="9.7109375" style="288" bestFit="1" customWidth="1"/>
    <col min="8975" max="9216" width="9.140625" style="288" customWidth="1"/>
    <col min="9217" max="9217" width="3.7109375" style="288" customWidth="1"/>
    <col min="9218" max="9218" width="4.421875" style="288" customWidth="1"/>
    <col min="9219" max="9219" width="4.28125" style="288" customWidth="1"/>
    <col min="9220" max="9220" width="58.7109375" style="288" customWidth="1"/>
    <col min="9221" max="9221" width="11.28125" style="288" customWidth="1"/>
    <col min="9222" max="9222" width="10.00390625" style="288" customWidth="1"/>
    <col min="9223" max="9223" width="10.421875" style="288" customWidth="1"/>
    <col min="9224" max="9224" width="9.7109375" style="288" bestFit="1" customWidth="1"/>
    <col min="9225" max="9225" width="9.57421875" style="288" customWidth="1"/>
    <col min="9226" max="9226" width="9.140625" style="288" customWidth="1"/>
    <col min="9227" max="9230" width="9.7109375" style="288" bestFit="1" customWidth="1"/>
    <col min="9231" max="9472" width="9.140625" style="288" customWidth="1"/>
    <col min="9473" max="9473" width="3.7109375" style="288" customWidth="1"/>
    <col min="9474" max="9474" width="4.421875" style="288" customWidth="1"/>
    <col min="9475" max="9475" width="4.28125" style="288" customWidth="1"/>
    <col min="9476" max="9476" width="58.7109375" style="288" customWidth="1"/>
    <col min="9477" max="9477" width="11.28125" style="288" customWidth="1"/>
    <col min="9478" max="9478" width="10.00390625" style="288" customWidth="1"/>
    <col min="9479" max="9479" width="10.421875" style="288" customWidth="1"/>
    <col min="9480" max="9480" width="9.7109375" style="288" bestFit="1" customWidth="1"/>
    <col min="9481" max="9481" width="9.57421875" style="288" customWidth="1"/>
    <col min="9482" max="9482" width="9.140625" style="288" customWidth="1"/>
    <col min="9483" max="9486" width="9.7109375" style="288" bestFit="1" customWidth="1"/>
    <col min="9487" max="9728" width="9.140625" style="288" customWidth="1"/>
    <col min="9729" max="9729" width="3.7109375" style="288" customWidth="1"/>
    <col min="9730" max="9730" width="4.421875" style="288" customWidth="1"/>
    <col min="9731" max="9731" width="4.28125" style="288" customWidth="1"/>
    <col min="9732" max="9732" width="58.7109375" style="288" customWidth="1"/>
    <col min="9733" max="9733" width="11.28125" style="288" customWidth="1"/>
    <col min="9734" max="9734" width="10.00390625" style="288" customWidth="1"/>
    <col min="9735" max="9735" width="10.421875" style="288" customWidth="1"/>
    <col min="9736" max="9736" width="9.7109375" style="288" bestFit="1" customWidth="1"/>
    <col min="9737" max="9737" width="9.57421875" style="288" customWidth="1"/>
    <col min="9738" max="9738" width="9.140625" style="288" customWidth="1"/>
    <col min="9739" max="9742" width="9.7109375" style="288" bestFit="1" customWidth="1"/>
    <col min="9743" max="9984" width="9.140625" style="288" customWidth="1"/>
    <col min="9985" max="9985" width="3.7109375" style="288" customWidth="1"/>
    <col min="9986" max="9986" width="4.421875" style="288" customWidth="1"/>
    <col min="9987" max="9987" width="4.28125" style="288" customWidth="1"/>
    <col min="9988" max="9988" width="58.7109375" style="288" customWidth="1"/>
    <col min="9989" max="9989" width="11.28125" style="288" customWidth="1"/>
    <col min="9990" max="9990" width="10.00390625" style="288" customWidth="1"/>
    <col min="9991" max="9991" width="10.421875" style="288" customWidth="1"/>
    <col min="9992" max="9992" width="9.7109375" style="288" bestFit="1" customWidth="1"/>
    <col min="9993" max="9993" width="9.57421875" style="288" customWidth="1"/>
    <col min="9994" max="9994" width="9.140625" style="288" customWidth="1"/>
    <col min="9995" max="9998" width="9.7109375" style="288" bestFit="1" customWidth="1"/>
    <col min="9999" max="10240" width="9.140625" style="288" customWidth="1"/>
    <col min="10241" max="10241" width="3.7109375" style="288" customWidth="1"/>
    <col min="10242" max="10242" width="4.421875" style="288" customWidth="1"/>
    <col min="10243" max="10243" width="4.28125" style="288" customWidth="1"/>
    <col min="10244" max="10244" width="58.7109375" style="288" customWidth="1"/>
    <col min="10245" max="10245" width="11.28125" style="288" customWidth="1"/>
    <col min="10246" max="10246" width="10.00390625" style="288" customWidth="1"/>
    <col min="10247" max="10247" width="10.421875" style="288" customWidth="1"/>
    <col min="10248" max="10248" width="9.7109375" style="288" bestFit="1" customWidth="1"/>
    <col min="10249" max="10249" width="9.57421875" style="288" customWidth="1"/>
    <col min="10250" max="10250" width="9.140625" style="288" customWidth="1"/>
    <col min="10251" max="10254" width="9.7109375" style="288" bestFit="1" customWidth="1"/>
    <col min="10255" max="10496" width="9.140625" style="288" customWidth="1"/>
    <col min="10497" max="10497" width="3.7109375" style="288" customWidth="1"/>
    <col min="10498" max="10498" width="4.421875" style="288" customWidth="1"/>
    <col min="10499" max="10499" width="4.28125" style="288" customWidth="1"/>
    <col min="10500" max="10500" width="58.7109375" style="288" customWidth="1"/>
    <col min="10501" max="10501" width="11.28125" style="288" customWidth="1"/>
    <col min="10502" max="10502" width="10.00390625" style="288" customWidth="1"/>
    <col min="10503" max="10503" width="10.421875" style="288" customWidth="1"/>
    <col min="10504" max="10504" width="9.7109375" style="288" bestFit="1" customWidth="1"/>
    <col min="10505" max="10505" width="9.57421875" style="288" customWidth="1"/>
    <col min="10506" max="10506" width="9.140625" style="288" customWidth="1"/>
    <col min="10507" max="10510" width="9.7109375" style="288" bestFit="1" customWidth="1"/>
    <col min="10511" max="10752" width="9.140625" style="288" customWidth="1"/>
    <col min="10753" max="10753" width="3.7109375" style="288" customWidth="1"/>
    <col min="10754" max="10754" width="4.421875" style="288" customWidth="1"/>
    <col min="10755" max="10755" width="4.28125" style="288" customWidth="1"/>
    <col min="10756" max="10756" width="58.7109375" style="288" customWidth="1"/>
    <col min="10757" max="10757" width="11.28125" style="288" customWidth="1"/>
    <col min="10758" max="10758" width="10.00390625" style="288" customWidth="1"/>
    <col min="10759" max="10759" width="10.421875" style="288" customWidth="1"/>
    <col min="10760" max="10760" width="9.7109375" style="288" bestFit="1" customWidth="1"/>
    <col min="10761" max="10761" width="9.57421875" style="288" customWidth="1"/>
    <col min="10762" max="10762" width="9.140625" style="288" customWidth="1"/>
    <col min="10763" max="10766" width="9.7109375" style="288" bestFit="1" customWidth="1"/>
    <col min="10767" max="11008" width="9.140625" style="288" customWidth="1"/>
    <col min="11009" max="11009" width="3.7109375" style="288" customWidth="1"/>
    <col min="11010" max="11010" width="4.421875" style="288" customWidth="1"/>
    <col min="11011" max="11011" width="4.28125" style="288" customWidth="1"/>
    <col min="11012" max="11012" width="58.7109375" style="288" customWidth="1"/>
    <col min="11013" max="11013" width="11.28125" style="288" customWidth="1"/>
    <col min="11014" max="11014" width="10.00390625" style="288" customWidth="1"/>
    <col min="11015" max="11015" width="10.421875" style="288" customWidth="1"/>
    <col min="11016" max="11016" width="9.7109375" style="288" bestFit="1" customWidth="1"/>
    <col min="11017" max="11017" width="9.57421875" style="288" customWidth="1"/>
    <col min="11018" max="11018" width="9.140625" style="288" customWidth="1"/>
    <col min="11019" max="11022" width="9.7109375" style="288" bestFit="1" customWidth="1"/>
    <col min="11023" max="11264" width="9.140625" style="288" customWidth="1"/>
    <col min="11265" max="11265" width="3.7109375" style="288" customWidth="1"/>
    <col min="11266" max="11266" width="4.421875" style="288" customWidth="1"/>
    <col min="11267" max="11267" width="4.28125" style="288" customWidth="1"/>
    <col min="11268" max="11268" width="58.7109375" style="288" customWidth="1"/>
    <col min="11269" max="11269" width="11.28125" style="288" customWidth="1"/>
    <col min="11270" max="11270" width="10.00390625" style="288" customWidth="1"/>
    <col min="11271" max="11271" width="10.421875" style="288" customWidth="1"/>
    <col min="11272" max="11272" width="9.7109375" style="288" bestFit="1" customWidth="1"/>
    <col min="11273" max="11273" width="9.57421875" style="288" customWidth="1"/>
    <col min="11274" max="11274" width="9.140625" style="288" customWidth="1"/>
    <col min="11275" max="11278" width="9.7109375" style="288" bestFit="1" customWidth="1"/>
    <col min="11279" max="11520" width="9.140625" style="288" customWidth="1"/>
    <col min="11521" max="11521" width="3.7109375" style="288" customWidth="1"/>
    <col min="11522" max="11522" width="4.421875" style="288" customWidth="1"/>
    <col min="11523" max="11523" width="4.28125" style="288" customWidth="1"/>
    <col min="11524" max="11524" width="58.7109375" style="288" customWidth="1"/>
    <col min="11525" max="11525" width="11.28125" style="288" customWidth="1"/>
    <col min="11526" max="11526" width="10.00390625" style="288" customWidth="1"/>
    <col min="11527" max="11527" width="10.421875" style="288" customWidth="1"/>
    <col min="11528" max="11528" width="9.7109375" style="288" bestFit="1" customWidth="1"/>
    <col min="11529" max="11529" width="9.57421875" style="288" customWidth="1"/>
    <col min="11530" max="11530" width="9.140625" style="288" customWidth="1"/>
    <col min="11531" max="11534" width="9.7109375" style="288" bestFit="1" customWidth="1"/>
    <col min="11535" max="11776" width="9.140625" style="288" customWidth="1"/>
    <col min="11777" max="11777" width="3.7109375" style="288" customWidth="1"/>
    <col min="11778" max="11778" width="4.421875" style="288" customWidth="1"/>
    <col min="11779" max="11779" width="4.28125" style="288" customWidth="1"/>
    <col min="11780" max="11780" width="58.7109375" style="288" customWidth="1"/>
    <col min="11781" max="11781" width="11.28125" style="288" customWidth="1"/>
    <col min="11782" max="11782" width="10.00390625" style="288" customWidth="1"/>
    <col min="11783" max="11783" width="10.421875" style="288" customWidth="1"/>
    <col min="11784" max="11784" width="9.7109375" style="288" bestFit="1" customWidth="1"/>
    <col min="11785" max="11785" width="9.57421875" style="288" customWidth="1"/>
    <col min="11786" max="11786" width="9.140625" style="288" customWidth="1"/>
    <col min="11787" max="11790" width="9.7109375" style="288" bestFit="1" customWidth="1"/>
    <col min="11791" max="12032" width="9.140625" style="288" customWidth="1"/>
    <col min="12033" max="12033" width="3.7109375" style="288" customWidth="1"/>
    <col min="12034" max="12034" width="4.421875" style="288" customWidth="1"/>
    <col min="12035" max="12035" width="4.28125" style="288" customWidth="1"/>
    <col min="12036" max="12036" width="58.7109375" style="288" customWidth="1"/>
    <col min="12037" max="12037" width="11.28125" style="288" customWidth="1"/>
    <col min="12038" max="12038" width="10.00390625" style="288" customWidth="1"/>
    <col min="12039" max="12039" width="10.421875" style="288" customWidth="1"/>
    <col min="12040" max="12040" width="9.7109375" style="288" bestFit="1" customWidth="1"/>
    <col min="12041" max="12041" width="9.57421875" style="288" customWidth="1"/>
    <col min="12042" max="12042" width="9.140625" style="288" customWidth="1"/>
    <col min="12043" max="12046" width="9.7109375" style="288" bestFit="1" customWidth="1"/>
    <col min="12047" max="12288" width="9.140625" style="288" customWidth="1"/>
    <col min="12289" max="12289" width="3.7109375" style="288" customWidth="1"/>
    <col min="12290" max="12290" width="4.421875" style="288" customWidth="1"/>
    <col min="12291" max="12291" width="4.28125" style="288" customWidth="1"/>
    <col min="12292" max="12292" width="58.7109375" style="288" customWidth="1"/>
    <col min="12293" max="12293" width="11.28125" style="288" customWidth="1"/>
    <col min="12294" max="12294" width="10.00390625" style="288" customWidth="1"/>
    <col min="12295" max="12295" width="10.421875" style="288" customWidth="1"/>
    <col min="12296" max="12296" width="9.7109375" style="288" bestFit="1" customWidth="1"/>
    <col min="12297" max="12297" width="9.57421875" style="288" customWidth="1"/>
    <col min="12298" max="12298" width="9.140625" style="288" customWidth="1"/>
    <col min="12299" max="12302" width="9.7109375" style="288" bestFit="1" customWidth="1"/>
    <col min="12303" max="12544" width="9.140625" style="288" customWidth="1"/>
    <col min="12545" max="12545" width="3.7109375" style="288" customWidth="1"/>
    <col min="12546" max="12546" width="4.421875" style="288" customWidth="1"/>
    <col min="12547" max="12547" width="4.28125" style="288" customWidth="1"/>
    <col min="12548" max="12548" width="58.7109375" style="288" customWidth="1"/>
    <col min="12549" max="12549" width="11.28125" style="288" customWidth="1"/>
    <col min="12550" max="12550" width="10.00390625" style="288" customWidth="1"/>
    <col min="12551" max="12551" width="10.421875" style="288" customWidth="1"/>
    <col min="12552" max="12552" width="9.7109375" style="288" bestFit="1" customWidth="1"/>
    <col min="12553" max="12553" width="9.57421875" style="288" customWidth="1"/>
    <col min="12554" max="12554" width="9.140625" style="288" customWidth="1"/>
    <col min="12555" max="12558" width="9.7109375" style="288" bestFit="1" customWidth="1"/>
    <col min="12559" max="12800" width="9.140625" style="288" customWidth="1"/>
    <col min="12801" max="12801" width="3.7109375" style="288" customWidth="1"/>
    <col min="12802" max="12802" width="4.421875" style="288" customWidth="1"/>
    <col min="12803" max="12803" width="4.28125" style="288" customWidth="1"/>
    <col min="12804" max="12804" width="58.7109375" style="288" customWidth="1"/>
    <col min="12805" max="12805" width="11.28125" style="288" customWidth="1"/>
    <col min="12806" max="12806" width="10.00390625" style="288" customWidth="1"/>
    <col min="12807" max="12807" width="10.421875" style="288" customWidth="1"/>
    <col min="12808" max="12808" width="9.7109375" style="288" bestFit="1" customWidth="1"/>
    <col min="12809" max="12809" width="9.57421875" style="288" customWidth="1"/>
    <col min="12810" max="12810" width="9.140625" style="288" customWidth="1"/>
    <col min="12811" max="12814" width="9.7109375" style="288" bestFit="1" customWidth="1"/>
    <col min="12815" max="13056" width="9.140625" style="288" customWidth="1"/>
    <col min="13057" max="13057" width="3.7109375" style="288" customWidth="1"/>
    <col min="13058" max="13058" width="4.421875" style="288" customWidth="1"/>
    <col min="13059" max="13059" width="4.28125" style="288" customWidth="1"/>
    <col min="13060" max="13060" width="58.7109375" style="288" customWidth="1"/>
    <col min="13061" max="13061" width="11.28125" style="288" customWidth="1"/>
    <col min="13062" max="13062" width="10.00390625" style="288" customWidth="1"/>
    <col min="13063" max="13063" width="10.421875" style="288" customWidth="1"/>
    <col min="13064" max="13064" width="9.7109375" style="288" bestFit="1" customWidth="1"/>
    <col min="13065" max="13065" width="9.57421875" style="288" customWidth="1"/>
    <col min="13066" max="13066" width="9.140625" style="288" customWidth="1"/>
    <col min="13067" max="13070" width="9.7109375" style="288" bestFit="1" customWidth="1"/>
    <col min="13071" max="13312" width="9.140625" style="288" customWidth="1"/>
    <col min="13313" max="13313" width="3.7109375" style="288" customWidth="1"/>
    <col min="13314" max="13314" width="4.421875" style="288" customWidth="1"/>
    <col min="13315" max="13315" width="4.28125" style="288" customWidth="1"/>
    <col min="13316" max="13316" width="58.7109375" style="288" customWidth="1"/>
    <col min="13317" max="13317" width="11.28125" style="288" customWidth="1"/>
    <col min="13318" max="13318" width="10.00390625" style="288" customWidth="1"/>
    <col min="13319" max="13319" width="10.421875" style="288" customWidth="1"/>
    <col min="13320" max="13320" width="9.7109375" style="288" bestFit="1" customWidth="1"/>
    <col min="13321" max="13321" width="9.57421875" style="288" customWidth="1"/>
    <col min="13322" max="13322" width="9.140625" style="288" customWidth="1"/>
    <col min="13323" max="13326" width="9.7109375" style="288" bestFit="1" customWidth="1"/>
    <col min="13327" max="13568" width="9.140625" style="288" customWidth="1"/>
    <col min="13569" max="13569" width="3.7109375" style="288" customWidth="1"/>
    <col min="13570" max="13570" width="4.421875" style="288" customWidth="1"/>
    <col min="13571" max="13571" width="4.28125" style="288" customWidth="1"/>
    <col min="13572" max="13572" width="58.7109375" style="288" customWidth="1"/>
    <col min="13573" max="13573" width="11.28125" style="288" customWidth="1"/>
    <col min="13574" max="13574" width="10.00390625" style="288" customWidth="1"/>
    <col min="13575" max="13575" width="10.421875" style="288" customWidth="1"/>
    <col min="13576" max="13576" width="9.7109375" style="288" bestFit="1" customWidth="1"/>
    <col min="13577" max="13577" width="9.57421875" style="288" customWidth="1"/>
    <col min="13578" max="13578" width="9.140625" style="288" customWidth="1"/>
    <col min="13579" max="13582" width="9.7109375" style="288" bestFit="1" customWidth="1"/>
    <col min="13583" max="13824" width="9.140625" style="288" customWidth="1"/>
    <col min="13825" max="13825" width="3.7109375" style="288" customWidth="1"/>
    <col min="13826" max="13826" width="4.421875" style="288" customWidth="1"/>
    <col min="13827" max="13827" width="4.28125" style="288" customWidth="1"/>
    <col min="13828" max="13828" width="58.7109375" style="288" customWidth="1"/>
    <col min="13829" max="13829" width="11.28125" style="288" customWidth="1"/>
    <col min="13830" max="13830" width="10.00390625" style="288" customWidth="1"/>
    <col min="13831" max="13831" width="10.421875" style="288" customWidth="1"/>
    <col min="13832" max="13832" width="9.7109375" style="288" bestFit="1" customWidth="1"/>
    <col min="13833" max="13833" width="9.57421875" style="288" customWidth="1"/>
    <col min="13834" max="13834" width="9.140625" style="288" customWidth="1"/>
    <col min="13835" max="13838" width="9.7109375" style="288" bestFit="1" customWidth="1"/>
    <col min="13839" max="14080" width="9.140625" style="288" customWidth="1"/>
    <col min="14081" max="14081" width="3.7109375" style="288" customWidth="1"/>
    <col min="14082" max="14082" width="4.421875" style="288" customWidth="1"/>
    <col min="14083" max="14083" width="4.28125" style="288" customWidth="1"/>
    <col min="14084" max="14084" width="58.7109375" style="288" customWidth="1"/>
    <col min="14085" max="14085" width="11.28125" style="288" customWidth="1"/>
    <col min="14086" max="14086" width="10.00390625" style="288" customWidth="1"/>
    <col min="14087" max="14087" width="10.421875" style="288" customWidth="1"/>
    <col min="14088" max="14088" width="9.7109375" style="288" bestFit="1" customWidth="1"/>
    <col min="14089" max="14089" width="9.57421875" style="288" customWidth="1"/>
    <col min="14090" max="14090" width="9.140625" style="288" customWidth="1"/>
    <col min="14091" max="14094" width="9.7109375" style="288" bestFit="1" customWidth="1"/>
    <col min="14095" max="14336" width="9.140625" style="288" customWidth="1"/>
    <col min="14337" max="14337" width="3.7109375" style="288" customWidth="1"/>
    <col min="14338" max="14338" width="4.421875" style="288" customWidth="1"/>
    <col min="14339" max="14339" width="4.28125" style="288" customWidth="1"/>
    <col min="14340" max="14340" width="58.7109375" style="288" customWidth="1"/>
    <col min="14341" max="14341" width="11.28125" style="288" customWidth="1"/>
    <col min="14342" max="14342" width="10.00390625" style="288" customWidth="1"/>
    <col min="14343" max="14343" width="10.421875" style="288" customWidth="1"/>
    <col min="14344" max="14344" width="9.7109375" style="288" bestFit="1" customWidth="1"/>
    <col min="14345" max="14345" width="9.57421875" style="288" customWidth="1"/>
    <col min="14346" max="14346" width="9.140625" style="288" customWidth="1"/>
    <col min="14347" max="14350" width="9.7109375" style="288" bestFit="1" customWidth="1"/>
    <col min="14351" max="14592" width="9.140625" style="288" customWidth="1"/>
    <col min="14593" max="14593" width="3.7109375" style="288" customWidth="1"/>
    <col min="14594" max="14594" width="4.421875" style="288" customWidth="1"/>
    <col min="14595" max="14595" width="4.28125" style="288" customWidth="1"/>
    <col min="14596" max="14596" width="58.7109375" style="288" customWidth="1"/>
    <col min="14597" max="14597" width="11.28125" style="288" customWidth="1"/>
    <col min="14598" max="14598" width="10.00390625" style="288" customWidth="1"/>
    <col min="14599" max="14599" width="10.421875" style="288" customWidth="1"/>
    <col min="14600" max="14600" width="9.7109375" style="288" bestFit="1" customWidth="1"/>
    <col min="14601" max="14601" width="9.57421875" style="288" customWidth="1"/>
    <col min="14602" max="14602" width="9.140625" style="288" customWidth="1"/>
    <col min="14603" max="14606" width="9.7109375" style="288" bestFit="1" customWidth="1"/>
    <col min="14607" max="14848" width="9.140625" style="288" customWidth="1"/>
    <col min="14849" max="14849" width="3.7109375" style="288" customWidth="1"/>
    <col min="14850" max="14850" width="4.421875" style="288" customWidth="1"/>
    <col min="14851" max="14851" width="4.28125" style="288" customWidth="1"/>
    <col min="14852" max="14852" width="58.7109375" style="288" customWidth="1"/>
    <col min="14853" max="14853" width="11.28125" style="288" customWidth="1"/>
    <col min="14854" max="14854" width="10.00390625" style="288" customWidth="1"/>
    <col min="14855" max="14855" width="10.421875" style="288" customWidth="1"/>
    <col min="14856" max="14856" width="9.7109375" style="288" bestFit="1" customWidth="1"/>
    <col min="14857" max="14857" width="9.57421875" style="288" customWidth="1"/>
    <col min="14858" max="14858" width="9.140625" style="288" customWidth="1"/>
    <col min="14859" max="14862" width="9.7109375" style="288" bestFit="1" customWidth="1"/>
    <col min="14863" max="15104" width="9.140625" style="288" customWidth="1"/>
    <col min="15105" max="15105" width="3.7109375" style="288" customWidth="1"/>
    <col min="15106" max="15106" width="4.421875" style="288" customWidth="1"/>
    <col min="15107" max="15107" width="4.28125" style="288" customWidth="1"/>
    <col min="15108" max="15108" width="58.7109375" style="288" customWidth="1"/>
    <col min="15109" max="15109" width="11.28125" style="288" customWidth="1"/>
    <col min="15110" max="15110" width="10.00390625" style="288" customWidth="1"/>
    <col min="15111" max="15111" width="10.421875" style="288" customWidth="1"/>
    <col min="15112" max="15112" width="9.7109375" style="288" bestFit="1" customWidth="1"/>
    <col min="15113" max="15113" width="9.57421875" style="288" customWidth="1"/>
    <col min="15114" max="15114" width="9.140625" style="288" customWidth="1"/>
    <col min="15115" max="15118" width="9.7109375" style="288" bestFit="1" customWidth="1"/>
    <col min="15119" max="15360" width="9.140625" style="288" customWidth="1"/>
    <col min="15361" max="15361" width="3.7109375" style="288" customWidth="1"/>
    <col min="15362" max="15362" width="4.421875" style="288" customWidth="1"/>
    <col min="15363" max="15363" width="4.28125" style="288" customWidth="1"/>
    <col min="15364" max="15364" width="58.7109375" style="288" customWidth="1"/>
    <col min="15365" max="15365" width="11.28125" style="288" customWidth="1"/>
    <col min="15366" max="15366" width="10.00390625" style="288" customWidth="1"/>
    <col min="15367" max="15367" width="10.421875" style="288" customWidth="1"/>
    <col min="15368" max="15368" width="9.7109375" style="288" bestFit="1" customWidth="1"/>
    <col min="15369" max="15369" width="9.57421875" style="288" customWidth="1"/>
    <col min="15370" max="15370" width="9.140625" style="288" customWidth="1"/>
    <col min="15371" max="15374" width="9.7109375" style="288" bestFit="1" customWidth="1"/>
    <col min="15375" max="15616" width="9.140625" style="288" customWidth="1"/>
    <col min="15617" max="15617" width="3.7109375" style="288" customWidth="1"/>
    <col min="15618" max="15618" width="4.421875" style="288" customWidth="1"/>
    <col min="15619" max="15619" width="4.28125" style="288" customWidth="1"/>
    <col min="15620" max="15620" width="58.7109375" style="288" customWidth="1"/>
    <col min="15621" max="15621" width="11.28125" style="288" customWidth="1"/>
    <col min="15622" max="15622" width="10.00390625" style="288" customWidth="1"/>
    <col min="15623" max="15623" width="10.421875" style="288" customWidth="1"/>
    <col min="15624" max="15624" width="9.7109375" style="288" bestFit="1" customWidth="1"/>
    <col min="15625" max="15625" width="9.57421875" style="288" customWidth="1"/>
    <col min="15626" max="15626" width="9.140625" style="288" customWidth="1"/>
    <col min="15627" max="15630" width="9.7109375" style="288" bestFit="1" customWidth="1"/>
    <col min="15631" max="15872" width="9.140625" style="288" customWidth="1"/>
    <col min="15873" max="15873" width="3.7109375" style="288" customWidth="1"/>
    <col min="15874" max="15874" width="4.421875" style="288" customWidth="1"/>
    <col min="15875" max="15875" width="4.28125" style="288" customWidth="1"/>
    <col min="15876" max="15876" width="58.7109375" style="288" customWidth="1"/>
    <col min="15877" max="15877" width="11.28125" style="288" customWidth="1"/>
    <col min="15878" max="15878" width="10.00390625" style="288" customWidth="1"/>
    <col min="15879" max="15879" width="10.421875" style="288" customWidth="1"/>
    <col min="15880" max="15880" width="9.7109375" style="288" bestFit="1" customWidth="1"/>
    <col min="15881" max="15881" width="9.57421875" style="288" customWidth="1"/>
    <col min="15882" max="15882" width="9.140625" style="288" customWidth="1"/>
    <col min="15883" max="15886" width="9.7109375" style="288" bestFit="1" customWidth="1"/>
    <col min="15887" max="16128" width="9.140625" style="288" customWidth="1"/>
    <col min="16129" max="16129" width="3.7109375" style="288" customWidth="1"/>
    <col min="16130" max="16130" width="4.421875" style="288" customWidth="1"/>
    <col min="16131" max="16131" width="4.28125" style="288" customWidth="1"/>
    <col min="16132" max="16132" width="58.7109375" style="288" customWidth="1"/>
    <col min="16133" max="16133" width="11.28125" style="288" customWidth="1"/>
    <col min="16134" max="16134" width="10.00390625" style="288" customWidth="1"/>
    <col min="16135" max="16135" width="10.421875" style="288" customWidth="1"/>
    <col min="16136" max="16136" width="9.7109375" style="288" bestFit="1" customWidth="1"/>
    <col min="16137" max="16137" width="9.57421875" style="288" customWidth="1"/>
    <col min="16138" max="16138" width="9.140625" style="288" customWidth="1"/>
    <col min="16139" max="16142" width="9.7109375" style="288" bestFit="1" customWidth="1"/>
    <col min="16143" max="16384" width="9.140625" style="288" customWidth="1"/>
  </cols>
  <sheetData>
    <row r="1" spans="1:11" ht="12.75">
      <c r="A1" s="483" t="s">
        <v>412</v>
      </c>
      <c r="B1" s="483"/>
      <c r="C1" s="483"/>
      <c r="D1" s="483"/>
      <c r="E1" s="483"/>
      <c r="F1" s="483"/>
      <c r="G1" s="340"/>
      <c r="H1" s="340"/>
      <c r="I1" s="340"/>
      <c r="J1" s="346"/>
      <c r="K1" s="346"/>
    </row>
    <row r="2" spans="1:11" ht="12.75">
      <c r="A2" s="483" t="s">
        <v>227</v>
      </c>
      <c r="B2" s="483"/>
      <c r="C2" s="483"/>
      <c r="D2" s="483"/>
      <c r="E2" s="483"/>
      <c r="F2" s="483"/>
      <c r="G2" s="340"/>
      <c r="H2" s="340"/>
      <c r="I2" s="340"/>
      <c r="J2" s="346"/>
      <c r="K2" s="346"/>
    </row>
    <row r="3" spans="1:11" ht="12.75">
      <c r="A3" s="483" t="s">
        <v>246</v>
      </c>
      <c r="B3" s="483"/>
      <c r="C3" s="483"/>
      <c r="D3" s="483"/>
      <c r="E3" s="483"/>
      <c r="F3" s="483"/>
      <c r="G3" s="340"/>
      <c r="H3" s="340"/>
      <c r="I3" s="340"/>
      <c r="J3" s="346"/>
      <c r="K3" s="346"/>
    </row>
    <row r="4" spans="1:11" ht="12.75">
      <c r="A4" s="287"/>
      <c r="B4" s="287"/>
      <c r="C4" s="287"/>
      <c r="D4" s="287"/>
      <c r="E4" s="287"/>
      <c r="F4" s="287"/>
      <c r="G4" s="340"/>
      <c r="H4" s="340"/>
      <c r="I4" s="340"/>
      <c r="J4" s="346"/>
      <c r="K4" s="346"/>
    </row>
    <row r="5" spans="1:11" ht="12.75">
      <c r="A5" s="289"/>
      <c r="B5" s="289"/>
      <c r="C5" s="289"/>
      <c r="D5" s="289"/>
      <c r="E5" s="290" t="s">
        <v>156</v>
      </c>
      <c r="F5" s="290" t="s">
        <v>157</v>
      </c>
      <c r="G5" s="289"/>
      <c r="H5" s="289"/>
      <c r="I5" s="289"/>
      <c r="J5" s="289"/>
      <c r="K5" s="289"/>
    </row>
    <row r="6" spans="1:9" ht="12.75">
      <c r="A6" s="289"/>
      <c r="B6" s="289"/>
      <c r="C6" s="289"/>
      <c r="D6" s="289"/>
      <c r="E6" s="287">
        <f>+'Income Statement Cash Flows'!E6</f>
        <v>2024</v>
      </c>
      <c r="F6" s="287">
        <f>+'Income Statement Cash Flows'!F6</f>
        <v>2025</v>
      </c>
      <c r="G6" s="290"/>
      <c r="H6" s="289"/>
      <c r="I6" s="290"/>
    </row>
    <row r="7" spans="1:9" ht="12.75">
      <c r="A7" s="288">
        <v>1</v>
      </c>
      <c r="B7" s="288" t="s">
        <v>413</v>
      </c>
      <c r="E7" s="318">
        <f>+'Modeling results'!B2</f>
        <v>2956126</v>
      </c>
      <c r="F7" s="318">
        <f>+'Modeling results'!C2</f>
        <v>2898053</v>
      </c>
      <c r="G7" s="318"/>
      <c r="H7" s="292"/>
      <c r="I7" s="287"/>
    </row>
    <row r="8" spans="1:9" ht="12.75">
      <c r="A8" s="288">
        <v>2</v>
      </c>
      <c r="E8" s="291"/>
      <c r="F8" s="291"/>
      <c r="G8" s="287"/>
      <c r="I8" s="287"/>
    </row>
    <row r="9" spans="1:17" ht="12.75">
      <c r="A9" s="288">
        <v>3</v>
      </c>
      <c r="B9" s="288" t="s">
        <v>164</v>
      </c>
      <c r="I9" s="289"/>
      <c r="J9" s="289"/>
      <c r="P9" s="297"/>
      <c r="Q9" s="297"/>
    </row>
    <row r="10" spans="1:17" ht="12.75">
      <c r="A10" s="288">
        <v>4</v>
      </c>
      <c r="C10" s="288" t="s">
        <v>165</v>
      </c>
      <c r="E10" s="292"/>
      <c r="F10" s="292"/>
      <c r="G10" s="292"/>
      <c r="P10" s="297"/>
      <c r="Q10" s="297"/>
    </row>
    <row r="11" spans="1:17" ht="12.75">
      <c r="A11" s="288">
        <v>5</v>
      </c>
      <c r="D11" s="288" t="s">
        <v>396</v>
      </c>
      <c r="E11" s="292">
        <f>+'Income Statement Cash Flows'!E9</f>
        <v>741372.2101500002</v>
      </c>
      <c r="F11" s="292">
        <f>+'Income Statement Cash Flows'!F9</f>
        <v>806672.4150200001</v>
      </c>
      <c r="G11" s="292"/>
      <c r="P11" s="297"/>
      <c r="Q11" s="297"/>
    </row>
    <row r="12" spans="1:17" ht="12.75">
      <c r="A12" s="288">
        <v>6</v>
      </c>
      <c r="D12" s="288" t="s">
        <v>397</v>
      </c>
      <c r="E12" s="292">
        <f>+'Income Statement Cash Flows'!E10</f>
        <v>27749.25004</v>
      </c>
      <c r="F12" s="292">
        <f>+'Income Statement Cash Flows'!F10</f>
        <v>27500.000009999996</v>
      </c>
      <c r="G12" s="292"/>
      <c r="P12" s="297"/>
      <c r="Q12" s="297"/>
    </row>
    <row r="13" spans="1:17" ht="12.75">
      <c r="A13" s="288">
        <v>7</v>
      </c>
      <c r="D13" s="288" t="s">
        <v>168</v>
      </c>
      <c r="E13" s="292">
        <f>+'Income Statement Cash Flows'!E11</f>
        <v>2340.9999299999995</v>
      </c>
      <c r="F13" s="292">
        <f>+'Income Statement Cash Flows'!F11</f>
        <v>2375.0000299999992</v>
      </c>
      <c r="G13" s="292"/>
      <c r="P13" s="297"/>
      <c r="Q13" s="297"/>
    </row>
    <row r="14" spans="1:17" ht="12.75">
      <c r="A14" s="288">
        <v>8</v>
      </c>
      <c r="D14" s="288" t="s">
        <v>169</v>
      </c>
      <c r="E14" s="292">
        <f>+'Income Statement Cash Flows'!E12</f>
        <v>195570.99998</v>
      </c>
      <c r="F14" s="292">
        <f>+'Income Statement Cash Flows'!F12</f>
        <v>274315.99999</v>
      </c>
      <c r="G14" s="292"/>
      <c r="P14" s="297"/>
      <c r="Q14" s="297"/>
    </row>
    <row r="15" spans="1:17" ht="12.75">
      <c r="A15" s="288">
        <v>9</v>
      </c>
      <c r="D15" s="288" t="s">
        <v>129</v>
      </c>
      <c r="E15" s="292">
        <f>+'Income Statement Cash Flows'!E13</f>
        <v>0</v>
      </c>
      <c r="F15" s="292">
        <f>+'Income Statement Cash Flows'!F13</f>
        <v>0</v>
      </c>
      <c r="G15" s="292"/>
      <c r="P15" s="297"/>
      <c r="Q15" s="297"/>
    </row>
    <row r="16" spans="1:17" ht="12.75">
      <c r="A16" s="288">
        <v>10</v>
      </c>
      <c r="D16" s="288" t="s">
        <v>170</v>
      </c>
      <c r="E16" s="292">
        <f>+'Income Statement Cash Flows'!E14</f>
        <v>274777</v>
      </c>
      <c r="F16" s="292">
        <f>+'Income Statement Cash Flows'!F14</f>
        <v>274820</v>
      </c>
      <c r="G16" s="292"/>
      <c r="P16" s="297"/>
      <c r="Q16" s="297"/>
    </row>
    <row r="17" spans="1:17" ht="12.75">
      <c r="A17" s="288">
        <v>11</v>
      </c>
      <c r="D17" s="288" t="s">
        <v>171</v>
      </c>
      <c r="E17" s="292">
        <f>+'Income Statement Cash Flows'!E15</f>
        <v>25967</v>
      </c>
      <c r="F17" s="292">
        <f>+'Income Statement Cash Flows'!F15</f>
        <v>26767.000010000003</v>
      </c>
      <c r="G17" s="292"/>
      <c r="P17" s="297"/>
      <c r="Q17" s="297"/>
    </row>
    <row r="18" spans="1:17" ht="12.75">
      <c r="A18" s="288">
        <v>12</v>
      </c>
      <c r="D18" s="288" t="s">
        <v>172</v>
      </c>
      <c r="E18" s="292">
        <f>+'Income Statement Cash Flows'!E16</f>
        <v>113681.31301000001</v>
      </c>
      <c r="F18" s="292">
        <f>+'Income Statement Cash Flows'!F16</f>
        <v>113743.61806000002</v>
      </c>
      <c r="G18" s="292"/>
      <c r="P18" s="297"/>
      <c r="Q18" s="297"/>
    </row>
    <row r="19" spans="1:17" ht="12.75">
      <c r="A19" s="288">
        <v>13</v>
      </c>
      <c r="C19" s="288" t="s">
        <v>173</v>
      </c>
      <c r="E19" s="292">
        <f>+'Income Statement Cash Flows'!E17</f>
        <v>82523.49659000001</v>
      </c>
      <c r="F19" s="292">
        <f>+'Income Statement Cash Flows'!F17</f>
        <v>83800.82810000001</v>
      </c>
      <c r="G19" s="292"/>
      <c r="P19" s="297"/>
      <c r="Q19" s="297"/>
    </row>
    <row r="20" spans="1:17" ht="12.75">
      <c r="A20" s="288">
        <v>14</v>
      </c>
      <c r="C20" s="288" t="s">
        <v>174</v>
      </c>
      <c r="E20" s="292">
        <f>+'Income Statement Cash Flows'!E18</f>
        <v>209421.28199</v>
      </c>
      <c r="F20" s="292">
        <f>+'Income Statement Cash Flows'!F18</f>
        <v>210125.79898000002</v>
      </c>
      <c r="G20" s="292"/>
      <c r="P20" s="297"/>
      <c r="Q20" s="297"/>
    </row>
    <row r="21" spans="1:17" ht="12.75">
      <c r="A21" s="288">
        <v>15</v>
      </c>
      <c r="C21" s="288" t="s">
        <v>398</v>
      </c>
      <c r="E21" s="292">
        <f>+'Income Statement Cash Flows'!E19</f>
        <v>313941.6472900001</v>
      </c>
      <c r="F21" s="292">
        <f>+'Income Statement Cash Flows'!F19</f>
        <v>313572.20191999996</v>
      </c>
      <c r="G21" s="292"/>
      <c r="H21" s="350"/>
      <c r="P21" s="297"/>
      <c r="Q21" s="297"/>
    </row>
    <row r="22" spans="1:17" ht="12.75">
      <c r="A22" s="288">
        <v>16</v>
      </c>
      <c r="C22" s="288" t="s">
        <v>399</v>
      </c>
      <c r="E22" s="292">
        <f>+'Income Statement Cash Flows'!E20</f>
        <v>112892.95552000003</v>
      </c>
      <c r="F22" s="292">
        <f>+'Income Statement Cash Flows'!F20</f>
        <v>116333.42686</v>
      </c>
      <c r="G22" s="292"/>
      <c r="H22" s="350"/>
      <c r="P22" s="297"/>
      <c r="Q22" s="297"/>
    </row>
    <row r="23" spans="1:17" ht="12.75">
      <c r="A23" s="288">
        <v>17</v>
      </c>
      <c r="C23" s="288" t="s">
        <v>176</v>
      </c>
      <c r="E23" s="292">
        <f>+'Income Statement Cash Flows'!E21</f>
        <v>0</v>
      </c>
      <c r="F23" s="292">
        <f>+'Income Statement Cash Flows'!F21</f>
        <v>0</v>
      </c>
      <c r="G23" s="292"/>
      <c r="H23" s="350"/>
      <c r="P23" s="297"/>
      <c r="Q23" s="297"/>
    </row>
    <row r="24" spans="1:17" ht="12.75">
      <c r="A24" s="288">
        <v>18</v>
      </c>
      <c r="C24" s="293" t="s">
        <v>187</v>
      </c>
      <c r="E24" s="292">
        <f>+'Income Statement Cash Flows'!E22</f>
        <v>139703.21333333332</v>
      </c>
      <c r="F24" s="292">
        <f>+'Income Statement Cash Flows'!F22</f>
        <v>143600.21333333332</v>
      </c>
      <c r="G24" s="292"/>
      <c r="H24" s="350"/>
      <c r="P24" s="297"/>
      <c r="Q24" s="297"/>
    </row>
    <row r="25" spans="1:17" ht="12.75">
      <c r="A25" s="288">
        <v>19</v>
      </c>
      <c r="B25" s="293"/>
      <c r="C25" s="293" t="s">
        <v>188</v>
      </c>
      <c r="D25" s="293"/>
      <c r="E25" s="292">
        <f>+'Income Statement Cash Flows'!E23</f>
        <v>312486.82492032886</v>
      </c>
      <c r="F25" s="292">
        <f>+'Income Statement Cash Flows'!F23</f>
        <v>316066.0666030087</v>
      </c>
      <c r="G25" s="292"/>
      <c r="H25" s="350"/>
      <c r="P25" s="297"/>
      <c r="Q25" s="297"/>
    </row>
    <row r="26" spans="1:17" ht="12.75">
      <c r="A26" s="288">
        <v>20</v>
      </c>
      <c r="B26" s="293"/>
      <c r="C26" s="293" t="s">
        <v>775</v>
      </c>
      <c r="D26" s="293"/>
      <c r="E26" s="302">
        <f>+'Income Statement Cash Flows'!E24</f>
        <v>40043.17800442227</v>
      </c>
      <c r="F26" s="302">
        <f>+'Income Statement Cash Flows'!F24</f>
        <v>41798.317985356014</v>
      </c>
      <c r="G26" s="292"/>
      <c r="H26" s="350"/>
      <c r="P26" s="297"/>
      <c r="Q26" s="297"/>
    </row>
    <row r="27" spans="1:17" ht="12.75">
      <c r="A27" s="288">
        <v>21</v>
      </c>
      <c r="B27" s="288" t="s">
        <v>189</v>
      </c>
      <c r="E27" s="292">
        <f>SUM(E11:E26)</f>
        <v>2592471.3707580846</v>
      </c>
      <c r="F27" s="292">
        <f>SUM(F11:F26)</f>
        <v>2751490.886901698</v>
      </c>
      <c r="G27" s="292"/>
      <c r="H27" s="350"/>
      <c r="P27" s="297"/>
      <c r="Q27" s="297"/>
    </row>
    <row r="28" spans="1:17" ht="12.75">
      <c r="A28" s="288">
        <v>22</v>
      </c>
      <c r="E28" s="292"/>
      <c r="F28" s="292"/>
      <c r="G28" s="292"/>
      <c r="H28" s="350"/>
      <c r="P28" s="297"/>
      <c r="Q28" s="297"/>
    </row>
    <row r="29" spans="1:17" ht="12.75">
      <c r="A29" s="288">
        <v>23</v>
      </c>
      <c r="B29" s="292" t="s">
        <v>757</v>
      </c>
      <c r="C29" s="294"/>
      <c r="D29" s="294"/>
      <c r="E29" s="294"/>
      <c r="F29" s="294"/>
      <c r="G29" s="292"/>
      <c r="H29" s="350"/>
      <c r="J29" s="292"/>
      <c r="P29" s="297"/>
      <c r="Q29" s="297"/>
    </row>
    <row r="30" spans="1:17" ht="12.75">
      <c r="A30" s="288">
        <v>24</v>
      </c>
      <c r="B30" s="294"/>
      <c r="C30" s="294" t="s">
        <v>178</v>
      </c>
      <c r="D30" s="294"/>
      <c r="E30" s="294"/>
      <c r="F30" s="294"/>
      <c r="G30" s="292"/>
      <c r="H30" s="350"/>
      <c r="P30" s="297"/>
      <c r="Q30" s="297"/>
    </row>
    <row r="31" spans="1:17" ht="12.75">
      <c r="A31" s="288">
        <v>25</v>
      </c>
      <c r="B31" s="294"/>
      <c r="C31" s="294"/>
      <c r="D31" s="294" t="s">
        <v>179</v>
      </c>
      <c r="E31" s="294">
        <f>+'Income Statement Cash Flows'!E29</f>
        <v>34236</v>
      </c>
      <c r="F31" s="294">
        <f>+'Income Statement Cash Flows'!F29</f>
        <v>23203</v>
      </c>
      <c r="G31" s="292"/>
      <c r="H31" s="350"/>
      <c r="P31" s="297"/>
      <c r="Q31" s="297"/>
    </row>
    <row r="32" spans="1:17" ht="12.75">
      <c r="A32" s="288">
        <v>26</v>
      </c>
      <c r="B32" s="294"/>
      <c r="D32" s="294" t="s">
        <v>180</v>
      </c>
      <c r="E32" s="294">
        <f>+'Income Statement Cash Flows'!E30</f>
        <v>-45937</v>
      </c>
      <c r="F32" s="294">
        <f>+'Income Statement Cash Flows'!F30</f>
        <v>-45937</v>
      </c>
      <c r="G32" s="292"/>
      <c r="H32" s="350"/>
      <c r="P32" s="297"/>
      <c r="Q32" s="297"/>
    </row>
    <row r="33" spans="1:17" ht="12.75">
      <c r="A33" s="288">
        <v>27</v>
      </c>
      <c r="B33" s="294"/>
      <c r="C33" s="294"/>
      <c r="D33" s="294" t="s">
        <v>181</v>
      </c>
      <c r="E33" s="294">
        <f>+'Income Statement Cash Flows'!E31</f>
        <v>39728</v>
      </c>
      <c r="F33" s="294">
        <f>+'Income Statement Cash Flows'!F31</f>
        <v>43660</v>
      </c>
      <c r="G33" s="292"/>
      <c r="H33" s="350"/>
      <c r="P33" s="297"/>
      <c r="Q33" s="297"/>
    </row>
    <row r="34" spans="1:17" ht="12.75">
      <c r="A34" s="288">
        <v>28</v>
      </c>
      <c r="B34" s="293"/>
      <c r="D34" s="293" t="s">
        <v>744</v>
      </c>
      <c r="E34" s="294">
        <f>+'Income Statement Cash Flows'!E32</f>
        <v>11090</v>
      </c>
      <c r="F34" s="294">
        <f>+'Income Statement Cash Flows'!F32</f>
        <v>605</v>
      </c>
      <c r="G34" s="292"/>
      <c r="H34" s="292"/>
      <c r="P34" s="297"/>
      <c r="Q34" s="297"/>
    </row>
    <row r="35" spans="1:17" ht="12.75">
      <c r="A35" s="288">
        <v>29</v>
      </c>
      <c r="B35" s="293"/>
      <c r="D35" s="293" t="s">
        <v>247</v>
      </c>
      <c r="E35" s="294">
        <f>+'Income Statement Cash Flows'!E33</f>
        <v>234544.12039516223</v>
      </c>
      <c r="F35" s="294">
        <f>+'Income Statement Cash Flows'!F33</f>
        <v>230535.0147731208</v>
      </c>
      <c r="G35" s="292"/>
      <c r="H35" s="292"/>
      <c r="P35" s="297"/>
      <c r="Q35" s="297"/>
    </row>
    <row r="36" spans="1:17" ht="12.75">
      <c r="A36" s="288">
        <v>30</v>
      </c>
      <c r="B36" s="293"/>
      <c r="D36" s="294" t="s">
        <v>806</v>
      </c>
      <c r="E36" s="294">
        <f>+'Income Statement Cash Flows'!E34</f>
        <v>-34766.96983530553</v>
      </c>
      <c r="F36" s="294">
        <f>+'Income Statement Cash Flows'!F34</f>
        <v>-38005.50889684399</v>
      </c>
      <c r="G36" s="292"/>
      <c r="H36" s="292"/>
      <c r="P36" s="297"/>
      <c r="Q36" s="297"/>
    </row>
    <row r="37" spans="1:17" ht="12.75">
      <c r="A37" s="288">
        <v>31</v>
      </c>
      <c r="B37" s="293"/>
      <c r="D37" s="294" t="s">
        <v>805</v>
      </c>
      <c r="E37" s="294">
        <f>+'Income Statement Cash Flows'!E35</f>
        <v>499.5126566666666</v>
      </c>
      <c r="F37" s="294">
        <f>+'Income Statement Cash Flows'!F35</f>
        <v>499.5126566666666</v>
      </c>
      <c r="G37" s="292"/>
      <c r="H37" s="292"/>
      <c r="P37" s="297"/>
      <c r="Q37" s="297"/>
    </row>
    <row r="38" spans="1:17" ht="12.75">
      <c r="A38" s="288">
        <v>32</v>
      </c>
      <c r="B38" s="293"/>
      <c r="C38" s="294" t="s">
        <v>182</v>
      </c>
      <c r="D38" s="294"/>
      <c r="E38" s="294">
        <f>+'Income Statement Cash Flows'!E36</f>
        <v>-17821.3925</v>
      </c>
      <c r="F38" s="294">
        <f>+'Income Statement Cash Flows'!F36</f>
        <v>-18137.16688</v>
      </c>
      <c r="G38" s="292"/>
      <c r="P38" s="297"/>
      <c r="Q38" s="297"/>
    </row>
    <row r="39" spans="1:17" ht="12.75">
      <c r="A39" s="288">
        <v>33</v>
      </c>
      <c r="B39" s="294"/>
      <c r="C39" s="294" t="s">
        <v>183</v>
      </c>
      <c r="D39" s="294"/>
      <c r="E39" s="294">
        <f>-'interest credit calculations'!C115</f>
        <v>-2941.5537410202487</v>
      </c>
      <c r="F39" s="294">
        <f>-'interest credit calculations'!D115</f>
        <v>-3775.6571952948075</v>
      </c>
      <c r="G39" s="292"/>
      <c r="J39" s="351"/>
      <c r="P39" s="297"/>
      <c r="Q39" s="297"/>
    </row>
    <row r="40" spans="1:17" ht="12.75">
      <c r="A40" s="288">
        <v>34</v>
      </c>
      <c r="C40" s="288" t="s">
        <v>758</v>
      </c>
      <c r="E40" s="294">
        <f>+'Income Statement Cash Flows'!E39</f>
        <v>-4335.0951722724485</v>
      </c>
      <c r="F40" s="294">
        <f>+'Income Statement Cash Flows'!F38</f>
        <v>-12191.081595996058</v>
      </c>
      <c r="G40" s="292"/>
      <c r="J40" s="351"/>
      <c r="P40" s="297"/>
      <c r="Q40" s="297"/>
    </row>
    <row r="41" spans="1:17" ht="12.75">
      <c r="A41" s="288">
        <v>35</v>
      </c>
      <c r="C41" s="294" t="s">
        <v>798</v>
      </c>
      <c r="E41" s="294">
        <f>+'Income Statement Cash Flows'!E39</f>
        <v>-4335.0951722724485</v>
      </c>
      <c r="F41" s="294">
        <f>+'Income Statement Cash Flows'!F39</f>
        <v>-4607.879206155341</v>
      </c>
      <c r="G41" s="292"/>
      <c r="J41" s="351"/>
      <c r="P41" s="297"/>
      <c r="Q41" s="297"/>
    </row>
    <row r="42" spans="1:17" ht="12.75">
      <c r="A42" s="288">
        <v>36</v>
      </c>
      <c r="B42" s="288" t="s">
        <v>768</v>
      </c>
      <c r="C42" s="294"/>
      <c r="D42" s="294"/>
      <c r="E42" s="294">
        <f>SUM(E31:E41)</f>
        <v>209960.52663095828</v>
      </c>
      <c r="F42" s="294">
        <f>SUM(F31:F41)</f>
        <v>175848.2336554973</v>
      </c>
      <c r="G42" s="292"/>
      <c r="P42" s="294"/>
      <c r="Q42" s="294"/>
    </row>
    <row r="43" spans="1:17" ht="12.75">
      <c r="A43" s="288">
        <v>37</v>
      </c>
      <c r="B43" s="294"/>
      <c r="C43" s="294"/>
      <c r="D43" s="294"/>
      <c r="E43" s="294"/>
      <c r="F43" s="294"/>
      <c r="G43" s="292"/>
      <c r="P43" s="297"/>
      <c r="Q43" s="297"/>
    </row>
    <row r="44" spans="1:17" ht="12.75">
      <c r="A44" s="288">
        <v>38</v>
      </c>
      <c r="B44" s="294" t="s">
        <v>184</v>
      </c>
      <c r="C44" s="294"/>
      <c r="D44" s="294"/>
      <c r="E44" s="294">
        <f>E42+E27</f>
        <v>2802431.8973890427</v>
      </c>
      <c r="F44" s="294">
        <f>F42+F27</f>
        <v>2927339.1205571955</v>
      </c>
      <c r="G44" s="292"/>
      <c r="P44" s="297"/>
      <c r="Q44" s="297"/>
    </row>
    <row r="45" spans="1:7" ht="12.75">
      <c r="A45" s="288">
        <v>39</v>
      </c>
      <c r="B45" s="294"/>
      <c r="C45" s="294"/>
      <c r="D45" s="294"/>
      <c r="E45" s="294"/>
      <c r="F45" s="294"/>
      <c r="G45" s="292"/>
    </row>
    <row r="46" spans="1:14" ht="12.75">
      <c r="A46" s="288">
        <v>40</v>
      </c>
      <c r="B46" s="294" t="s">
        <v>400</v>
      </c>
      <c r="C46" s="294"/>
      <c r="D46" s="294"/>
      <c r="E46" s="294">
        <f>E7-E44</f>
        <v>153694.10261095734</v>
      </c>
      <c r="F46" s="294">
        <f>F7-F44</f>
        <v>-29286.120557195507</v>
      </c>
      <c r="G46" s="292"/>
      <c r="N46" s="287"/>
    </row>
    <row r="47" spans="2:7" ht="12.75">
      <c r="B47" s="292"/>
      <c r="C47" s="292"/>
      <c r="D47" s="292"/>
      <c r="E47" s="292"/>
      <c r="F47" s="292"/>
      <c r="G47" s="292"/>
    </row>
    <row r="48" spans="2:14" ht="12.75">
      <c r="B48" s="292"/>
      <c r="C48" s="292"/>
      <c r="D48" s="292"/>
      <c r="E48" s="292"/>
      <c r="F48" s="292"/>
      <c r="G48" s="298"/>
      <c r="M48" s="292"/>
      <c r="N48" s="292"/>
    </row>
    <row r="49" spans="6:12" ht="12.75">
      <c r="F49" s="348"/>
      <c r="G49" s="292"/>
      <c r="J49" s="287"/>
      <c r="K49" s="287"/>
      <c r="L49" s="287"/>
    </row>
    <row r="50" spans="5:7" ht="12.75">
      <c r="E50" s="292"/>
      <c r="F50" s="292"/>
      <c r="G50" s="292"/>
    </row>
    <row r="51" spans="1:9" ht="12.75">
      <c r="A51" s="299"/>
      <c r="E51" s="292"/>
      <c r="F51" s="292"/>
      <c r="G51" s="292"/>
      <c r="I51" s="292"/>
    </row>
    <row r="54" spans="1:9" ht="12.75">
      <c r="A54" s="483" t="s">
        <v>394</v>
      </c>
      <c r="B54" s="483"/>
      <c r="C54" s="483"/>
      <c r="D54" s="483"/>
      <c r="E54" s="483"/>
      <c r="F54" s="483"/>
      <c r="G54" s="340"/>
      <c r="H54" s="340"/>
      <c r="I54" s="340"/>
    </row>
    <row r="55" spans="1:9" ht="12.75">
      <c r="A55" s="483" t="s">
        <v>230</v>
      </c>
      <c r="B55" s="483"/>
      <c r="C55" s="483"/>
      <c r="D55" s="483"/>
      <c r="E55" s="483"/>
      <c r="F55" s="483"/>
      <c r="G55" s="340"/>
      <c r="H55" s="340"/>
      <c r="I55" s="340"/>
    </row>
    <row r="56" spans="1:9" ht="12.75">
      <c r="A56" s="483" t="s">
        <v>351</v>
      </c>
      <c r="B56" s="483"/>
      <c r="C56" s="483"/>
      <c r="D56" s="483"/>
      <c r="E56" s="483"/>
      <c r="F56" s="483"/>
      <c r="G56" s="340"/>
      <c r="H56" s="340"/>
      <c r="I56" s="340"/>
    </row>
    <row r="57" spans="1:11" ht="12.75">
      <c r="A57" s="292"/>
      <c r="B57" s="292"/>
      <c r="C57" s="292"/>
      <c r="D57" s="292"/>
      <c r="E57" s="292"/>
      <c r="F57" s="292"/>
      <c r="G57" s="292"/>
      <c r="H57" s="292"/>
      <c r="I57" s="292"/>
      <c r="J57" s="292"/>
      <c r="K57" s="292"/>
    </row>
    <row r="58" spans="1:11" ht="12.75">
      <c r="A58" s="292"/>
      <c r="B58" s="292"/>
      <c r="C58" s="292"/>
      <c r="D58" s="292"/>
      <c r="E58" s="290" t="s">
        <v>156</v>
      </c>
      <c r="F58" s="290" t="s">
        <v>157</v>
      </c>
      <c r="G58" s="290"/>
      <c r="H58" s="292"/>
      <c r="I58" s="290"/>
      <c r="J58" s="292"/>
      <c r="K58" s="290"/>
    </row>
    <row r="59" spans="1:15" ht="12.75">
      <c r="A59" s="292"/>
      <c r="B59" s="292"/>
      <c r="C59" s="292"/>
      <c r="D59" s="292"/>
      <c r="E59" s="287">
        <f>+'Income Statement Cash Flows'!E6</f>
        <v>2024</v>
      </c>
      <c r="F59" s="287">
        <f>+'Income Statement Cash Flows'!F6</f>
        <v>2025</v>
      </c>
      <c r="G59" s="287"/>
      <c r="H59" s="292"/>
      <c r="I59" s="287"/>
      <c r="J59" s="292"/>
      <c r="K59" s="290"/>
      <c r="N59" s="297"/>
      <c r="O59" s="297"/>
    </row>
    <row r="60" spans="1:15" ht="12.75">
      <c r="A60" s="292">
        <v>1</v>
      </c>
      <c r="B60" s="292" t="s">
        <v>234</v>
      </c>
      <c r="C60" s="292"/>
      <c r="D60" s="292"/>
      <c r="E60" s="292"/>
      <c r="F60" s="292"/>
      <c r="G60" s="292"/>
      <c r="H60" s="292"/>
      <c r="I60" s="292"/>
      <c r="J60" s="292"/>
      <c r="K60" s="292"/>
      <c r="N60" s="297"/>
      <c r="O60" s="297"/>
    </row>
    <row r="61" spans="1:15" ht="12.75">
      <c r="A61" s="292">
        <v>2</v>
      </c>
      <c r="B61" s="292"/>
      <c r="C61" s="292" t="s">
        <v>400</v>
      </c>
      <c r="D61" s="292"/>
      <c r="E61" s="292">
        <f>E46</f>
        <v>153694.10261095734</v>
      </c>
      <c r="F61" s="292">
        <f>F46</f>
        <v>-29286.120557195507</v>
      </c>
      <c r="G61" s="292"/>
      <c r="H61" s="292"/>
      <c r="I61" s="292"/>
      <c r="J61" s="292"/>
      <c r="K61" s="292"/>
      <c r="N61" s="297"/>
      <c r="O61" s="297"/>
    </row>
    <row r="62" spans="1:15" ht="12.75">
      <c r="A62" s="292">
        <v>3</v>
      </c>
      <c r="B62" s="292"/>
      <c r="C62" s="292" t="s">
        <v>232</v>
      </c>
      <c r="D62" s="292"/>
      <c r="E62" s="292"/>
      <c r="F62" s="292"/>
      <c r="G62" s="292"/>
      <c r="H62" s="292"/>
      <c r="I62" s="292"/>
      <c r="J62" s="292"/>
      <c r="K62" s="292"/>
      <c r="N62" s="297"/>
      <c r="O62" s="297"/>
    </row>
    <row r="63" spans="1:15" ht="12.75">
      <c r="A63" s="292">
        <v>4</v>
      </c>
      <c r="B63" s="292"/>
      <c r="C63" s="292"/>
      <c r="D63" s="292" t="s">
        <v>247</v>
      </c>
      <c r="E63" s="292">
        <f>+'Income Statement Cash Flows'!E63</f>
        <v>5694.264395162258</v>
      </c>
      <c r="F63" s="292">
        <f>+'Income Statement Cash Flows'!F63</f>
        <v>4538.673773120818</v>
      </c>
      <c r="G63" s="292"/>
      <c r="H63" s="292"/>
      <c r="I63" s="292"/>
      <c r="J63" s="292"/>
      <c r="K63" s="292"/>
      <c r="N63" s="297"/>
      <c r="O63" s="297"/>
    </row>
    <row r="64" spans="1:15" ht="12.75">
      <c r="A64" s="292">
        <v>5</v>
      </c>
      <c r="B64" s="292"/>
      <c r="C64" s="292"/>
      <c r="D64" s="292" t="s">
        <v>233</v>
      </c>
      <c r="E64" s="292">
        <f>+'Income Statement Cash Flows'!E64</f>
        <v>452190.0382536622</v>
      </c>
      <c r="F64" s="292">
        <f>+'Income Statement Cash Flows'!F64</f>
        <v>459666.27993634203</v>
      </c>
      <c r="G64" s="292"/>
      <c r="H64" s="292"/>
      <c r="I64" s="292"/>
      <c r="J64" s="292"/>
      <c r="K64" s="292"/>
      <c r="N64" s="297"/>
      <c r="O64" s="297"/>
    </row>
    <row r="65" spans="1:15" ht="12.75">
      <c r="A65" s="292">
        <v>6</v>
      </c>
      <c r="B65" s="292"/>
      <c r="C65" s="292"/>
      <c r="D65" s="293" t="s">
        <v>775</v>
      </c>
      <c r="E65" s="292">
        <f>+'Income Statement Cash Flows'!E65</f>
        <v>40043.17800442227</v>
      </c>
      <c r="F65" s="292">
        <f>+'Income Statement Cash Flows'!F65</f>
        <v>41798.317985356014</v>
      </c>
      <c r="G65" s="292"/>
      <c r="H65" s="292"/>
      <c r="I65" s="292"/>
      <c r="J65" s="292"/>
      <c r="K65" s="292"/>
      <c r="N65" s="297"/>
      <c r="O65" s="297"/>
    </row>
    <row r="66" spans="1:15" ht="12.75">
      <c r="A66" s="292">
        <v>7</v>
      </c>
      <c r="B66" s="292"/>
      <c r="C66" s="292"/>
      <c r="D66" s="288" t="s">
        <v>760</v>
      </c>
      <c r="E66" s="292">
        <f>+'Income Statement Cash Flows'!E66</f>
        <v>-15804.471127480665</v>
      </c>
      <c r="F66" s="292">
        <f>+'Income Statement Cash Flows'!F66</f>
        <v>-16798.9608021514</v>
      </c>
      <c r="G66" s="292"/>
      <c r="H66" s="292"/>
      <c r="I66" s="292"/>
      <c r="J66" s="292"/>
      <c r="K66" s="292"/>
      <c r="N66" s="297"/>
      <c r="O66" s="297"/>
    </row>
    <row r="67" spans="1:15" ht="12.75">
      <c r="A67" s="292">
        <v>8</v>
      </c>
      <c r="B67" s="292"/>
      <c r="C67" s="292"/>
      <c r="D67" s="292" t="s">
        <v>180</v>
      </c>
      <c r="E67" s="292">
        <f>+'Income Statement Cash Flows'!E67</f>
        <v>-45937</v>
      </c>
      <c r="F67" s="292">
        <f>+'Income Statement Cash Flows'!F67</f>
        <v>-45937</v>
      </c>
      <c r="G67" s="292"/>
      <c r="H67" s="292"/>
      <c r="I67" s="292"/>
      <c r="J67" s="292"/>
      <c r="K67" s="292"/>
      <c r="N67" s="297"/>
      <c r="O67" s="297"/>
    </row>
    <row r="68" spans="1:15" ht="12.75">
      <c r="A68" s="292">
        <v>9</v>
      </c>
      <c r="B68" s="298"/>
      <c r="C68" s="346"/>
      <c r="D68" s="292" t="s">
        <v>402</v>
      </c>
      <c r="E68" s="292">
        <f>+'Income Statement Cash Flows'!E68</f>
        <v>-30600</v>
      </c>
      <c r="F68" s="292">
        <f>+'Income Statement Cash Flows'!F68</f>
        <v>-30600</v>
      </c>
      <c r="G68" s="292"/>
      <c r="H68" s="292"/>
      <c r="I68" s="292"/>
      <c r="J68" s="292"/>
      <c r="K68" s="292"/>
      <c r="N68" s="297"/>
      <c r="O68" s="297"/>
    </row>
    <row r="69" spans="1:15" ht="12.75">
      <c r="A69" s="292">
        <v>10</v>
      </c>
      <c r="B69" s="298"/>
      <c r="C69" s="346"/>
      <c r="D69" s="294" t="s">
        <v>806</v>
      </c>
      <c r="E69" s="292">
        <f>+'Income Statement Cash Flows'!E69</f>
        <v>-34766.96983530553</v>
      </c>
      <c r="F69" s="292">
        <f>+'Income Statement Cash Flows'!F69</f>
        <v>-38005.50889684399</v>
      </c>
      <c r="G69" s="292"/>
      <c r="H69" s="292"/>
      <c r="I69" s="292"/>
      <c r="J69" s="292"/>
      <c r="K69" s="292"/>
      <c r="N69" s="297"/>
      <c r="O69" s="297"/>
    </row>
    <row r="70" spans="1:15" ht="12.75">
      <c r="A70" s="292">
        <v>11</v>
      </c>
      <c r="B70" s="298"/>
      <c r="C70" s="346"/>
      <c r="D70" s="294" t="s">
        <v>805</v>
      </c>
      <c r="E70" s="292">
        <f>+'Income Statement Cash Flows'!E70</f>
        <v>499.5126566666666</v>
      </c>
      <c r="F70" s="292">
        <f>+'Income Statement Cash Flows'!F70</f>
        <v>499.5126566666666</v>
      </c>
      <c r="G70" s="292"/>
      <c r="H70" s="292"/>
      <c r="I70" s="292"/>
      <c r="J70" s="292"/>
      <c r="K70" s="292"/>
      <c r="N70" s="297"/>
      <c r="O70" s="297"/>
    </row>
    <row r="71" spans="1:15" ht="12.75">
      <c r="A71" s="292">
        <v>12</v>
      </c>
      <c r="C71" s="288" t="s">
        <v>759</v>
      </c>
      <c r="E71" s="292">
        <f>+'Income Statement Cash Flows'!E71</f>
        <v>-15100</v>
      </c>
      <c r="F71" s="292">
        <f>+'Income Statement Cash Flows'!F71</f>
        <v>-15100</v>
      </c>
      <c r="G71" s="292"/>
      <c r="H71" s="292"/>
      <c r="I71" s="292"/>
      <c r="J71" s="292"/>
      <c r="K71" s="292"/>
      <c r="N71" s="297"/>
      <c r="O71" s="297"/>
    </row>
    <row r="72" spans="1:15" ht="12.75">
      <c r="A72" s="292">
        <v>13</v>
      </c>
      <c r="B72" s="298"/>
      <c r="C72" s="288" t="s">
        <v>725</v>
      </c>
      <c r="D72" s="292"/>
      <c r="E72" s="292">
        <f>+'Income Statement Cash Flows'!E72</f>
        <v>17600</v>
      </c>
      <c r="F72" s="292">
        <f>+'Income Statement Cash Flows'!F72</f>
        <v>0</v>
      </c>
      <c r="G72" s="292"/>
      <c r="H72" s="292"/>
      <c r="I72" s="292"/>
      <c r="J72" s="292"/>
      <c r="K72" s="292"/>
      <c r="N72" s="297"/>
      <c r="O72" s="297"/>
    </row>
    <row r="73" spans="1:15" ht="12.75">
      <c r="A73" s="292">
        <v>14</v>
      </c>
      <c r="B73" s="294"/>
      <c r="C73" s="293" t="s">
        <v>403</v>
      </c>
      <c r="D73" s="294"/>
      <c r="E73" s="296">
        <v>0</v>
      </c>
      <c r="F73" s="296">
        <f>E73*-1</f>
        <v>0</v>
      </c>
      <c r="G73" s="347"/>
      <c r="H73" s="292"/>
      <c r="I73" s="347"/>
      <c r="J73" s="292"/>
      <c r="K73" s="347"/>
      <c r="N73" s="297"/>
      <c r="O73" s="297"/>
    </row>
    <row r="74" spans="1:15" ht="12.75">
      <c r="A74" s="292">
        <v>15</v>
      </c>
      <c r="B74" s="292" t="s">
        <v>234</v>
      </c>
      <c r="C74" s="292"/>
      <c r="D74" s="292"/>
      <c r="E74" s="347">
        <f>SUM(E61:E73)</f>
        <v>527512.6549580846</v>
      </c>
      <c r="F74" s="347">
        <f>SUM(F61:F73)</f>
        <v>330775.19409529463</v>
      </c>
      <c r="G74" s="292"/>
      <c r="H74" s="292"/>
      <c r="I74" s="292"/>
      <c r="J74" s="292"/>
      <c r="K74" s="292"/>
      <c r="N74" s="297"/>
      <c r="O74" s="297"/>
    </row>
    <row r="75" spans="1:15" ht="12.75">
      <c r="A75" s="292">
        <v>16</v>
      </c>
      <c r="B75" s="292"/>
      <c r="C75" s="292"/>
      <c r="D75" s="292"/>
      <c r="E75" s="292"/>
      <c r="F75" s="292"/>
      <c r="G75" s="292"/>
      <c r="H75" s="292"/>
      <c r="I75" s="292"/>
      <c r="J75" s="292"/>
      <c r="K75" s="292"/>
      <c r="N75" s="297"/>
      <c r="O75" s="297"/>
    </row>
    <row r="76" spans="1:15" ht="12.75">
      <c r="A76" s="292">
        <v>17</v>
      </c>
      <c r="B76" s="292" t="s">
        <v>404</v>
      </c>
      <c r="C76" s="292"/>
      <c r="D76" s="292"/>
      <c r="E76" s="292"/>
      <c r="F76" s="292"/>
      <c r="G76" s="292"/>
      <c r="H76" s="292"/>
      <c r="I76" s="292"/>
      <c r="J76" s="292"/>
      <c r="K76" s="292"/>
      <c r="N76" s="297"/>
      <c r="O76" s="297"/>
    </row>
    <row r="77" spans="1:15" ht="12.75">
      <c r="A77" s="292">
        <v>18</v>
      </c>
      <c r="B77" s="292"/>
      <c r="C77" s="292" t="s">
        <v>235</v>
      </c>
      <c r="D77" s="292"/>
      <c r="E77" s="292"/>
      <c r="F77" s="292"/>
      <c r="G77" s="292"/>
      <c r="H77" s="292"/>
      <c r="I77" s="292"/>
      <c r="J77" s="292"/>
      <c r="K77" s="292"/>
      <c r="N77" s="297"/>
      <c r="O77" s="297"/>
    </row>
    <row r="78" spans="1:15" ht="12.75">
      <c r="A78" s="292">
        <v>19</v>
      </c>
      <c r="B78" s="292"/>
      <c r="C78" s="292"/>
      <c r="D78" s="292" t="s">
        <v>405</v>
      </c>
      <c r="E78" s="292">
        <f>+'Income Statement Cash Flows'!E77</f>
        <v>-274444.47724764</v>
      </c>
      <c r="F78" s="292">
        <f>+'Income Statement Cash Flows'!F77</f>
        <v>-280650.897</v>
      </c>
      <c r="G78" s="292"/>
      <c r="H78" s="292"/>
      <c r="I78" s="292"/>
      <c r="J78" s="292"/>
      <c r="K78" s="292"/>
      <c r="N78" s="297"/>
      <c r="O78" s="297"/>
    </row>
    <row r="79" spans="1:15" ht="12.75">
      <c r="A79" s="292">
        <v>20</v>
      </c>
      <c r="B79" s="292"/>
      <c r="C79" s="292"/>
      <c r="D79" s="292" t="s">
        <v>223</v>
      </c>
      <c r="E79" s="302">
        <f>+'Income Statement Cash Flows'!E78</f>
        <v>-41000</v>
      </c>
      <c r="F79" s="302">
        <f>+'Income Statement Cash Flows'!F78</f>
        <v>-41000</v>
      </c>
      <c r="G79" s="292"/>
      <c r="H79" s="292"/>
      <c r="I79" s="292"/>
      <c r="J79" s="292"/>
      <c r="K79" s="292"/>
      <c r="N79" s="297"/>
      <c r="O79" s="297"/>
    </row>
    <row r="80" spans="1:15" ht="12.75">
      <c r="A80" s="292">
        <v>21</v>
      </c>
      <c r="B80" s="292" t="s">
        <v>404</v>
      </c>
      <c r="C80" s="292"/>
      <c r="D80" s="292"/>
      <c r="E80" s="292">
        <f>SUM(E78:E79)</f>
        <v>-315444.47724764</v>
      </c>
      <c r="F80" s="292">
        <f>SUM(F78:F79)</f>
        <v>-321650.897</v>
      </c>
      <c r="G80" s="292"/>
      <c r="H80" s="292"/>
      <c r="I80" s="292"/>
      <c r="J80" s="292"/>
      <c r="K80" s="292"/>
      <c r="N80" s="297"/>
      <c r="O80" s="297"/>
    </row>
    <row r="81" spans="1:15" ht="12.75">
      <c r="A81" s="292">
        <v>22</v>
      </c>
      <c r="B81" s="292"/>
      <c r="C81" s="292"/>
      <c r="D81" s="292"/>
      <c r="E81" s="292"/>
      <c r="F81" s="292"/>
      <c r="G81" s="292"/>
      <c r="H81" s="292"/>
      <c r="I81" s="292"/>
      <c r="J81" s="292"/>
      <c r="K81" s="292"/>
      <c r="N81" s="297"/>
      <c r="O81" s="297"/>
    </row>
    <row r="82" spans="1:15" ht="12.75">
      <c r="A82" s="292">
        <v>23</v>
      </c>
      <c r="B82" s="292" t="s">
        <v>406</v>
      </c>
      <c r="C82" s="292"/>
      <c r="D82" s="292"/>
      <c r="E82" s="292"/>
      <c r="F82" s="292"/>
      <c r="G82" s="292"/>
      <c r="H82" s="292"/>
      <c r="I82" s="292"/>
      <c r="J82" s="292"/>
      <c r="K82" s="292"/>
      <c r="N82" s="297"/>
      <c r="O82" s="297"/>
    </row>
    <row r="83" spans="1:15" ht="12.75">
      <c r="A83" s="292">
        <v>24</v>
      </c>
      <c r="C83" s="292" t="s">
        <v>407</v>
      </c>
      <c r="D83" s="292"/>
      <c r="E83" s="292">
        <f>+'Income Statement Cash Flows'!E82</f>
        <v>268256.86075</v>
      </c>
      <c r="F83" s="292">
        <f>+'Income Statement Cash Flows'!F82</f>
        <v>274710.393312</v>
      </c>
      <c r="G83" s="292"/>
      <c r="H83" s="292"/>
      <c r="I83" s="292"/>
      <c r="J83" s="292"/>
      <c r="K83" s="292"/>
      <c r="N83" s="297"/>
      <c r="O83" s="297"/>
    </row>
    <row r="84" spans="1:15" ht="12.75">
      <c r="A84" s="292">
        <v>25</v>
      </c>
      <c r="C84" s="292" t="s">
        <v>409</v>
      </c>
      <c r="D84" s="292"/>
      <c r="E84" s="292">
        <f>+'Income Statement Cash Flows'!E83</f>
        <v>-181200</v>
      </c>
      <c r="F84" s="292">
        <f>+'Income Statement Cash Flows'!F83</f>
        <v>-236863</v>
      </c>
      <c r="G84" s="292"/>
      <c r="H84" s="292"/>
      <c r="I84" s="292"/>
      <c r="J84" s="292"/>
      <c r="K84" s="292"/>
      <c r="N84" s="297"/>
      <c r="O84" s="297"/>
    </row>
    <row r="85" spans="1:15" ht="12.75">
      <c r="A85" s="292">
        <v>26</v>
      </c>
      <c r="C85" s="292" t="s">
        <v>240</v>
      </c>
      <c r="D85" s="292"/>
      <c r="E85" s="292">
        <f>+'Income Statement Cash Flows'!E84</f>
        <v>13444.47724764</v>
      </c>
      <c r="F85" s="292">
        <f>+'Income Statement Cash Flows'!F84</f>
        <v>12650.897</v>
      </c>
      <c r="G85" s="292"/>
      <c r="H85" s="292"/>
      <c r="I85" s="292"/>
      <c r="J85" s="292"/>
      <c r="K85" s="292"/>
      <c r="N85" s="297"/>
      <c r="O85" s="297"/>
    </row>
    <row r="86" spans="1:15" ht="12.75">
      <c r="A86" s="292">
        <v>27</v>
      </c>
      <c r="C86" s="292" t="s">
        <v>241</v>
      </c>
      <c r="D86" s="292"/>
      <c r="E86" s="292">
        <f>+'Income Statement Cash Flows'!E85</f>
        <v>-278799</v>
      </c>
      <c r="F86" s="292">
        <f>+'Income Statement Cash Flows'!F85</f>
        <v>-209137</v>
      </c>
      <c r="G86" s="292"/>
      <c r="H86" s="292"/>
      <c r="I86" s="292"/>
      <c r="J86" s="292"/>
      <c r="K86" s="292"/>
      <c r="N86" s="297"/>
      <c r="O86" s="297"/>
    </row>
    <row r="87" spans="1:15" ht="12.75">
      <c r="A87" s="292">
        <v>28</v>
      </c>
      <c r="C87" s="292" t="s">
        <v>629</v>
      </c>
      <c r="D87" s="292"/>
      <c r="E87" s="292">
        <f>+'Income Statement Cash Flows'!E86</f>
        <v>-27167.200000000008</v>
      </c>
      <c r="F87" s="292">
        <f>+'Income Statement Cash Flows'!F86</f>
        <v>-21092.85</v>
      </c>
      <c r="G87" s="292"/>
      <c r="H87" s="292"/>
      <c r="I87" s="292"/>
      <c r="J87" s="292"/>
      <c r="K87" s="292"/>
      <c r="N87" s="297"/>
      <c r="O87" s="297"/>
    </row>
    <row r="88" spans="1:15" ht="12.75">
      <c r="A88" s="292">
        <v>29</v>
      </c>
      <c r="C88" s="292" t="s">
        <v>408</v>
      </c>
      <c r="D88" s="292"/>
      <c r="E88" s="292">
        <f>+'Income Statement Cash Flows'!E87</f>
        <v>0</v>
      </c>
      <c r="F88" s="292">
        <f>+'Income Statement Cash Flows'!F87</f>
        <v>0</v>
      </c>
      <c r="G88" s="292"/>
      <c r="H88" s="292"/>
      <c r="I88" s="292"/>
      <c r="J88" s="292"/>
      <c r="K88" s="292"/>
      <c r="N88" s="297"/>
      <c r="O88" s="297"/>
    </row>
    <row r="89" spans="1:11" ht="12.75">
      <c r="A89" s="292">
        <v>30</v>
      </c>
      <c r="C89" s="292" t="s">
        <v>242</v>
      </c>
      <c r="D89" s="292"/>
      <c r="E89" s="302">
        <f>+'Income Statement Cash Flows'!E88</f>
        <v>-8067</v>
      </c>
      <c r="F89" s="302">
        <f>+'Income Statement Cash Flows'!F88</f>
        <v>-14006</v>
      </c>
      <c r="G89" s="292"/>
      <c r="H89" s="292"/>
      <c r="I89" s="292"/>
      <c r="J89" s="292"/>
      <c r="K89" s="292"/>
    </row>
    <row r="90" spans="1:11" ht="12.75">
      <c r="A90" s="292">
        <v>31</v>
      </c>
      <c r="B90" s="292" t="s">
        <v>410</v>
      </c>
      <c r="C90" s="292"/>
      <c r="D90" s="292"/>
      <c r="E90" s="292">
        <f>SUM(E83:E89)</f>
        <v>-213531.86200236002</v>
      </c>
      <c r="F90" s="292">
        <f>SUM(F83:F89)</f>
        <v>-193737.55968800004</v>
      </c>
      <c r="G90" s="292"/>
      <c r="H90" s="292"/>
      <c r="I90" s="292"/>
      <c r="J90" s="292"/>
      <c r="K90" s="292"/>
    </row>
    <row r="91" spans="1:11" ht="12.75">
      <c r="A91" s="292">
        <v>32</v>
      </c>
      <c r="B91" s="292"/>
      <c r="C91" s="292"/>
      <c r="D91" s="292"/>
      <c r="E91" s="292"/>
      <c r="F91" s="292"/>
      <c r="G91" s="292"/>
      <c r="H91" s="292"/>
      <c r="I91" s="292"/>
      <c r="J91" s="292"/>
      <c r="K91" s="292"/>
    </row>
    <row r="92" spans="1:11" ht="12.75">
      <c r="A92" s="292">
        <v>33</v>
      </c>
      <c r="B92" s="294" t="s">
        <v>244</v>
      </c>
      <c r="C92" s="294"/>
      <c r="D92" s="294"/>
      <c r="E92" s="294">
        <f>E74+E80+E90</f>
        <v>-1463.6842919154733</v>
      </c>
      <c r="F92" s="294">
        <f>F74+F80+F90</f>
        <v>-184613.2625927054</v>
      </c>
      <c r="G92" s="292"/>
      <c r="H92" s="292"/>
      <c r="I92" s="292"/>
      <c r="J92" s="292"/>
      <c r="K92" s="292"/>
    </row>
    <row r="93" spans="1:11" ht="12.75">
      <c r="A93" s="292"/>
      <c r="B93" s="292"/>
      <c r="C93" s="292"/>
      <c r="D93" s="292"/>
      <c r="E93" s="292"/>
      <c r="F93" s="292"/>
      <c r="G93" s="292"/>
      <c r="H93" s="292"/>
      <c r="I93" s="292"/>
      <c r="J93" s="292"/>
      <c r="K93" s="292"/>
    </row>
    <row r="94" spans="1:11" ht="12.75">
      <c r="A94" s="292"/>
      <c r="B94" s="292"/>
      <c r="C94" s="292"/>
      <c r="D94" s="348"/>
      <c r="E94" s="292"/>
      <c r="F94" s="292"/>
      <c r="G94" s="292"/>
      <c r="H94" s="292"/>
      <c r="I94" s="292"/>
      <c r="J94" s="292"/>
      <c r="K94" s="292"/>
    </row>
    <row r="95" spans="3:11" ht="12.75">
      <c r="C95" s="292"/>
      <c r="D95" s="348"/>
      <c r="E95" s="292"/>
      <c r="F95" s="292"/>
      <c r="G95" s="292"/>
      <c r="H95" s="292"/>
      <c r="I95" s="292"/>
      <c r="J95" s="292"/>
      <c r="K95" s="292"/>
    </row>
    <row r="96" spans="1:11" ht="12.75">
      <c r="A96" s="292"/>
      <c r="C96" s="292"/>
      <c r="D96" s="348"/>
      <c r="E96" s="292"/>
      <c r="F96" s="292"/>
      <c r="G96" s="292"/>
      <c r="H96" s="292"/>
      <c r="I96" s="292"/>
      <c r="J96" s="292"/>
      <c r="K96" s="292"/>
    </row>
    <row r="97" spans="1:11" ht="12.75">
      <c r="A97" s="292"/>
      <c r="B97" s="292"/>
      <c r="C97" s="292" t="s">
        <v>411</v>
      </c>
      <c r="D97" s="292"/>
      <c r="E97" s="292">
        <f>E98+E64+E63+E65+E66+E69+E70+E71+E72+E67+E68+E80+E90+'interest credit calculations'!C119</f>
        <v>-1460.2380329358566</v>
      </c>
      <c r="F97" s="292">
        <f>F98+F64+F63+F65+F66+F69+F70+F71+F72+F67+F68+F80+F90+'interest credit calculations'!D119</f>
        <v>-184111.91978800003</v>
      </c>
      <c r="G97" s="292"/>
      <c r="H97" s="292"/>
      <c r="I97" s="292"/>
      <c r="J97" s="292"/>
      <c r="K97" s="292"/>
    </row>
    <row r="98" spans="1:11" ht="12.75">
      <c r="A98" s="292"/>
      <c r="B98" s="292"/>
      <c r="C98" s="292" t="s">
        <v>401</v>
      </c>
      <c r="D98" s="292"/>
      <c r="E98" s="292">
        <f>E7-E27-E31-E32-E33-E34-E38-E35-E36-E37-E40-E41</f>
        <v>150752.54886993696</v>
      </c>
      <c r="F98" s="292">
        <f>F7-F27-F31-F32-F33-F34-F38-F35-F36-F37-F40-F41</f>
        <v>-33061.77775249016</v>
      </c>
      <c r="G98" s="292"/>
      <c r="H98" s="292"/>
      <c r="I98" s="292"/>
      <c r="J98" s="292"/>
      <c r="K98" s="292"/>
    </row>
    <row r="99" spans="5:7" ht="12.75">
      <c r="E99" s="292"/>
      <c r="F99" s="292"/>
      <c r="G99" s="292"/>
    </row>
    <row r="100" spans="5:7" ht="12.75">
      <c r="E100" s="292"/>
      <c r="F100" s="292"/>
      <c r="G100" s="292"/>
    </row>
    <row r="101" spans="2:7" ht="12.75">
      <c r="B101" s="292"/>
      <c r="C101" s="292"/>
      <c r="D101" s="292"/>
      <c r="E101" s="292"/>
      <c r="F101" s="292"/>
      <c r="G101" s="292"/>
    </row>
    <row r="102" spans="5:7" ht="12.75">
      <c r="E102" s="292"/>
      <c r="F102" s="292"/>
      <c r="G102" s="292"/>
    </row>
    <row r="103" spans="5:7" ht="12.75">
      <c r="E103" s="292"/>
      <c r="F103" s="292"/>
      <c r="G103" s="292"/>
    </row>
    <row r="104" spans="5:7" ht="12.75">
      <c r="E104" s="292"/>
      <c r="F104" s="292"/>
      <c r="G104" s="292"/>
    </row>
    <row r="105" spans="5:7" ht="12.75">
      <c r="E105" s="292"/>
      <c r="F105" s="292"/>
      <c r="G105" s="292"/>
    </row>
    <row r="106" spans="5:7" ht="12.75">
      <c r="E106" s="292"/>
      <c r="F106" s="292"/>
      <c r="G106" s="292"/>
    </row>
    <row r="107" spans="5:7" ht="12.75">
      <c r="E107" s="292"/>
      <c r="F107" s="292"/>
      <c r="G107" s="292"/>
    </row>
    <row r="108" spans="5:7" ht="12.75">
      <c r="E108" s="292"/>
      <c r="F108" s="292"/>
      <c r="G108" s="292"/>
    </row>
    <row r="109" spans="5:7" ht="12.75">
      <c r="E109" s="292"/>
      <c r="F109" s="292"/>
      <c r="G109" s="292"/>
    </row>
    <row r="110" spans="5:7" ht="12.75">
      <c r="E110" s="292"/>
      <c r="F110" s="292"/>
      <c r="G110" s="292"/>
    </row>
    <row r="111" spans="5:7" ht="12.75">
      <c r="E111" s="292"/>
      <c r="F111" s="292"/>
      <c r="G111" s="292"/>
    </row>
    <row r="112" spans="5:7" ht="12.75">
      <c r="E112" s="292"/>
      <c r="F112" s="292"/>
      <c r="G112" s="292"/>
    </row>
    <row r="113" spans="5:7" ht="12.75">
      <c r="E113" s="292"/>
      <c r="F113" s="292"/>
      <c r="G113" s="292"/>
    </row>
    <row r="114" spans="5:7" ht="12.75">
      <c r="E114" s="292"/>
      <c r="F114" s="292"/>
      <c r="G114" s="292"/>
    </row>
    <row r="115" spans="5:7" ht="12.75">
      <c r="E115" s="292"/>
      <c r="F115" s="292"/>
      <c r="G115" s="292"/>
    </row>
    <row r="116" spans="5:7" ht="12.75">
      <c r="E116" s="292"/>
      <c r="F116" s="292"/>
      <c r="G116" s="292"/>
    </row>
    <row r="117" spans="5:7" ht="12.75">
      <c r="E117" s="292"/>
      <c r="F117" s="292"/>
      <c r="G117" s="292"/>
    </row>
    <row r="118" spans="5:7" ht="12.75">
      <c r="E118" s="292"/>
      <c r="F118" s="292"/>
      <c r="G118" s="292"/>
    </row>
    <row r="119" spans="5:7" ht="12.75">
      <c r="E119" s="292"/>
      <c r="F119" s="292"/>
      <c r="G119" s="292"/>
    </row>
    <row r="120" spans="5:7" ht="12.75">
      <c r="E120" s="292"/>
      <c r="F120" s="292"/>
      <c r="G120" s="292"/>
    </row>
    <row r="121" spans="5:7" ht="12.75">
      <c r="E121" s="292"/>
      <c r="F121" s="292"/>
      <c r="G121" s="292"/>
    </row>
    <row r="122" spans="5:7" ht="12.75">
      <c r="E122" s="292"/>
      <c r="F122" s="292"/>
      <c r="G122" s="292"/>
    </row>
    <row r="123" spans="5:7" ht="12.75">
      <c r="E123" s="292"/>
      <c r="F123" s="292"/>
      <c r="G123" s="292"/>
    </row>
    <row r="124" spans="5:7" ht="12.75">
      <c r="E124" s="292"/>
      <c r="F124" s="292"/>
      <c r="G124" s="292"/>
    </row>
    <row r="125" spans="5:7" ht="12.75">
      <c r="E125" s="292"/>
      <c r="F125" s="292"/>
      <c r="G125" s="292"/>
    </row>
    <row r="126" spans="5:7" ht="12.75">
      <c r="E126" s="292"/>
      <c r="F126" s="292"/>
      <c r="G126" s="292"/>
    </row>
    <row r="127" spans="5:7" ht="12.75">
      <c r="E127" s="292"/>
      <c r="F127" s="292"/>
      <c r="G127" s="292"/>
    </row>
    <row r="128" spans="5:7" ht="12.75">
      <c r="E128" s="292"/>
      <c r="F128" s="292"/>
      <c r="G128" s="292"/>
    </row>
    <row r="129" spans="5:7" ht="12.75">
      <c r="E129" s="292"/>
      <c r="F129" s="292"/>
      <c r="G129" s="292"/>
    </row>
    <row r="130" spans="5:7" ht="12.75">
      <c r="E130" s="292"/>
      <c r="F130" s="292"/>
      <c r="G130" s="292"/>
    </row>
    <row r="131" spans="5:7" ht="12.75">
      <c r="E131" s="292"/>
      <c r="F131" s="292"/>
      <c r="G131" s="292"/>
    </row>
    <row r="132" spans="5:7" ht="12.75">
      <c r="E132" s="292"/>
      <c r="F132" s="292"/>
      <c r="G132" s="292"/>
    </row>
    <row r="133" spans="5:7" ht="12.75">
      <c r="E133" s="292"/>
      <c r="F133" s="292"/>
      <c r="G133" s="292"/>
    </row>
    <row r="134" spans="5:7" ht="12.75">
      <c r="E134" s="292"/>
      <c r="F134" s="292"/>
      <c r="G134" s="292"/>
    </row>
    <row r="135" spans="5:7" ht="12.75">
      <c r="E135" s="292"/>
      <c r="F135" s="292"/>
      <c r="G135" s="292"/>
    </row>
    <row r="136" spans="5:7" ht="12.75">
      <c r="E136" s="292"/>
      <c r="F136" s="292"/>
      <c r="G136" s="292"/>
    </row>
    <row r="137" spans="5:7" ht="12.75">
      <c r="E137" s="292"/>
      <c r="F137" s="292"/>
      <c r="G137" s="292"/>
    </row>
    <row r="138" spans="5:7" ht="12.75">
      <c r="E138" s="292"/>
      <c r="F138" s="292"/>
      <c r="G138" s="292"/>
    </row>
    <row r="139" spans="5:7" ht="12.75">
      <c r="E139" s="292"/>
      <c r="F139" s="292"/>
      <c r="G139" s="292"/>
    </row>
    <row r="140" spans="5:7" ht="12.75">
      <c r="E140" s="292"/>
      <c r="F140" s="292"/>
      <c r="G140" s="292"/>
    </row>
    <row r="141" spans="5:7" ht="12.75">
      <c r="E141" s="292"/>
      <c r="F141" s="292"/>
      <c r="G141" s="292"/>
    </row>
    <row r="142" spans="5:7" ht="12.75">
      <c r="E142" s="292"/>
      <c r="F142" s="292"/>
      <c r="G142" s="292"/>
    </row>
    <row r="143" spans="5:7" ht="12.75">
      <c r="E143" s="292"/>
      <c r="F143" s="292"/>
      <c r="G143" s="292"/>
    </row>
    <row r="144" spans="5:7" ht="12.75">
      <c r="E144" s="292"/>
      <c r="F144" s="292"/>
      <c r="G144" s="292"/>
    </row>
    <row r="145" spans="5:7" ht="12.75">
      <c r="E145" s="292"/>
      <c r="F145" s="292"/>
      <c r="G145" s="292"/>
    </row>
    <row r="146" spans="5:7" ht="12.75">
      <c r="E146" s="292"/>
      <c r="F146" s="292"/>
      <c r="G146" s="292"/>
    </row>
    <row r="147" spans="5:7" ht="12.75">
      <c r="E147" s="292"/>
      <c r="F147" s="292"/>
      <c r="G147" s="292"/>
    </row>
    <row r="148" spans="5:7" ht="12.75">
      <c r="E148" s="292"/>
      <c r="F148" s="292"/>
      <c r="G148" s="292"/>
    </row>
    <row r="149" spans="5:7" ht="12.75">
      <c r="E149" s="292"/>
      <c r="F149" s="292"/>
      <c r="G149" s="292"/>
    </row>
    <row r="150" spans="5:7" ht="12.75">
      <c r="E150" s="292"/>
      <c r="F150" s="292"/>
      <c r="G150" s="292"/>
    </row>
  </sheetData>
  <mergeCells count="6">
    <mergeCell ref="A56:F56"/>
    <mergeCell ref="A1:F1"/>
    <mergeCell ref="A2:F2"/>
    <mergeCell ref="A3:F3"/>
    <mergeCell ref="A54:F54"/>
    <mergeCell ref="A55:F5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G10"/>
  <sheetViews>
    <sheetView workbookViewId="0" topLeftCell="F1">
      <selection activeCell="H1" sqref="H1:T1048576"/>
    </sheetView>
  </sheetViews>
  <sheetFormatPr defaultColWidth="9.140625" defaultRowHeight="12.75"/>
  <cols>
    <col min="1" max="3" width="9.140625" style="5" customWidth="1"/>
    <col min="4" max="4" width="34.57421875" style="5" bestFit="1" customWidth="1"/>
    <col min="5" max="5" width="15.421875" style="5" hidden="1" customWidth="1"/>
    <col min="6" max="7" width="15.421875" style="5" bestFit="1" customWidth="1"/>
    <col min="8" max="16384" width="9.140625" style="5" customWidth="1"/>
  </cols>
  <sheetData>
    <row r="1" spans="1:7" ht="18.75">
      <c r="A1" s="275" t="s">
        <v>477</v>
      </c>
      <c r="B1" s="275"/>
      <c r="C1" s="275"/>
      <c r="D1" s="275"/>
      <c r="E1" s="275"/>
      <c r="F1" s="275"/>
      <c r="G1" s="275"/>
    </row>
    <row r="4" ht="30.75" customHeight="1">
      <c r="E4" s="5" t="s">
        <v>475</v>
      </c>
    </row>
    <row r="5" spans="5:7" ht="24.75" customHeight="1">
      <c r="E5" s="276"/>
      <c r="F5" s="276">
        <v>2024</v>
      </c>
      <c r="G5" s="276">
        <v>2025</v>
      </c>
    </row>
    <row r="6" spans="4:7" ht="37.5" customHeight="1">
      <c r="D6" s="5" t="s">
        <v>810</v>
      </c>
      <c r="E6" s="18"/>
      <c r="F6" s="18">
        <v>3172897.0900000003</v>
      </c>
      <c r="G6" s="18">
        <v>3444931.9</v>
      </c>
    </row>
    <row r="7" spans="4:7" ht="12.75">
      <c r="D7" s="5" t="s">
        <v>811</v>
      </c>
      <c r="E7" s="18"/>
      <c r="F7" s="18">
        <v>1649906.4868000003</v>
      </c>
      <c r="G7" s="18">
        <v>1791364.588</v>
      </c>
    </row>
    <row r="8" spans="4:7" ht="12.75">
      <c r="D8" s="5" t="s">
        <v>812</v>
      </c>
      <c r="E8" s="18"/>
      <c r="F8" s="18">
        <v>494971.94604000007</v>
      </c>
      <c r="G8" s="18">
        <v>537409.3764</v>
      </c>
    </row>
    <row r="9" spans="4:7" ht="15">
      <c r="D9" s="277" t="s">
        <v>813</v>
      </c>
      <c r="E9" s="18"/>
      <c r="F9" s="278">
        <v>59396.6335248</v>
      </c>
      <c r="G9" s="278">
        <v>64489.12516799999</v>
      </c>
    </row>
    <row r="10" spans="4:7" ht="12.75">
      <c r="D10" s="5" t="s">
        <v>147</v>
      </c>
      <c r="E10" s="152">
        <f>+E7+E8</f>
        <v>0</v>
      </c>
      <c r="F10" s="152">
        <v>554368.5795648</v>
      </c>
      <c r="G10" s="152">
        <v>601898.501568</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C17"/>
  <sheetViews>
    <sheetView workbookViewId="0" topLeftCell="A1">
      <selection activeCell="H20" sqref="H20"/>
    </sheetView>
  </sheetViews>
  <sheetFormatPr defaultColWidth="9.140625" defaultRowHeight="12.75"/>
  <cols>
    <col min="1" max="1" width="49.57421875" style="0" customWidth="1"/>
    <col min="2" max="3" width="14.00390625" style="0" bestFit="1" customWidth="1"/>
  </cols>
  <sheetData>
    <row r="1" spans="1:3" ht="15" customHeight="1">
      <c r="A1" s="115" t="s">
        <v>474</v>
      </c>
      <c r="B1" s="116"/>
      <c r="C1" s="116"/>
    </row>
    <row r="2" ht="15" customHeight="1"/>
    <row r="3" ht="15" customHeight="1"/>
    <row r="4" ht="15" customHeight="1"/>
    <row r="5" spans="2:3" ht="15" customHeight="1">
      <c r="B5" s="128">
        <v>2024</v>
      </c>
      <c r="C5" s="128">
        <v>2025</v>
      </c>
    </row>
    <row r="6" spans="2:3" ht="15" customHeight="1">
      <c r="B6" s="117" t="s">
        <v>143</v>
      </c>
      <c r="C6" s="117" t="s">
        <v>143</v>
      </c>
    </row>
    <row r="7" spans="1:3" ht="15" customHeight="1">
      <c r="A7" s="385" t="s">
        <v>786</v>
      </c>
      <c r="B7" s="142">
        <v>12807368.83</v>
      </c>
      <c r="C7" s="142">
        <v>13492691.17</v>
      </c>
    </row>
    <row r="8" spans="1:3" ht="15" customHeight="1">
      <c r="A8" s="385" t="s">
        <v>788</v>
      </c>
      <c r="B8" s="182">
        <v>9338199.56</v>
      </c>
      <c r="C8" s="182">
        <v>9705440.82</v>
      </c>
    </row>
    <row r="9" spans="1:3" ht="15" customHeight="1">
      <c r="A9" s="385" t="s">
        <v>790</v>
      </c>
      <c r="B9" s="142">
        <v>822763.2</v>
      </c>
      <c r="C9" s="142">
        <v>859589.67</v>
      </c>
    </row>
    <row r="10" spans="1:3" ht="15" customHeight="1">
      <c r="A10" s="386" t="s">
        <v>847</v>
      </c>
      <c r="B10" s="142">
        <v>3311626.9</v>
      </c>
      <c r="C10" s="142">
        <v>3445309.3</v>
      </c>
    </row>
    <row r="11" spans="1:3" ht="15" customHeight="1">
      <c r="A11" s="386" t="s">
        <v>848</v>
      </c>
      <c r="B11" s="142"/>
      <c r="C11" s="142"/>
    </row>
    <row r="12" spans="1:3" ht="15" customHeight="1">
      <c r="A12" s="387" t="s">
        <v>849</v>
      </c>
      <c r="B12" s="182"/>
      <c r="C12" s="182"/>
    </row>
    <row r="13" spans="1:3" ht="15" customHeight="1">
      <c r="A13" s="385" t="s">
        <v>850</v>
      </c>
      <c r="B13" s="142">
        <v>5816016.65</v>
      </c>
      <c r="C13" s="142">
        <v>6041481.4</v>
      </c>
    </row>
    <row r="14" spans="1:3" ht="15" customHeight="1">
      <c r="A14" s="388" t="s">
        <v>851</v>
      </c>
      <c r="B14" s="35">
        <v>9378451.51</v>
      </c>
      <c r="C14" s="35">
        <v>9819344.49</v>
      </c>
    </row>
    <row r="15" ht="15" customHeight="1">
      <c r="A15" s="389"/>
    </row>
    <row r="16" ht="15" customHeight="1">
      <c r="A16" s="389"/>
    </row>
    <row r="17" spans="1:3" ht="15">
      <c r="A17" s="118" t="s">
        <v>476</v>
      </c>
      <c r="B17" s="174">
        <f>(B13+B9)/SUM(B7:B14)</f>
        <v>0.1600692375092785</v>
      </c>
      <c r="C17" s="174">
        <f>(C13+C9)/SUM(C7:C14)</f>
        <v>0.15914338740374287</v>
      </c>
    </row>
    <row r="18" ht="15" customHeight="1"/>
    <row r="19" ht="15" customHeight="1"/>
    <row r="20" ht="15" customHeight="1"/>
    <row r="21" ht="15" customHeight="1"/>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3"/>
  <sheetViews>
    <sheetView zoomScale="80" zoomScaleNormal="80" workbookViewId="0" topLeftCell="A1">
      <selection activeCell="U33" sqref="U33"/>
    </sheetView>
  </sheetViews>
  <sheetFormatPr defaultColWidth="9.140625" defaultRowHeight="12.75"/>
  <cols>
    <col min="1" max="1" width="4.00390625" style="0" customWidth="1"/>
    <col min="2" max="2" width="36.421875" style="0" customWidth="1"/>
    <col min="3" max="3" width="6.57421875" style="0" customWidth="1"/>
    <col min="4" max="4" width="13.421875" style="0" bestFit="1" customWidth="1"/>
    <col min="5" max="5" width="10.57421875" style="0" customWidth="1"/>
    <col min="6" max="6" width="11.00390625" style="0" customWidth="1"/>
    <col min="7" max="7" width="13.421875" style="0" bestFit="1" customWidth="1"/>
    <col min="8" max="8" width="9.140625" style="0" customWidth="1"/>
    <col min="9" max="9" width="11.57421875" style="0" customWidth="1"/>
    <col min="225" max="225" width="4.00390625" style="0" customWidth="1"/>
    <col min="226" max="226" width="36.421875" style="0" customWidth="1"/>
    <col min="227" max="227" width="6.57421875" style="0" customWidth="1"/>
    <col min="228" max="228" width="11.7109375" style="0" customWidth="1"/>
    <col min="229" max="229" width="10.57421875" style="0" customWidth="1"/>
    <col min="230" max="230" width="11.00390625" style="0" customWidth="1"/>
    <col min="231" max="231" width="10.28125" style="0" customWidth="1"/>
    <col min="232" max="233" width="9.140625" style="0" customWidth="1"/>
    <col min="235" max="235" width="9.421875" style="0" customWidth="1"/>
    <col min="237" max="237" width="10.8515625" style="0" customWidth="1"/>
    <col min="240" max="240" width="10.00390625" style="0" customWidth="1"/>
    <col min="243" max="243" width="10.57421875" style="0" customWidth="1"/>
    <col min="246" max="246" width="10.7109375" style="0" customWidth="1"/>
    <col min="248" max="248" width="11.28125" style="0" customWidth="1"/>
    <col min="249" max="249" width="10.8515625" style="0" customWidth="1"/>
    <col min="481" max="481" width="4.00390625" style="0" customWidth="1"/>
    <col min="482" max="482" width="36.421875" style="0" customWidth="1"/>
    <col min="483" max="483" width="6.57421875" style="0" customWidth="1"/>
    <col min="484" max="484" width="11.7109375" style="0" customWidth="1"/>
    <col min="485" max="485" width="10.57421875" style="0" customWidth="1"/>
    <col min="486" max="486" width="11.00390625" style="0" customWidth="1"/>
    <col min="487" max="487" width="10.28125" style="0" customWidth="1"/>
    <col min="488" max="489" width="9.140625" style="0" customWidth="1"/>
    <col min="491" max="491" width="9.421875" style="0" customWidth="1"/>
    <col min="493" max="493" width="10.8515625" style="0" customWidth="1"/>
    <col min="496" max="496" width="10.00390625" style="0" customWidth="1"/>
    <col min="499" max="499" width="10.57421875" style="0" customWidth="1"/>
    <col min="502" max="502" width="10.7109375" style="0" customWidth="1"/>
    <col min="504" max="504" width="11.28125" style="0" customWidth="1"/>
    <col min="505" max="505" width="10.8515625" style="0" customWidth="1"/>
    <col min="737" max="737" width="4.00390625" style="0" customWidth="1"/>
    <col min="738" max="738" width="36.421875" style="0" customWidth="1"/>
    <col min="739" max="739" width="6.57421875" style="0" customWidth="1"/>
    <col min="740" max="740" width="11.7109375" style="0" customWidth="1"/>
    <col min="741" max="741" width="10.57421875" style="0" customWidth="1"/>
    <col min="742" max="742" width="11.00390625" style="0" customWidth="1"/>
    <col min="743" max="743" width="10.28125" style="0" customWidth="1"/>
    <col min="744" max="745" width="9.140625" style="0" customWidth="1"/>
    <col min="747" max="747" width="9.421875" style="0" customWidth="1"/>
    <col min="749" max="749" width="10.8515625" style="0" customWidth="1"/>
    <col min="752" max="752" width="10.00390625" style="0" customWidth="1"/>
    <col min="755" max="755" width="10.57421875" style="0" customWidth="1"/>
    <col min="758" max="758" width="10.7109375" style="0" customWidth="1"/>
    <col min="760" max="760" width="11.28125" style="0" customWidth="1"/>
    <col min="761" max="761" width="10.8515625" style="0" customWidth="1"/>
    <col min="993" max="993" width="4.00390625" style="0" customWidth="1"/>
    <col min="994" max="994" width="36.421875" style="0" customWidth="1"/>
    <col min="995" max="995" width="6.57421875" style="0" customWidth="1"/>
    <col min="996" max="996" width="11.7109375" style="0" customWidth="1"/>
    <col min="997" max="997" width="10.57421875" style="0" customWidth="1"/>
    <col min="998" max="998" width="11.00390625" style="0" customWidth="1"/>
    <col min="999" max="999" width="10.28125" style="0" customWidth="1"/>
    <col min="1000" max="1001" width="9.140625" style="0" customWidth="1"/>
    <col min="1003" max="1003" width="9.421875" style="0" customWidth="1"/>
    <col min="1005" max="1005" width="10.8515625" style="0" customWidth="1"/>
    <col min="1008" max="1008" width="10.00390625" style="0" customWidth="1"/>
    <col min="1011" max="1011" width="10.57421875" style="0" customWidth="1"/>
    <col min="1014" max="1014" width="10.7109375" style="0" customWidth="1"/>
    <col min="1016" max="1016" width="11.28125" style="0" customWidth="1"/>
    <col min="1017" max="1017" width="10.8515625" style="0" customWidth="1"/>
    <col min="1249" max="1249" width="4.00390625" style="0" customWidth="1"/>
    <col min="1250" max="1250" width="36.421875" style="0" customWidth="1"/>
    <col min="1251" max="1251" width="6.57421875" style="0" customWidth="1"/>
    <col min="1252" max="1252" width="11.7109375" style="0" customWidth="1"/>
    <col min="1253" max="1253" width="10.57421875" style="0" customWidth="1"/>
    <col min="1254" max="1254" width="11.00390625" style="0" customWidth="1"/>
    <col min="1255" max="1255" width="10.28125" style="0" customWidth="1"/>
    <col min="1256" max="1257" width="9.140625" style="0" customWidth="1"/>
    <col min="1259" max="1259" width="9.421875" style="0" customWidth="1"/>
    <col min="1261" max="1261" width="10.8515625" style="0" customWidth="1"/>
    <col min="1264" max="1264" width="10.00390625" style="0" customWidth="1"/>
    <col min="1267" max="1267" width="10.57421875" style="0" customWidth="1"/>
    <col min="1270" max="1270" width="10.7109375" style="0" customWidth="1"/>
    <col min="1272" max="1272" width="11.28125" style="0" customWidth="1"/>
    <col min="1273" max="1273" width="10.8515625" style="0" customWidth="1"/>
    <col min="1505" max="1505" width="4.00390625" style="0" customWidth="1"/>
    <col min="1506" max="1506" width="36.421875" style="0" customWidth="1"/>
    <col min="1507" max="1507" width="6.57421875" style="0" customWidth="1"/>
    <col min="1508" max="1508" width="11.7109375" style="0" customWidth="1"/>
    <col min="1509" max="1509" width="10.57421875" style="0" customWidth="1"/>
    <col min="1510" max="1510" width="11.00390625" style="0" customWidth="1"/>
    <col min="1511" max="1511" width="10.28125" style="0" customWidth="1"/>
    <col min="1512" max="1513" width="9.140625" style="0" customWidth="1"/>
    <col min="1515" max="1515" width="9.421875" style="0" customWidth="1"/>
    <col min="1517" max="1517" width="10.8515625" style="0" customWidth="1"/>
    <col min="1520" max="1520" width="10.00390625" style="0" customWidth="1"/>
    <col min="1523" max="1523" width="10.57421875" style="0" customWidth="1"/>
    <col min="1526" max="1526" width="10.7109375" style="0" customWidth="1"/>
    <col min="1528" max="1528" width="11.28125" style="0" customWidth="1"/>
    <col min="1529" max="1529" width="10.8515625" style="0" customWidth="1"/>
    <col min="1761" max="1761" width="4.00390625" style="0" customWidth="1"/>
    <col min="1762" max="1762" width="36.421875" style="0" customWidth="1"/>
    <col min="1763" max="1763" width="6.57421875" style="0" customWidth="1"/>
    <col min="1764" max="1764" width="11.7109375" style="0" customWidth="1"/>
    <col min="1765" max="1765" width="10.57421875" style="0" customWidth="1"/>
    <col min="1766" max="1766" width="11.00390625" style="0" customWidth="1"/>
    <col min="1767" max="1767" width="10.28125" style="0" customWidth="1"/>
    <col min="1768" max="1769" width="9.140625" style="0" customWidth="1"/>
    <col min="1771" max="1771" width="9.421875" style="0" customWidth="1"/>
    <col min="1773" max="1773" width="10.8515625" style="0" customWidth="1"/>
    <col min="1776" max="1776" width="10.00390625" style="0" customWidth="1"/>
    <col min="1779" max="1779" width="10.57421875" style="0" customWidth="1"/>
    <col min="1782" max="1782" width="10.7109375" style="0" customWidth="1"/>
    <col min="1784" max="1784" width="11.28125" style="0" customWidth="1"/>
    <col min="1785" max="1785" width="10.8515625" style="0" customWidth="1"/>
    <col min="2017" max="2017" width="4.00390625" style="0" customWidth="1"/>
    <col min="2018" max="2018" width="36.421875" style="0" customWidth="1"/>
    <col min="2019" max="2019" width="6.57421875" style="0" customWidth="1"/>
    <col min="2020" max="2020" width="11.7109375" style="0" customWidth="1"/>
    <col min="2021" max="2021" width="10.57421875" style="0" customWidth="1"/>
    <col min="2022" max="2022" width="11.00390625" style="0" customWidth="1"/>
    <col min="2023" max="2023" width="10.28125" style="0" customWidth="1"/>
    <col min="2024" max="2025" width="9.140625" style="0" customWidth="1"/>
    <col min="2027" max="2027" width="9.421875" style="0" customWidth="1"/>
    <col min="2029" max="2029" width="10.8515625" style="0" customWidth="1"/>
    <col min="2032" max="2032" width="10.00390625" style="0" customWidth="1"/>
    <col min="2035" max="2035" width="10.57421875" style="0" customWidth="1"/>
    <col min="2038" max="2038" width="10.7109375" style="0" customWidth="1"/>
    <col min="2040" max="2040" width="11.28125" style="0" customWidth="1"/>
    <col min="2041" max="2041" width="10.8515625" style="0" customWidth="1"/>
    <col min="2273" max="2273" width="4.00390625" style="0" customWidth="1"/>
    <col min="2274" max="2274" width="36.421875" style="0" customWidth="1"/>
    <col min="2275" max="2275" width="6.57421875" style="0" customWidth="1"/>
    <col min="2276" max="2276" width="11.7109375" style="0" customWidth="1"/>
    <col min="2277" max="2277" width="10.57421875" style="0" customWidth="1"/>
    <col min="2278" max="2278" width="11.00390625" style="0" customWidth="1"/>
    <col min="2279" max="2279" width="10.28125" style="0" customWidth="1"/>
    <col min="2280" max="2281" width="9.140625" style="0" customWidth="1"/>
    <col min="2283" max="2283" width="9.421875" style="0" customWidth="1"/>
    <col min="2285" max="2285" width="10.8515625" style="0" customWidth="1"/>
    <col min="2288" max="2288" width="10.00390625" style="0" customWidth="1"/>
    <col min="2291" max="2291" width="10.57421875" style="0" customWidth="1"/>
    <col min="2294" max="2294" width="10.7109375" style="0" customWidth="1"/>
    <col min="2296" max="2296" width="11.28125" style="0" customWidth="1"/>
    <col min="2297" max="2297" width="10.8515625" style="0" customWidth="1"/>
    <col min="2529" max="2529" width="4.00390625" style="0" customWidth="1"/>
    <col min="2530" max="2530" width="36.421875" style="0" customWidth="1"/>
    <col min="2531" max="2531" width="6.57421875" style="0" customWidth="1"/>
    <col min="2532" max="2532" width="11.7109375" style="0" customWidth="1"/>
    <col min="2533" max="2533" width="10.57421875" style="0" customWidth="1"/>
    <col min="2534" max="2534" width="11.00390625" style="0" customWidth="1"/>
    <col min="2535" max="2535" width="10.28125" style="0" customWidth="1"/>
    <col min="2536" max="2537" width="9.140625" style="0" customWidth="1"/>
    <col min="2539" max="2539" width="9.421875" style="0" customWidth="1"/>
    <col min="2541" max="2541" width="10.8515625" style="0" customWidth="1"/>
    <col min="2544" max="2544" width="10.00390625" style="0" customWidth="1"/>
    <col min="2547" max="2547" width="10.57421875" style="0" customWidth="1"/>
    <col min="2550" max="2550" width="10.7109375" style="0" customWidth="1"/>
    <col min="2552" max="2552" width="11.28125" style="0" customWidth="1"/>
    <col min="2553" max="2553" width="10.8515625" style="0" customWidth="1"/>
    <col min="2785" max="2785" width="4.00390625" style="0" customWidth="1"/>
    <col min="2786" max="2786" width="36.421875" style="0" customWidth="1"/>
    <col min="2787" max="2787" width="6.57421875" style="0" customWidth="1"/>
    <col min="2788" max="2788" width="11.7109375" style="0" customWidth="1"/>
    <col min="2789" max="2789" width="10.57421875" style="0" customWidth="1"/>
    <col min="2790" max="2790" width="11.00390625" style="0" customWidth="1"/>
    <col min="2791" max="2791" width="10.28125" style="0" customWidth="1"/>
    <col min="2792" max="2793" width="9.140625" style="0" customWidth="1"/>
    <col min="2795" max="2795" width="9.421875" style="0" customWidth="1"/>
    <col min="2797" max="2797" width="10.8515625" style="0" customWidth="1"/>
    <col min="2800" max="2800" width="10.00390625" style="0" customWidth="1"/>
    <col min="2803" max="2803" width="10.57421875" style="0" customWidth="1"/>
    <col min="2806" max="2806" width="10.7109375" style="0" customWidth="1"/>
    <col min="2808" max="2808" width="11.28125" style="0" customWidth="1"/>
    <col min="2809" max="2809" width="10.8515625" style="0" customWidth="1"/>
    <col min="3041" max="3041" width="4.00390625" style="0" customWidth="1"/>
    <col min="3042" max="3042" width="36.421875" style="0" customWidth="1"/>
    <col min="3043" max="3043" width="6.57421875" style="0" customWidth="1"/>
    <col min="3044" max="3044" width="11.7109375" style="0" customWidth="1"/>
    <col min="3045" max="3045" width="10.57421875" style="0" customWidth="1"/>
    <col min="3046" max="3046" width="11.00390625" style="0" customWidth="1"/>
    <col min="3047" max="3047" width="10.28125" style="0" customWidth="1"/>
    <col min="3048" max="3049" width="9.140625" style="0" customWidth="1"/>
    <col min="3051" max="3051" width="9.421875" style="0" customWidth="1"/>
    <col min="3053" max="3053" width="10.8515625" style="0" customWidth="1"/>
    <col min="3056" max="3056" width="10.00390625" style="0" customWidth="1"/>
    <col min="3059" max="3059" width="10.57421875" style="0" customWidth="1"/>
    <col min="3062" max="3062" width="10.7109375" style="0" customWidth="1"/>
    <col min="3064" max="3064" width="11.28125" style="0" customWidth="1"/>
    <col min="3065" max="3065" width="10.8515625" style="0" customWidth="1"/>
    <col min="3297" max="3297" width="4.00390625" style="0" customWidth="1"/>
    <col min="3298" max="3298" width="36.421875" style="0" customWidth="1"/>
    <col min="3299" max="3299" width="6.57421875" style="0" customWidth="1"/>
    <col min="3300" max="3300" width="11.7109375" style="0" customWidth="1"/>
    <col min="3301" max="3301" width="10.57421875" style="0" customWidth="1"/>
    <col min="3302" max="3302" width="11.00390625" style="0" customWidth="1"/>
    <col min="3303" max="3303" width="10.28125" style="0" customWidth="1"/>
    <col min="3304" max="3305" width="9.140625" style="0" customWidth="1"/>
    <col min="3307" max="3307" width="9.421875" style="0" customWidth="1"/>
    <col min="3309" max="3309" width="10.8515625" style="0" customWidth="1"/>
    <col min="3312" max="3312" width="10.00390625" style="0" customWidth="1"/>
    <col min="3315" max="3315" width="10.57421875" style="0" customWidth="1"/>
    <col min="3318" max="3318" width="10.7109375" style="0" customWidth="1"/>
    <col min="3320" max="3320" width="11.28125" style="0" customWidth="1"/>
    <col min="3321" max="3321" width="10.8515625" style="0" customWidth="1"/>
    <col min="3553" max="3553" width="4.00390625" style="0" customWidth="1"/>
    <col min="3554" max="3554" width="36.421875" style="0" customWidth="1"/>
    <col min="3555" max="3555" width="6.57421875" style="0" customWidth="1"/>
    <col min="3556" max="3556" width="11.7109375" style="0" customWidth="1"/>
    <col min="3557" max="3557" width="10.57421875" style="0" customWidth="1"/>
    <col min="3558" max="3558" width="11.00390625" style="0" customWidth="1"/>
    <col min="3559" max="3559" width="10.28125" style="0" customWidth="1"/>
    <col min="3560" max="3561" width="9.140625" style="0" customWidth="1"/>
    <col min="3563" max="3563" width="9.421875" style="0" customWidth="1"/>
    <col min="3565" max="3565" width="10.8515625" style="0" customWidth="1"/>
    <col min="3568" max="3568" width="10.00390625" style="0" customWidth="1"/>
    <col min="3571" max="3571" width="10.57421875" style="0" customWidth="1"/>
    <col min="3574" max="3574" width="10.7109375" style="0" customWidth="1"/>
    <col min="3576" max="3576" width="11.28125" style="0" customWidth="1"/>
    <col min="3577" max="3577" width="10.8515625" style="0" customWidth="1"/>
    <col min="3809" max="3809" width="4.00390625" style="0" customWidth="1"/>
    <col min="3810" max="3810" width="36.421875" style="0" customWidth="1"/>
    <col min="3811" max="3811" width="6.57421875" style="0" customWidth="1"/>
    <col min="3812" max="3812" width="11.7109375" style="0" customWidth="1"/>
    <col min="3813" max="3813" width="10.57421875" style="0" customWidth="1"/>
    <col min="3814" max="3814" width="11.00390625" style="0" customWidth="1"/>
    <col min="3815" max="3815" width="10.28125" style="0" customWidth="1"/>
    <col min="3816" max="3817" width="9.140625" style="0" customWidth="1"/>
    <col min="3819" max="3819" width="9.421875" style="0" customWidth="1"/>
    <col min="3821" max="3821" width="10.8515625" style="0" customWidth="1"/>
    <col min="3824" max="3824" width="10.00390625" style="0" customWidth="1"/>
    <col min="3827" max="3827" width="10.57421875" style="0" customWidth="1"/>
    <col min="3830" max="3830" width="10.7109375" style="0" customWidth="1"/>
    <col min="3832" max="3832" width="11.28125" style="0" customWidth="1"/>
    <col min="3833" max="3833" width="10.8515625" style="0" customWidth="1"/>
    <col min="4065" max="4065" width="4.00390625" style="0" customWidth="1"/>
    <col min="4066" max="4066" width="36.421875" style="0" customWidth="1"/>
    <col min="4067" max="4067" width="6.57421875" style="0" customWidth="1"/>
    <col min="4068" max="4068" width="11.7109375" style="0" customWidth="1"/>
    <col min="4069" max="4069" width="10.57421875" style="0" customWidth="1"/>
    <col min="4070" max="4070" width="11.00390625" style="0" customWidth="1"/>
    <col min="4071" max="4071" width="10.28125" style="0" customWidth="1"/>
    <col min="4072" max="4073" width="9.140625" style="0" customWidth="1"/>
    <col min="4075" max="4075" width="9.421875" style="0" customWidth="1"/>
    <col min="4077" max="4077" width="10.8515625" style="0" customWidth="1"/>
    <col min="4080" max="4080" width="10.00390625" style="0" customWidth="1"/>
    <col min="4083" max="4083" width="10.57421875" style="0" customWidth="1"/>
    <col min="4086" max="4086" width="10.7109375" style="0" customWidth="1"/>
    <col min="4088" max="4088" width="11.28125" style="0" customWidth="1"/>
    <col min="4089" max="4089" width="10.8515625" style="0" customWidth="1"/>
    <col min="4321" max="4321" width="4.00390625" style="0" customWidth="1"/>
    <col min="4322" max="4322" width="36.421875" style="0" customWidth="1"/>
    <col min="4323" max="4323" width="6.57421875" style="0" customWidth="1"/>
    <col min="4324" max="4324" width="11.7109375" style="0" customWidth="1"/>
    <col min="4325" max="4325" width="10.57421875" style="0" customWidth="1"/>
    <col min="4326" max="4326" width="11.00390625" style="0" customWidth="1"/>
    <col min="4327" max="4327" width="10.28125" style="0" customWidth="1"/>
    <col min="4328" max="4329" width="9.140625" style="0" customWidth="1"/>
    <col min="4331" max="4331" width="9.421875" style="0" customWidth="1"/>
    <col min="4333" max="4333" width="10.8515625" style="0" customWidth="1"/>
    <col min="4336" max="4336" width="10.00390625" style="0" customWidth="1"/>
    <col min="4339" max="4339" width="10.57421875" style="0" customWidth="1"/>
    <col min="4342" max="4342" width="10.7109375" style="0" customWidth="1"/>
    <col min="4344" max="4344" width="11.28125" style="0" customWidth="1"/>
    <col min="4345" max="4345" width="10.8515625" style="0" customWidth="1"/>
    <col min="4577" max="4577" width="4.00390625" style="0" customWidth="1"/>
    <col min="4578" max="4578" width="36.421875" style="0" customWidth="1"/>
    <col min="4579" max="4579" width="6.57421875" style="0" customWidth="1"/>
    <col min="4580" max="4580" width="11.7109375" style="0" customWidth="1"/>
    <col min="4581" max="4581" width="10.57421875" style="0" customWidth="1"/>
    <col min="4582" max="4582" width="11.00390625" style="0" customWidth="1"/>
    <col min="4583" max="4583" width="10.28125" style="0" customWidth="1"/>
    <col min="4584" max="4585" width="9.140625" style="0" customWidth="1"/>
    <col min="4587" max="4587" width="9.421875" style="0" customWidth="1"/>
    <col min="4589" max="4589" width="10.8515625" style="0" customWidth="1"/>
    <col min="4592" max="4592" width="10.00390625" style="0" customWidth="1"/>
    <col min="4595" max="4595" width="10.57421875" style="0" customWidth="1"/>
    <col min="4598" max="4598" width="10.7109375" style="0" customWidth="1"/>
    <col min="4600" max="4600" width="11.28125" style="0" customWidth="1"/>
    <col min="4601" max="4601" width="10.8515625" style="0" customWidth="1"/>
    <col min="4833" max="4833" width="4.00390625" style="0" customWidth="1"/>
    <col min="4834" max="4834" width="36.421875" style="0" customWidth="1"/>
    <col min="4835" max="4835" width="6.57421875" style="0" customWidth="1"/>
    <col min="4836" max="4836" width="11.7109375" style="0" customWidth="1"/>
    <col min="4837" max="4837" width="10.57421875" style="0" customWidth="1"/>
    <col min="4838" max="4838" width="11.00390625" style="0" customWidth="1"/>
    <col min="4839" max="4839" width="10.28125" style="0" customWidth="1"/>
    <col min="4840" max="4841" width="9.140625" style="0" customWidth="1"/>
    <col min="4843" max="4843" width="9.421875" style="0" customWidth="1"/>
    <col min="4845" max="4845" width="10.8515625" style="0" customWidth="1"/>
    <col min="4848" max="4848" width="10.00390625" style="0" customWidth="1"/>
    <col min="4851" max="4851" width="10.57421875" style="0" customWidth="1"/>
    <col min="4854" max="4854" width="10.7109375" style="0" customWidth="1"/>
    <col min="4856" max="4856" width="11.28125" style="0" customWidth="1"/>
    <col min="4857" max="4857" width="10.8515625" style="0" customWidth="1"/>
    <col min="5089" max="5089" width="4.00390625" style="0" customWidth="1"/>
    <col min="5090" max="5090" width="36.421875" style="0" customWidth="1"/>
    <col min="5091" max="5091" width="6.57421875" style="0" customWidth="1"/>
    <col min="5092" max="5092" width="11.7109375" style="0" customWidth="1"/>
    <col min="5093" max="5093" width="10.57421875" style="0" customWidth="1"/>
    <col min="5094" max="5094" width="11.00390625" style="0" customWidth="1"/>
    <col min="5095" max="5095" width="10.28125" style="0" customWidth="1"/>
    <col min="5096" max="5097" width="9.140625" style="0" customWidth="1"/>
    <col min="5099" max="5099" width="9.421875" style="0" customWidth="1"/>
    <col min="5101" max="5101" width="10.8515625" style="0" customWidth="1"/>
    <col min="5104" max="5104" width="10.00390625" style="0" customWidth="1"/>
    <col min="5107" max="5107" width="10.57421875" style="0" customWidth="1"/>
    <col min="5110" max="5110" width="10.7109375" style="0" customWidth="1"/>
    <col min="5112" max="5112" width="11.28125" style="0" customWidth="1"/>
    <col min="5113" max="5113" width="10.8515625" style="0" customWidth="1"/>
    <col min="5345" max="5345" width="4.00390625" style="0" customWidth="1"/>
    <col min="5346" max="5346" width="36.421875" style="0" customWidth="1"/>
    <col min="5347" max="5347" width="6.57421875" style="0" customWidth="1"/>
    <col min="5348" max="5348" width="11.7109375" style="0" customWidth="1"/>
    <col min="5349" max="5349" width="10.57421875" style="0" customWidth="1"/>
    <col min="5350" max="5350" width="11.00390625" style="0" customWidth="1"/>
    <col min="5351" max="5351" width="10.28125" style="0" customWidth="1"/>
    <col min="5352" max="5353" width="9.140625" style="0" customWidth="1"/>
    <col min="5355" max="5355" width="9.421875" style="0" customWidth="1"/>
    <col min="5357" max="5357" width="10.8515625" style="0" customWidth="1"/>
    <col min="5360" max="5360" width="10.00390625" style="0" customWidth="1"/>
    <col min="5363" max="5363" width="10.57421875" style="0" customWidth="1"/>
    <col min="5366" max="5366" width="10.7109375" style="0" customWidth="1"/>
    <col min="5368" max="5368" width="11.28125" style="0" customWidth="1"/>
    <col min="5369" max="5369" width="10.8515625" style="0" customWidth="1"/>
    <col min="5601" max="5601" width="4.00390625" style="0" customWidth="1"/>
    <col min="5602" max="5602" width="36.421875" style="0" customWidth="1"/>
    <col min="5603" max="5603" width="6.57421875" style="0" customWidth="1"/>
    <col min="5604" max="5604" width="11.7109375" style="0" customWidth="1"/>
    <col min="5605" max="5605" width="10.57421875" style="0" customWidth="1"/>
    <col min="5606" max="5606" width="11.00390625" style="0" customWidth="1"/>
    <col min="5607" max="5607" width="10.28125" style="0" customWidth="1"/>
    <col min="5608" max="5609" width="9.140625" style="0" customWidth="1"/>
    <col min="5611" max="5611" width="9.421875" style="0" customWidth="1"/>
    <col min="5613" max="5613" width="10.8515625" style="0" customWidth="1"/>
    <col min="5616" max="5616" width="10.00390625" style="0" customWidth="1"/>
    <col min="5619" max="5619" width="10.57421875" style="0" customWidth="1"/>
    <col min="5622" max="5622" width="10.7109375" style="0" customWidth="1"/>
    <col min="5624" max="5624" width="11.28125" style="0" customWidth="1"/>
    <col min="5625" max="5625" width="10.8515625" style="0" customWidth="1"/>
    <col min="5857" max="5857" width="4.00390625" style="0" customWidth="1"/>
    <col min="5858" max="5858" width="36.421875" style="0" customWidth="1"/>
    <col min="5859" max="5859" width="6.57421875" style="0" customWidth="1"/>
    <col min="5860" max="5860" width="11.7109375" style="0" customWidth="1"/>
    <col min="5861" max="5861" width="10.57421875" style="0" customWidth="1"/>
    <col min="5862" max="5862" width="11.00390625" style="0" customWidth="1"/>
    <col min="5863" max="5863" width="10.28125" style="0" customWidth="1"/>
    <col min="5864" max="5865" width="9.140625" style="0" customWidth="1"/>
    <col min="5867" max="5867" width="9.421875" style="0" customWidth="1"/>
    <col min="5869" max="5869" width="10.8515625" style="0" customWidth="1"/>
    <col min="5872" max="5872" width="10.00390625" style="0" customWidth="1"/>
    <col min="5875" max="5875" width="10.57421875" style="0" customWidth="1"/>
    <col min="5878" max="5878" width="10.7109375" style="0" customWidth="1"/>
    <col min="5880" max="5880" width="11.28125" style="0" customWidth="1"/>
    <col min="5881" max="5881" width="10.8515625" style="0" customWidth="1"/>
    <col min="6113" max="6113" width="4.00390625" style="0" customWidth="1"/>
    <col min="6114" max="6114" width="36.421875" style="0" customWidth="1"/>
    <col min="6115" max="6115" width="6.57421875" style="0" customWidth="1"/>
    <col min="6116" max="6116" width="11.7109375" style="0" customWidth="1"/>
    <col min="6117" max="6117" width="10.57421875" style="0" customWidth="1"/>
    <col min="6118" max="6118" width="11.00390625" style="0" customWidth="1"/>
    <col min="6119" max="6119" width="10.28125" style="0" customWidth="1"/>
    <col min="6120" max="6121" width="9.140625" style="0" customWidth="1"/>
    <col min="6123" max="6123" width="9.421875" style="0" customWidth="1"/>
    <col min="6125" max="6125" width="10.8515625" style="0" customWidth="1"/>
    <col min="6128" max="6128" width="10.00390625" style="0" customWidth="1"/>
    <col min="6131" max="6131" width="10.57421875" style="0" customWidth="1"/>
    <col min="6134" max="6134" width="10.7109375" style="0" customWidth="1"/>
    <col min="6136" max="6136" width="11.28125" style="0" customWidth="1"/>
    <col min="6137" max="6137" width="10.8515625" style="0" customWidth="1"/>
    <col min="6369" max="6369" width="4.00390625" style="0" customWidth="1"/>
    <col min="6370" max="6370" width="36.421875" style="0" customWidth="1"/>
    <col min="6371" max="6371" width="6.57421875" style="0" customWidth="1"/>
    <col min="6372" max="6372" width="11.7109375" style="0" customWidth="1"/>
    <col min="6373" max="6373" width="10.57421875" style="0" customWidth="1"/>
    <col min="6374" max="6374" width="11.00390625" style="0" customWidth="1"/>
    <col min="6375" max="6375" width="10.28125" style="0" customWidth="1"/>
    <col min="6376" max="6377" width="9.140625" style="0" customWidth="1"/>
    <col min="6379" max="6379" width="9.421875" style="0" customWidth="1"/>
    <col min="6381" max="6381" width="10.8515625" style="0" customWidth="1"/>
    <col min="6384" max="6384" width="10.00390625" style="0" customWidth="1"/>
    <col min="6387" max="6387" width="10.57421875" style="0" customWidth="1"/>
    <col min="6390" max="6390" width="10.7109375" style="0" customWidth="1"/>
    <col min="6392" max="6392" width="11.28125" style="0" customWidth="1"/>
    <col min="6393" max="6393" width="10.8515625" style="0" customWidth="1"/>
    <col min="6625" max="6625" width="4.00390625" style="0" customWidth="1"/>
    <col min="6626" max="6626" width="36.421875" style="0" customWidth="1"/>
    <col min="6627" max="6627" width="6.57421875" style="0" customWidth="1"/>
    <col min="6628" max="6628" width="11.7109375" style="0" customWidth="1"/>
    <col min="6629" max="6629" width="10.57421875" style="0" customWidth="1"/>
    <col min="6630" max="6630" width="11.00390625" style="0" customWidth="1"/>
    <col min="6631" max="6631" width="10.28125" style="0" customWidth="1"/>
    <col min="6632" max="6633" width="9.140625" style="0" customWidth="1"/>
    <col min="6635" max="6635" width="9.421875" style="0" customWidth="1"/>
    <col min="6637" max="6637" width="10.8515625" style="0" customWidth="1"/>
    <col min="6640" max="6640" width="10.00390625" style="0" customWidth="1"/>
    <col min="6643" max="6643" width="10.57421875" style="0" customWidth="1"/>
    <col min="6646" max="6646" width="10.7109375" style="0" customWidth="1"/>
    <col min="6648" max="6648" width="11.28125" style="0" customWidth="1"/>
    <col min="6649" max="6649" width="10.8515625" style="0" customWidth="1"/>
    <col min="6881" max="6881" width="4.00390625" style="0" customWidth="1"/>
    <col min="6882" max="6882" width="36.421875" style="0" customWidth="1"/>
    <col min="6883" max="6883" width="6.57421875" style="0" customWidth="1"/>
    <col min="6884" max="6884" width="11.7109375" style="0" customWidth="1"/>
    <col min="6885" max="6885" width="10.57421875" style="0" customWidth="1"/>
    <col min="6886" max="6886" width="11.00390625" style="0" customWidth="1"/>
    <col min="6887" max="6887" width="10.28125" style="0" customWidth="1"/>
    <col min="6888" max="6889" width="9.140625" style="0" customWidth="1"/>
    <col min="6891" max="6891" width="9.421875" style="0" customWidth="1"/>
    <col min="6893" max="6893" width="10.8515625" style="0" customWidth="1"/>
    <col min="6896" max="6896" width="10.00390625" style="0" customWidth="1"/>
    <col min="6899" max="6899" width="10.57421875" style="0" customWidth="1"/>
    <col min="6902" max="6902" width="10.7109375" style="0" customWidth="1"/>
    <col min="6904" max="6904" width="11.28125" style="0" customWidth="1"/>
    <col min="6905" max="6905" width="10.8515625" style="0" customWidth="1"/>
    <col min="7137" max="7137" width="4.00390625" style="0" customWidth="1"/>
    <col min="7138" max="7138" width="36.421875" style="0" customWidth="1"/>
    <col min="7139" max="7139" width="6.57421875" style="0" customWidth="1"/>
    <col min="7140" max="7140" width="11.7109375" style="0" customWidth="1"/>
    <col min="7141" max="7141" width="10.57421875" style="0" customWidth="1"/>
    <col min="7142" max="7142" width="11.00390625" style="0" customWidth="1"/>
    <col min="7143" max="7143" width="10.28125" style="0" customWidth="1"/>
    <col min="7144" max="7145" width="9.140625" style="0" customWidth="1"/>
    <col min="7147" max="7147" width="9.421875" style="0" customWidth="1"/>
    <col min="7149" max="7149" width="10.8515625" style="0" customWidth="1"/>
    <col min="7152" max="7152" width="10.00390625" style="0" customWidth="1"/>
    <col min="7155" max="7155" width="10.57421875" style="0" customWidth="1"/>
    <col min="7158" max="7158" width="10.7109375" style="0" customWidth="1"/>
    <col min="7160" max="7160" width="11.28125" style="0" customWidth="1"/>
    <col min="7161" max="7161" width="10.8515625" style="0" customWidth="1"/>
    <col min="7393" max="7393" width="4.00390625" style="0" customWidth="1"/>
    <col min="7394" max="7394" width="36.421875" style="0" customWidth="1"/>
    <col min="7395" max="7395" width="6.57421875" style="0" customWidth="1"/>
    <col min="7396" max="7396" width="11.7109375" style="0" customWidth="1"/>
    <col min="7397" max="7397" width="10.57421875" style="0" customWidth="1"/>
    <col min="7398" max="7398" width="11.00390625" style="0" customWidth="1"/>
    <col min="7399" max="7399" width="10.28125" style="0" customWidth="1"/>
    <col min="7400" max="7401" width="9.140625" style="0" customWidth="1"/>
    <col min="7403" max="7403" width="9.421875" style="0" customWidth="1"/>
    <col min="7405" max="7405" width="10.8515625" style="0" customWidth="1"/>
    <col min="7408" max="7408" width="10.00390625" style="0" customWidth="1"/>
    <col min="7411" max="7411" width="10.57421875" style="0" customWidth="1"/>
    <col min="7414" max="7414" width="10.7109375" style="0" customWidth="1"/>
    <col min="7416" max="7416" width="11.28125" style="0" customWidth="1"/>
    <col min="7417" max="7417" width="10.8515625" style="0" customWidth="1"/>
    <col min="7649" max="7649" width="4.00390625" style="0" customWidth="1"/>
    <col min="7650" max="7650" width="36.421875" style="0" customWidth="1"/>
    <col min="7651" max="7651" width="6.57421875" style="0" customWidth="1"/>
    <col min="7652" max="7652" width="11.7109375" style="0" customWidth="1"/>
    <col min="7653" max="7653" width="10.57421875" style="0" customWidth="1"/>
    <col min="7654" max="7654" width="11.00390625" style="0" customWidth="1"/>
    <col min="7655" max="7655" width="10.28125" style="0" customWidth="1"/>
    <col min="7656" max="7657" width="9.140625" style="0" customWidth="1"/>
    <col min="7659" max="7659" width="9.421875" style="0" customWidth="1"/>
    <col min="7661" max="7661" width="10.8515625" style="0" customWidth="1"/>
    <col min="7664" max="7664" width="10.00390625" style="0" customWidth="1"/>
    <col min="7667" max="7667" width="10.57421875" style="0" customWidth="1"/>
    <col min="7670" max="7670" width="10.7109375" style="0" customWidth="1"/>
    <col min="7672" max="7672" width="11.28125" style="0" customWidth="1"/>
    <col min="7673" max="7673" width="10.8515625" style="0" customWidth="1"/>
    <col min="7905" max="7905" width="4.00390625" style="0" customWidth="1"/>
    <col min="7906" max="7906" width="36.421875" style="0" customWidth="1"/>
    <col min="7907" max="7907" width="6.57421875" style="0" customWidth="1"/>
    <col min="7908" max="7908" width="11.7109375" style="0" customWidth="1"/>
    <col min="7909" max="7909" width="10.57421875" style="0" customWidth="1"/>
    <col min="7910" max="7910" width="11.00390625" style="0" customWidth="1"/>
    <col min="7911" max="7911" width="10.28125" style="0" customWidth="1"/>
    <col min="7912" max="7913" width="9.140625" style="0" customWidth="1"/>
    <col min="7915" max="7915" width="9.421875" style="0" customWidth="1"/>
    <col min="7917" max="7917" width="10.8515625" style="0" customWidth="1"/>
    <col min="7920" max="7920" width="10.00390625" style="0" customWidth="1"/>
    <col min="7923" max="7923" width="10.57421875" style="0" customWidth="1"/>
    <col min="7926" max="7926" width="10.7109375" style="0" customWidth="1"/>
    <col min="7928" max="7928" width="11.28125" style="0" customWidth="1"/>
    <col min="7929" max="7929" width="10.8515625" style="0" customWidth="1"/>
    <col min="8161" max="8161" width="4.00390625" style="0" customWidth="1"/>
    <col min="8162" max="8162" width="36.421875" style="0" customWidth="1"/>
    <col min="8163" max="8163" width="6.57421875" style="0" customWidth="1"/>
    <col min="8164" max="8164" width="11.7109375" style="0" customWidth="1"/>
    <col min="8165" max="8165" width="10.57421875" style="0" customWidth="1"/>
    <col min="8166" max="8166" width="11.00390625" style="0" customWidth="1"/>
    <col min="8167" max="8167" width="10.28125" style="0" customWidth="1"/>
    <col min="8168" max="8169" width="9.140625" style="0" customWidth="1"/>
    <col min="8171" max="8171" width="9.421875" style="0" customWidth="1"/>
    <col min="8173" max="8173" width="10.8515625" style="0" customWidth="1"/>
    <col min="8176" max="8176" width="10.00390625" style="0" customWidth="1"/>
    <col min="8179" max="8179" width="10.57421875" style="0" customWidth="1"/>
    <col min="8182" max="8182" width="10.7109375" style="0" customWidth="1"/>
    <col min="8184" max="8184" width="11.28125" style="0" customWidth="1"/>
    <col min="8185" max="8185" width="10.8515625" style="0" customWidth="1"/>
    <col min="8417" max="8417" width="4.00390625" style="0" customWidth="1"/>
    <col min="8418" max="8418" width="36.421875" style="0" customWidth="1"/>
    <col min="8419" max="8419" width="6.57421875" style="0" customWidth="1"/>
    <col min="8420" max="8420" width="11.7109375" style="0" customWidth="1"/>
    <col min="8421" max="8421" width="10.57421875" style="0" customWidth="1"/>
    <col min="8422" max="8422" width="11.00390625" style="0" customWidth="1"/>
    <col min="8423" max="8423" width="10.28125" style="0" customWidth="1"/>
    <col min="8424" max="8425" width="9.140625" style="0" customWidth="1"/>
    <col min="8427" max="8427" width="9.421875" style="0" customWidth="1"/>
    <col min="8429" max="8429" width="10.8515625" style="0" customWidth="1"/>
    <col min="8432" max="8432" width="10.00390625" style="0" customWidth="1"/>
    <col min="8435" max="8435" width="10.57421875" style="0" customWidth="1"/>
    <col min="8438" max="8438" width="10.7109375" style="0" customWidth="1"/>
    <col min="8440" max="8440" width="11.28125" style="0" customWidth="1"/>
    <col min="8441" max="8441" width="10.8515625" style="0" customWidth="1"/>
    <col min="8673" max="8673" width="4.00390625" style="0" customWidth="1"/>
    <col min="8674" max="8674" width="36.421875" style="0" customWidth="1"/>
    <col min="8675" max="8675" width="6.57421875" style="0" customWidth="1"/>
    <col min="8676" max="8676" width="11.7109375" style="0" customWidth="1"/>
    <col min="8677" max="8677" width="10.57421875" style="0" customWidth="1"/>
    <col min="8678" max="8678" width="11.00390625" style="0" customWidth="1"/>
    <col min="8679" max="8679" width="10.28125" style="0" customWidth="1"/>
    <col min="8680" max="8681" width="9.140625" style="0" customWidth="1"/>
    <col min="8683" max="8683" width="9.421875" style="0" customWidth="1"/>
    <col min="8685" max="8685" width="10.8515625" style="0" customWidth="1"/>
    <col min="8688" max="8688" width="10.00390625" style="0" customWidth="1"/>
    <col min="8691" max="8691" width="10.57421875" style="0" customWidth="1"/>
    <col min="8694" max="8694" width="10.7109375" style="0" customWidth="1"/>
    <col min="8696" max="8696" width="11.28125" style="0" customWidth="1"/>
    <col min="8697" max="8697" width="10.8515625" style="0" customWidth="1"/>
    <col min="8929" max="8929" width="4.00390625" style="0" customWidth="1"/>
    <col min="8930" max="8930" width="36.421875" style="0" customWidth="1"/>
    <col min="8931" max="8931" width="6.57421875" style="0" customWidth="1"/>
    <col min="8932" max="8932" width="11.7109375" style="0" customWidth="1"/>
    <col min="8933" max="8933" width="10.57421875" style="0" customWidth="1"/>
    <col min="8934" max="8934" width="11.00390625" style="0" customWidth="1"/>
    <col min="8935" max="8935" width="10.28125" style="0" customWidth="1"/>
    <col min="8936" max="8937" width="9.140625" style="0" customWidth="1"/>
    <col min="8939" max="8939" width="9.421875" style="0" customWidth="1"/>
    <col min="8941" max="8941" width="10.8515625" style="0" customWidth="1"/>
    <col min="8944" max="8944" width="10.00390625" style="0" customWidth="1"/>
    <col min="8947" max="8947" width="10.57421875" style="0" customWidth="1"/>
    <col min="8950" max="8950" width="10.7109375" style="0" customWidth="1"/>
    <col min="8952" max="8952" width="11.28125" style="0" customWidth="1"/>
    <col min="8953" max="8953" width="10.8515625" style="0" customWidth="1"/>
    <col min="9185" max="9185" width="4.00390625" style="0" customWidth="1"/>
    <col min="9186" max="9186" width="36.421875" style="0" customWidth="1"/>
    <col min="9187" max="9187" width="6.57421875" style="0" customWidth="1"/>
    <col min="9188" max="9188" width="11.7109375" style="0" customWidth="1"/>
    <col min="9189" max="9189" width="10.57421875" style="0" customWidth="1"/>
    <col min="9190" max="9190" width="11.00390625" style="0" customWidth="1"/>
    <col min="9191" max="9191" width="10.28125" style="0" customWidth="1"/>
    <col min="9192" max="9193" width="9.140625" style="0" customWidth="1"/>
    <col min="9195" max="9195" width="9.421875" style="0" customWidth="1"/>
    <col min="9197" max="9197" width="10.8515625" style="0" customWidth="1"/>
    <col min="9200" max="9200" width="10.00390625" style="0" customWidth="1"/>
    <col min="9203" max="9203" width="10.57421875" style="0" customWidth="1"/>
    <col min="9206" max="9206" width="10.7109375" style="0" customWidth="1"/>
    <col min="9208" max="9208" width="11.28125" style="0" customWidth="1"/>
    <col min="9209" max="9209" width="10.8515625" style="0" customWidth="1"/>
    <col min="9441" max="9441" width="4.00390625" style="0" customWidth="1"/>
    <col min="9442" max="9442" width="36.421875" style="0" customWidth="1"/>
    <col min="9443" max="9443" width="6.57421875" style="0" customWidth="1"/>
    <col min="9444" max="9444" width="11.7109375" style="0" customWidth="1"/>
    <col min="9445" max="9445" width="10.57421875" style="0" customWidth="1"/>
    <col min="9446" max="9446" width="11.00390625" style="0" customWidth="1"/>
    <col min="9447" max="9447" width="10.28125" style="0" customWidth="1"/>
    <col min="9448" max="9449" width="9.140625" style="0" customWidth="1"/>
    <col min="9451" max="9451" width="9.421875" style="0" customWidth="1"/>
    <col min="9453" max="9453" width="10.8515625" style="0" customWidth="1"/>
    <col min="9456" max="9456" width="10.00390625" style="0" customWidth="1"/>
    <col min="9459" max="9459" width="10.57421875" style="0" customWidth="1"/>
    <col min="9462" max="9462" width="10.7109375" style="0" customWidth="1"/>
    <col min="9464" max="9464" width="11.28125" style="0" customWidth="1"/>
    <col min="9465" max="9465" width="10.8515625" style="0" customWidth="1"/>
    <col min="9697" max="9697" width="4.00390625" style="0" customWidth="1"/>
    <col min="9698" max="9698" width="36.421875" style="0" customWidth="1"/>
    <col min="9699" max="9699" width="6.57421875" style="0" customWidth="1"/>
    <col min="9700" max="9700" width="11.7109375" style="0" customWidth="1"/>
    <col min="9701" max="9701" width="10.57421875" style="0" customWidth="1"/>
    <col min="9702" max="9702" width="11.00390625" style="0" customWidth="1"/>
    <col min="9703" max="9703" width="10.28125" style="0" customWidth="1"/>
    <col min="9704" max="9705" width="9.140625" style="0" customWidth="1"/>
    <col min="9707" max="9707" width="9.421875" style="0" customWidth="1"/>
    <col min="9709" max="9709" width="10.8515625" style="0" customWidth="1"/>
    <col min="9712" max="9712" width="10.00390625" style="0" customWidth="1"/>
    <col min="9715" max="9715" width="10.57421875" style="0" customWidth="1"/>
    <col min="9718" max="9718" width="10.7109375" style="0" customWidth="1"/>
    <col min="9720" max="9720" width="11.28125" style="0" customWidth="1"/>
    <col min="9721" max="9721" width="10.8515625" style="0" customWidth="1"/>
    <col min="9953" max="9953" width="4.00390625" style="0" customWidth="1"/>
    <col min="9954" max="9954" width="36.421875" style="0" customWidth="1"/>
    <col min="9955" max="9955" width="6.57421875" style="0" customWidth="1"/>
    <col min="9956" max="9956" width="11.7109375" style="0" customWidth="1"/>
    <col min="9957" max="9957" width="10.57421875" style="0" customWidth="1"/>
    <col min="9958" max="9958" width="11.00390625" style="0" customWidth="1"/>
    <col min="9959" max="9959" width="10.28125" style="0" customWidth="1"/>
    <col min="9960" max="9961" width="9.140625" style="0" customWidth="1"/>
    <col min="9963" max="9963" width="9.421875" style="0" customWidth="1"/>
    <col min="9965" max="9965" width="10.8515625" style="0" customWidth="1"/>
    <col min="9968" max="9968" width="10.00390625" style="0" customWidth="1"/>
    <col min="9971" max="9971" width="10.57421875" style="0" customWidth="1"/>
    <col min="9974" max="9974" width="10.7109375" style="0" customWidth="1"/>
    <col min="9976" max="9976" width="11.28125" style="0" customWidth="1"/>
    <col min="9977" max="9977" width="10.8515625" style="0" customWidth="1"/>
    <col min="10209" max="10209" width="4.00390625" style="0" customWidth="1"/>
    <col min="10210" max="10210" width="36.421875" style="0" customWidth="1"/>
    <col min="10211" max="10211" width="6.57421875" style="0" customWidth="1"/>
    <col min="10212" max="10212" width="11.7109375" style="0" customWidth="1"/>
    <col min="10213" max="10213" width="10.57421875" style="0" customWidth="1"/>
    <col min="10214" max="10214" width="11.00390625" style="0" customWidth="1"/>
    <col min="10215" max="10215" width="10.28125" style="0" customWidth="1"/>
    <col min="10216" max="10217" width="9.140625" style="0" customWidth="1"/>
    <col min="10219" max="10219" width="9.421875" style="0" customWidth="1"/>
    <col min="10221" max="10221" width="10.8515625" style="0" customWidth="1"/>
    <col min="10224" max="10224" width="10.00390625" style="0" customWidth="1"/>
    <col min="10227" max="10227" width="10.57421875" style="0" customWidth="1"/>
    <col min="10230" max="10230" width="10.7109375" style="0" customWidth="1"/>
    <col min="10232" max="10232" width="11.28125" style="0" customWidth="1"/>
    <col min="10233" max="10233" width="10.8515625" style="0" customWidth="1"/>
    <col min="10465" max="10465" width="4.00390625" style="0" customWidth="1"/>
    <col min="10466" max="10466" width="36.421875" style="0" customWidth="1"/>
    <col min="10467" max="10467" width="6.57421875" style="0" customWidth="1"/>
    <col min="10468" max="10468" width="11.7109375" style="0" customWidth="1"/>
    <col min="10469" max="10469" width="10.57421875" style="0" customWidth="1"/>
    <col min="10470" max="10470" width="11.00390625" style="0" customWidth="1"/>
    <col min="10471" max="10471" width="10.28125" style="0" customWidth="1"/>
    <col min="10472" max="10473" width="9.140625" style="0" customWidth="1"/>
    <col min="10475" max="10475" width="9.421875" style="0" customWidth="1"/>
    <col min="10477" max="10477" width="10.8515625" style="0" customWidth="1"/>
    <col min="10480" max="10480" width="10.00390625" style="0" customWidth="1"/>
    <col min="10483" max="10483" width="10.57421875" style="0" customWidth="1"/>
    <col min="10486" max="10486" width="10.7109375" style="0" customWidth="1"/>
    <col min="10488" max="10488" width="11.28125" style="0" customWidth="1"/>
    <col min="10489" max="10489" width="10.8515625" style="0" customWidth="1"/>
    <col min="10721" max="10721" width="4.00390625" style="0" customWidth="1"/>
    <col min="10722" max="10722" width="36.421875" style="0" customWidth="1"/>
    <col min="10723" max="10723" width="6.57421875" style="0" customWidth="1"/>
    <col min="10724" max="10724" width="11.7109375" style="0" customWidth="1"/>
    <col min="10725" max="10725" width="10.57421875" style="0" customWidth="1"/>
    <col min="10726" max="10726" width="11.00390625" style="0" customWidth="1"/>
    <col min="10727" max="10727" width="10.28125" style="0" customWidth="1"/>
    <col min="10728" max="10729" width="9.140625" style="0" customWidth="1"/>
    <col min="10731" max="10731" width="9.421875" style="0" customWidth="1"/>
    <col min="10733" max="10733" width="10.8515625" style="0" customWidth="1"/>
    <col min="10736" max="10736" width="10.00390625" style="0" customWidth="1"/>
    <col min="10739" max="10739" width="10.57421875" style="0" customWidth="1"/>
    <col min="10742" max="10742" width="10.7109375" style="0" customWidth="1"/>
    <col min="10744" max="10744" width="11.28125" style="0" customWidth="1"/>
    <col min="10745" max="10745" width="10.8515625" style="0" customWidth="1"/>
    <col min="10977" max="10977" width="4.00390625" style="0" customWidth="1"/>
    <col min="10978" max="10978" width="36.421875" style="0" customWidth="1"/>
    <col min="10979" max="10979" width="6.57421875" style="0" customWidth="1"/>
    <col min="10980" max="10980" width="11.7109375" style="0" customWidth="1"/>
    <col min="10981" max="10981" width="10.57421875" style="0" customWidth="1"/>
    <col min="10982" max="10982" width="11.00390625" style="0" customWidth="1"/>
    <col min="10983" max="10983" width="10.28125" style="0" customWidth="1"/>
    <col min="10984" max="10985" width="9.140625" style="0" customWidth="1"/>
    <col min="10987" max="10987" width="9.421875" style="0" customWidth="1"/>
    <col min="10989" max="10989" width="10.8515625" style="0" customWidth="1"/>
    <col min="10992" max="10992" width="10.00390625" style="0" customWidth="1"/>
    <col min="10995" max="10995" width="10.57421875" style="0" customWidth="1"/>
    <col min="10998" max="10998" width="10.7109375" style="0" customWidth="1"/>
    <col min="11000" max="11000" width="11.28125" style="0" customWidth="1"/>
    <col min="11001" max="11001" width="10.8515625" style="0" customWidth="1"/>
    <col min="11233" max="11233" width="4.00390625" style="0" customWidth="1"/>
    <col min="11234" max="11234" width="36.421875" style="0" customWidth="1"/>
    <col min="11235" max="11235" width="6.57421875" style="0" customWidth="1"/>
    <col min="11236" max="11236" width="11.7109375" style="0" customWidth="1"/>
    <col min="11237" max="11237" width="10.57421875" style="0" customWidth="1"/>
    <col min="11238" max="11238" width="11.00390625" style="0" customWidth="1"/>
    <col min="11239" max="11239" width="10.28125" style="0" customWidth="1"/>
    <col min="11240" max="11241" width="9.140625" style="0" customWidth="1"/>
    <col min="11243" max="11243" width="9.421875" style="0" customWidth="1"/>
    <col min="11245" max="11245" width="10.8515625" style="0" customWidth="1"/>
    <col min="11248" max="11248" width="10.00390625" style="0" customWidth="1"/>
    <col min="11251" max="11251" width="10.57421875" style="0" customWidth="1"/>
    <col min="11254" max="11254" width="10.7109375" style="0" customWidth="1"/>
    <col min="11256" max="11256" width="11.28125" style="0" customWidth="1"/>
    <col min="11257" max="11257" width="10.8515625" style="0" customWidth="1"/>
    <col min="11489" max="11489" width="4.00390625" style="0" customWidth="1"/>
    <col min="11490" max="11490" width="36.421875" style="0" customWidth="1"/>
    <col min="11491" max="11491" width="6.57421875" style="0" customWidth="1"/>
    <col min="11492" max="11492" width="11.7109375" style="0" customWidth="1"/>
    <col min="11493" max="11493" width="10.57421875" style="0" customWidth="1"/>
    <col min="11494" max="11494" width="11.00390625" style="0" customWidth="1"/>
    <col min="11495" max="11495" width="10.28125" style="0" customWidth="1"/>
    <col min="11496" max="11497" width="9.140625" style="0" customWidth="1"/>
    <col min="11499" max="11499" width="9.421875" style="0" customWidth="1"/>
    <col min="11501" max="11501" width="10.8515625" style="0" customWidth="1"/>
    <col min="11504" max="11504" width="10.00390625" style="0" customWidth="1"/>
    <col min="11507" max="11507" width="10.57421875" style="0" customWidth="1"/>
    <col min="11510" max="11510" width="10.7109375" style="0" customWidth="1"/>
    <col min="11512" max="11512" width="11.28125" style="0" customWidth="1"/>
    <col min="11513" max="11513" width="10.8515625" style="0" customWidth="1"/>
    <col min="11745" max="11745" width="4.00390625" style="0" customWidth="1"/>
    <col min="11746" max="11746" width="36.421875" style="0" customWidth="1"/>
    <col min="11747" max="11747" width="6.57421875" style="0" customWidth="1"/>
    <col min="11748" max="11748" width="11.7109375" style="0" customWidth="1"/>
    <col min="11749" max="11749" width="10.57421875" style="0" customWidth="1"/>
    <col min="11750" max="11750" width="11.00390625" style="0" customWidth="1"/>
    <col min="11751" max="11751" width="10.28125" style="0" customWidth="1"/>
    <col min="11752" max="11753" width="9.140625" style="0" customWidth="1"/>
    <col min="11755" max="11755" width="9.421875" style="0" customWidth="1"/>
    <col min="11757" max="11757" width="10.8515625" style="0" customWidth="1"/>
    <col min="11760" max="11760" width="10.00390625" style="0" customWidth="1"/>
    <col min="11763" max="11763" width="10.57421875" style="0" customWidth="1"/>
    <col min="11766" max="11766" width="10.7109375" style="0" customWidth="1"/>
    <col min="11768" max="11768" width="11.28125" style="0" customWidth="1"/>
    <col min="11769" max="11769" width="10.8515625" style="0" customWidth="1"/>
    <col min="12001" max="12001" width="4.00390625" style="0" customWidth="1"/>
    <col min="12002" max="12002" width="36.421875" style="0" customWidth="1"/>
    <col min="12003" max="12003" width="6.57421875" style="0" customWidth="1"/>
    <col min="12004" max="12004" width="11.7109375" style="0" customWidth="1"/>
    <col min="12005" max="12005" width="10.57421875" style="0" customWidth="1"/>
    <col min="12006" max="12006" width="11.00390625" style="0" customWidth="1"/>
    <col min="12007" max="12007" width="10.28125" style="0" customWidth="1"/>
    <col min="12008" max="12009" width="9.140625" style="0" customWidth="1"/>
    <col min="12011" max="12011" width="9.421875" style="0" customWidth="1"/>
    <col min="12013" max="12013" width="10.8515625" style="0" customWidth="1"/>
    <col min="12016" max="12016" width="10.00390625" style="0" customWidth="1"/>
    <col min="12019" max="12019" width="10.57421875" style="0" customWidth="1"/>
    <col min="12022" max="12022" width="10.7109375" style="0" customWidth="1"/>
    <col min="12024" max="12024" width="11.28125" style="0" customWidth="1"/>
    <col min="12025" max="12025" width="10.8515625" style="0" customWidth="1"/>
    <col min="12257" max="12257" width="4.00390625" style="0" customWidth="1"/>
    <col min="12258" max="12258" width="36.421875" style="0" customWidth="1"/>
    <col min="12259" max="12259" width="6.57421875" style="0" customWidth="1"/>
    <col min="12260" max="12260" width="11.7109375" style="0" customWidth="1"/>
    <col min="12261" max="12261" width="10.57421875" style="0" customWidth="1"/>
    <col min="12262" max="12262" width="11.00390625" style="0" customWidth="1"/>
    <col min="12263" max="12263" width="10.28125" style="0" customWidth="1"/>
    <col min="12264" max="12265" width="9.140625" style="0" customWidth="1"/>
    <col min="12267" max="12267" width="9.421875" style="0" customWidth="1"/>
    <col min="12269" max="12269" width="10.8515625" style="0" customWidth="1"/>
    <col min="12272" max="12272" width="10.00390625" style="0" customWidth="1"/>
    <col min="12275" max="12275" width="10.57421875" style="0" customWidth="1"/>
    <col min="12278" max="12278" width="10.7109375" style="0" customWidth="1"/>
    <col min="12280" max="12280" width="11.28125" style="0" customWidth="1"/>
    <col min="12281" max="12281" width="10.8515625" style="0" customWidth="1"/>
    <col min="12513" max="12513" width="4.00390625" style="0" customWidth="1"/>
    <col min="12514" max="12514" width="36.421875" style="0" customWidth="1"/>
    <col min="12515" max="12515" width="6.57421875" style="0" customWidth="1"/>
    <col min="12516" max="12516" width="11.7109375" style="0" customWidth="1"/>
    <col min="12517" max="12517" width="10.57421875" style="0" customWidth="1"/>
    <col min="12518" max="12518" width="11.00390625" style="0" customWidth="1"/>
    <col min="12519" max="12519" width="10.28125" style="0" customWidth="1"/>
    <col min="12520" max="12521" width="9.140625" style="0" customWidth="1"/>
    <col min="12523" max="12523" width="9.421875" style="0" customWidth="1"/>
    <col min="12525" max="12525" width="10.8515625" style="0" customWidth="1"/>
    <col min="12528" max="12528" width="10.00390625" style="0" customWidth="1"/>
    <col min="12531" max="12531" width="10.57421875" style="0" customWidth="1"/>
    <col min="12534" max="12534" width="10.7109375" style="0" customWidth="1"/>
    <col min="12536" max="12536" width="11.28125" style="0" customWidth="1"/>
    <col min="12537" max="12537" width="10.8515625" style="0" customWidth="1"/>
    <col min="12769" max="12769" width="4.00390625" style="0" customWidth="1"/>
    <col min="12770" max="12770" width="36.421875" style="0" customWidth="1"/>
    <col min="12771" max="12771" width="6.57421875" style="0" customWidth="1"/>
    <col min="12772" max="12772" width="11.7109375" style="0" customWidth="1"/>
    <col min="12773" max="12773" width="10.57421875" style="0" customWidth="1"/>
    <col min="12774" max="12774" width="11.00390625" style="0" customWidth="1"/>
    <col min="12775" max="12775" width="10.28125" style="0" customWidth="1"/>
    <col min="12776" max="12777" width="9.140625" style="0" customWidth="1"/>
    <col min="12779" max="12779" width="9.421875" style="0" customWidth="1"/>
    <col min="12781" max="12781" width="10.8515625" style="0" customWidth="1"/>
    <col min="12784" max="12784" width="10.00390625" style="0" customWidth="1"/>
    <col min="12787" max="12787" width="10.57421875" style="0" customWidth="1"/>
    <col min="12790" max="12790" width="10.7109375" style="0" customWidth="1"/>
    <col min="12792" max="12792" width="11.28125" style="0" customWidth="1"/>
    <col min="12793" max="12793" width="10.8515625" style="0" customWidth="1"/>
    <col min="13025" max="13025" width="4.00390625" style="0" customWidth="1"/>
    <col min="13026" max="13026" width="36.421875" style="0" customWidth="1"/>
    <col min="13027" max="13027" width="6.57421875" style="0" customWidth="1"/>
    <col min="13028" max="13028" width="11.7109375" style="0" customWidth="1"/>
    <col min="13029" max="13029" width="10.57421875" style="0" customWidth="1"/>
    <col min="13030" max="13030" width="11.00390625" style="0" customWidth="1"/>
    <col min="13031" max="13031" width="10.28125" style="0" customWidth="1"/>
    <col min="13032" max="13033" width="9.140625" style="0" customWidth="1"/>
    <col min="13035" max="13035" width="9.421875" style="0" customWidth="1"/>
    <col min="13037" max="13037" width="10.8515625" style="0" customWidth="1"/>
    <col min="13040" max="13040" width="10.00390625" style="0" customWidth="1"/>
    <col min="13043" max="13043" width="10.57421875" style="0" customWidth="1"/>
    <col min="13046" max="13046" width="10.7109375" style="0" customWidth="1"/>
    <col min="13048" max="13048" width="11.28125" style="0" customWidth="1"/>
    <col min="13049" max="13049" width="10.8515625" style="0" customWidth="1"/>
    <col min="13281" max="13281" width="4.00390625" style="0" customWidth="1"/>
    <col min="13282" max="13282" width="36.421875" style="0" customWidth="1"/>
    <col min="13283" max="13283" width="6.57421875" style="0" customWidth="1"/>
    <col min="13284" max="13284" width="11.7109375" style="0" customWidth="1"/>
    <col min="13285" max="13285" width="10.57421875" style="0" customWidth="1"/>
    <col min="13286" max="13286" width="11.00390625" style="0" customWidth="1"/>
    <col min="13287" max="13287" width="10.28125" style="0" customWidth="1"/>
    <col min="13288" max="13289" width="9.140625" style="0" customWidth="1"/>
    <col min="13291" max="13291" width="9.421875" style="0" customWidth="1"/>
    <col min="13293" max="13293" width="10.8515625" style="0" customWidth="1"/>
    <col min="13296" max="13296" width="10.00390625" style="0" customWidth="1"/>
    <col min="13299" max="13299" width="10.57421875" style="0" customWidth="1"/>
    <col min="13302" max="13302" width="10.7109375" style="0" customWidth="1"/>
    <col min="13304" max="13304" width="11.28125" style="0" customWidth="1"/>
    <col min="13305" max="13305" width="10.8515625" style="0" customWidth="1"/>
    <col min="13537" max="13537" width="4.00390625" style="0" customWidth="1"/>
    <col min="13538" max="13538" width="36.421875" style="0" customWidth="1"/>
    <col min="13539" max="13539" width="6.57421875" style="0" customWidth="1"/>
    <col min="13540" max="13540" width="11.7109375" style="0" customWidth="1"/>
    <col min="13541" max="13541" width="10.57421875" style="0" customWidth="1"/>
    <col min="13542" max="13542" width="11.00390625" style="0" customWidth="1"/>
    <col min="13543" max="13543" width="10.28125" style="0" customWidth="1"/>
    <col min="13544" max="13545" width="9.140625" style="0" customWidth="1"/>
    <col min="13547" max="13547" width="9.421875" style="0" customWidth="1"/>
    <col min="13549" max="13549" width="10.8515625" style="0" customWidth="1"/>
    <col min="13552" max="13552" width="10.00390625" style="0" customWidth="1"/>
    <col min="13555" max="13555" width="10.57421875" style="0" customWidth="1"/>
    <col min="13558" max="13558" width="10.7109375" style="0" customWidth="1"/>
    <col min="13560" max="13560" width="11.28125" style="0" customWidth="1"/>
    <col min="13561" max="13561" width="10.8515625" style="0" customWidth="1"/>
    <col min="13793" max="13793" width="4.00390625" style="0" customWidth="1"/>
    <col min="13794" max="13794" width="36.421875" style="0" customWidth="1"/>
    <col min="13795" max="13795" width="6.57421875" style="0" customWidth="1"/>
    <col min="13796" max="13796" width="11.7109375" style="0" customWidth="1"/>
    <col min="13797" max="13797" width="10.57421875" style="0" customWidth="1"/>
    <col min="13798" max="13798" width="11.00390625" style="0" customWidth="1"/>
    <col min="13799" max="13799" width="10.28125" style="0" customWidth="1"/>
    <col min="13800" max="13801" width="9.140625" style="0" customWidth="1"/>
    <col min="13803" max="13803" width="9.421875" style="0" customWidth="1"/>
    <col min="13805" max="13805" width="10.8515625" style="0" customWidth="1"/>
    <col min="13808" max="13808" width="10.00390625" style="0" customWidth="1"/>
    <col min="13811" max="13811" width="10.57421875" style="0" customWidth="1"/>
    <col min="13814" max="13814" width="10.7109375" style="0" customWidth="1"/>
    <col min="13816" max="13816" width="11.28125" style="0" customWidth="1"/>
    <col min="13817" max="13817" width="10.8515625" style="0" customWidth="1"/>
    <col min="14049" max="14049" width="4.00390625" style="0" customWidth="1"/>
    <col min="14050" max="14050" width="36.421875" style="0" customWidth="1"/>
    <col min="14051" max="14051" width="6.57421875" style="0" customWidth="1"/>
    <col min="14052" max="14052" width="11.7109375" style="0" customWidth="1"/>
    <col min="14053" max="14053" width="10.57421875" style="0" customWidth="1"/>
    <col min="14054" max="14054" width="11.00390625" style="0" customWidth="1"/>
    <col min="14055" max="14055" width="10.28125" style="0" customWidth="1"/>
    <col min="14056" max="14057" width="9.140625" style="0" customWidth="1"/>
    <col min="14059" max="14059" width="9.421875" style="0" customWidth="1"/>
    <col min="14061" max="14061" width="10.8515625" style="0" customWidth="1"/>
    <col min="14064" max="14064" width="10.00390625" style="0" customWidth="1"/>
    <col min="14067" max="14067" width="10.57421875" style="0" customWidth="1"/>
    <col min="14070" max="14070" width="10.7109375" style="0" customWidth="1"/>
    <col min="14072" max="14072" width="11.28125" style="0" customWidth="1"/>
    <col min="14073" max="14073" width="10.8515625" style="0" customWidth="1"/>
    <col min="14305" max="14305" width="4.00390625" style="0" customWidth="1"/>
    <col min="14306" max="14306" width="36.421875" style="0" customWidth="1"/>
    <col min="14307" max="14307" width="6.57421875" style="0" customWidth="1"/>
    <col min="14308" max="14308" width="11.7109375" style="0" customWidth="1"/>
    <col min="14309" max="14309" width="10.57421875" style="0" customWidth="1"/>
    <col min="14310" max="14310" width="11.00390625" style="0" customWidth="1"/>
    <col min="14311" max="14311" width="10.28125" style="0" customWidth="1"/>
    <col min="14312" max="14313" width="9.140625" style="0" customWidth="1"/>
    <col min="14315" max="14315" width="9.421875" style="0" customWidth="1"/>
    <col min="14317" max="14317" width="10.8515625" style="0" customWidth="1"/>
    <col min="14320" max="14320" width="10.00390625" style="0" customWidth="1"/>
    <col min="14323" max="14323" width="10.57421875" style="0" customWidth="1"/>
    <col min="14326" max="14326" width="10.7109375" style="0" customWidth="1"/>
    <col min="14328" max="14328" width="11.28125" style="0" customWidth="1"/>
    <col min="14329" max="14329" width="10.8515625" style="0" customWidth="1"/>
    <col min="14561" max="14561" width="4.00390625" style="0" customWidth="1"/>
    <col min="14562" max="14562" width="36.421875" style="0" customWidth="1"/>
    <col min="14563" max="14563" width="6.57421875" style="0" customWidth="1"/>
    <col min="14564" max="14564" width="11.7109375" style="0" customWidth="1"/>
    <col min="14565" max="14565" width="10.57421875" style="0" customWidth="1"/>
    <col min="14566" max="14566" width="11.00390625" style="0" customWidth="1"/>
    <col min="14567" max="14567" width="10.28125" style="0" customWidth="1"/>
    <col min="14568" max="14569" width="9.140625" style="0" customWidth="1"/>
    <col min="14571" max="14571" width="9.421875" style="0" customWidth="1"/>
    <col min="14573" max="14573" width="10.8515625" style="0" customWidth="1"/>
    <col min="14576" max="14576" width="10.00390625" style="0" customWidth="1"/>
    <col min="14579" max="14579" width="10.57421875" style="0" customWidth="1"/>
    <col min="14582" max="14582" width="10.7109375" style="0" customWidth="1"/>
    <col min="14584" max="14584" width="11.28125" style="0" customWidth="1"/>
    <col min="14585" max="14585" width="10.8515625" style="0" customWidth="1"/>
    <col min="14817" max="14817" width="4.00390625" style="0" customWidth="1"/>
    <col min="14818" max="14818" width="36.421875" style="0" customWidth="1"/>
    <col min="14819" max="14819" width="6.57421875" style="0" customWidth="1"/>
    <col min="14820" max="14820" width="11.7109375" style="0" customWidth="1"/>
    <col min="14821" max="14821" width="10.57421875" style="0" customWidth="1"/>
    <col min="14822" max="14822" width="11.00390625" style="0" customWidth="1"/>
    <col min="14823" max="14823" width="10.28125" style="0" customWidth="1"/>
    <col min="14824" max="14825" width="9.140625" style="0" customWidth="1"/>
    <col min="14827" max="14827" width="9.421875" style="0" customWidth="1"/>
    <col min="14829" max="14829" width="10.8515625" style="0" customWidth="1"/>
    <col min="14832" max="14832" width="10.00390625" style="0" customWidth="1"/>
    <col min="14835" max="14835" width="10.57421875" style="0" customWidth="1"/>
    <col min="14838" max="14838" width="10.7109375" style="0" customWidth="1"/>
    <col min="14840" max="14840" width="11.28125" style="0" customWidth="1"/>
    <col min="14841" max="14841" width="10.8515625" style="0" customWidth="1"/>
    <col min="15073" max="15073" width="4.00390625" style="0" customWidth="1"/>
    <col min="15074" max="15074" width="36.421875" style="0" customWidth="1"/>
    <col min="15075" max="15075" width="6.57421875" style="0" customWidth="1"/>
    <col min="15076" max="15076" width="11.7109375" style="0" customWidth="1"/>
    <col min="15077" max="15077" width="10.57421875" style="0" customWidth="1"/>
    <col min="15078" max="15078" width="11.00390625" style="0" customWidth="1"/>
    <col min="15079" max="15079" width="10.28125" style="0" customWidth="1"/>
    <col min="15080" max="15081" width="9.140625" style="0" customWidth="1"/>
    <col min="15083" max="15083" width="9.421875" style="0" customWidth="1"/>
    <col min="15085" max="15085" width="10.8515625" style="0" customWidth="1"/>
    <col min="15088" max="15088" width="10.00390625" style="0" customWidth="1"/>
    <col min="15091" max="15091" width="10.57421875" style="0" customWidth="1"/>
    <col min="15094" max="15094" width="10.7109375" style="0" customWidth="1"/>
    <col min="15096" max="15096" width="11.28125" style="0" customWidth="1"/>
    <col min="15097" max="15097" width="10.8515625" style="0" customWidth="1"/>
    <col min="15329" max="15329" width="4.00390625" style="0" customWidth="1"/>
    <col min="15330" max="15330" width="36.421875" style="0" customWidth="1"/>
    <col min="15331" max="15331" width="6.57421875" style="0" customWidth="1"/>
    <col min="15332" max="15332" width="11.7109375" style="0" customWidth="1"/>
    <col min="15333" max="15333" width="10.57421875" style="0" customWidth="1"/>
    <col min="15334" max="15334" width="11.00390625" style="0" customWidth="1"/>
    <col min="15335" max="15335" width="10.28125" style="0" customWidth="1"/>
    <col min="15336" max="15337" width="9.140625" style="0" customWidth="1"/>
    <col min="15339" max="15339" width="9.421875" style="0" customWidth="1"/>
    <col min="15341" max="15341" width="10.8515625" style="0" customWidth="1"/>
    <col min="15344" max="15344" width="10.00390625" style="0" customWidth="1"/>
    <col min="15347" max="15347" width="10.57421875" style="0" customWidth="1"/>
    <col min="15350" max="15350" width="10.7109375" style="0" customWidth="1"/>
    <col min="15352" max="15352" width="11.28125" style="0" customWidth="1"/>
    <col min="15353" max="15353" width="10.8515625" style="0" customWidth="1"/>
    <col min="15585" max="15585" width="4.00390625" style="0" customWidth="1"/>
    <col min="15586" max="15586" width="36.421875" style="0" customWidth="1"/>
    <col min="15587" max="15587" width="6.57421875" style="0" customWidth="1"/>
    <col min="15588" max="15588" width="11.7109375" style="0" customWidth="1"/>
    <col min="15589" max="15589" width="10.57421875" style="0" customWidth="1"/>
    <col min="15590" max="15590" width="11.00390625" style="0" customWidth="1"/>
    <col min="15591" max="15591" width="10.28125" style="0" customWidth="1"/>
    <col min="15592" max="15593" width="9.140625" style="0" customWidth="1"/>
    <col min="15595" max="15595" width="9.421875" style="0" customWidth="1"/>
    <col min="15597" max="15597" width="10.8515625" style="0" customWidth="1"/>
    <col min="15600" max="15600" width="10.00390625" style="0" customWidth="1"/>
    <col min="15603" max="15603" width="10.57421875" style="0" customWidth="1"/>
    <col min="15606" max="15606" width="10.7109375" style="0" customWidth="1"/>
    <col min="15608" max="15608" width="11.28125" style="0" customWidth="1"/>
    <col min="15609" max="15609" width="10.8515625" style="0" customWidth="1"/>
    <col min="15841" max="15841" width="4.00390625" style="0" customWidth="1"/>
    <col min="15842" max="15842" width="36.421875" style="0" customWidth="1"/>
    <col min="15843" max="15843" width="6.57421875" style="0" customWidth="1"/>
    <col min="15844" max="15844" width="11.7109375" style="0" customWidth="1"/>
    <col min="15845" max="15845" width="10.57421875" style="0" customWidth="1"/>
    <col min="15846" max="15846" width="11.00390625" style="0" customWidth="1"/>
    <col min="15847" max="15847" width="10.28125" style="0" customWidth="1"/>
    <col min="15848" max="15849" width="9.140625" style="0" customWidth="1"/>
    <col min="15851" max="15851" width="9.421875" style="0" customWidth="1"/>
    <col min="15853" max="15853" width="10.8515625" style="0" customWidth="1"/>
    <col min="15856" max="15856" width="10.00390625" style="0" customWidth="1"/>
    <col min="15859" max="15859" width="10.57421875" style="0" customWidth="1"/>
    <col min="15862" max="15862" width="10.7109375" style="0" customWidth="1"/>
    <col min="15864" max="15864" width="11.28125" style="0" customWidth="1"/>
    <col min="15865" max="15865" width="10.8515625" style="0" customWidth="1"/>
    <col min="16097" max="16097" width="4.00390625" style="0" customWidth="1"/>
    <col min="16098" max="16098" width="36.421875" style="0" customWidth="1"/>
    <col min="16099" max="16099" width="6.57421875" style="0" customWidth="1"/>
    <col min="16100" max="16100" width="11.7109375" style="0" customWidth="1"/>
    <col min="16101" max="16101" width="10.57421875" style="0" customWidth="1"/>
    <col min="16102" max="16102" width="11.00390625" style="0" customWidth="1"/>
    <col min="16103" max="16103" width="10.28125" style="0" customWidth="1"/>
    <col min="16104" max="16105" width="9.140625" style="0" customWidth="1"/>
    <col min="16107" max="16107" width="9.421875" style="0" customWidth="1"/>
    <col min="16109" max="16109" width="10.8515625" style="0" customWidth="1"/>
    <col min="16112" max="16112" width="10.00390625" style="0" customWidth="1"/>
    <col min="16115" max="16115" width="10.57421875" style="0" customWidth="1"/>
    <col min="16118" max="16118" width="10.7109375" style="0" customWidth="1"/>
    <col min="16120" max="16120" width="11.28125" style="0" customWidth="1"/>
    <col min="16121" max="16121" width="10.8515625" style="0" customWidth="1"/>
  </cols>
  <sheetData>
    <row r="1" spans="1:9" ht="12.75">
      <c r="A1" s="20" t="s">
        <v>248</v>
      </c>
      <c r="C1" s="9" t="s">
        <v>156</v>
      </c>
      <c r="D1" s="9" t="s">
        <v>157</v>
      </c>
      <c r="E1" s="9" t="s">
        <v>158</v>
      </c>
      <c r="F1" s="9" t="s">
        <v>159</v>
      </c>
      <c r="G1" s="9" t="s">
        <v>160</v>
      </c>
      <c r="H1" s="9" t="s">
        <v>161</v>
      </c>
      <c r="I1" s="9" t="s">
        <v>249</v>
      </c>
    </row>
    <row r="2" spans="2:12" ht="12.75">
      <c r="B2" s="9" t="s">
        <v>155</v>
      </c>
      <c r="D2" s="9" t="s">
        <v>255</v>
      </c>
      <c r="E2" s="9" t="s">
        <v>256</v>
      </c>
      <c r="F2" s="9">
        <f>+D4</f>
        <v>2024</v>
      </c>
      <c r="G2" s="9" t="s">
        <v>255</v>
      </c>
      <c r="H2" s="9" t="s">
        <v>256</v>
      </c>
      <c r="I2" s="248">
        <f>+G4</f>
        <v>2025</v>
      </c>
      <c r="J2" s="246"/>
      <c r="K2" s="246"/>
      <c r="L2" s="246"/>
    </row>
    <row r="3" spans="3:12" ht="12.75">
      <c r="C3" s="9" t="s">
        <v>257</v>
      </c>
      <c r="D3" s="9" t="s">
        <v>258</v>
      </c>
      <c r="E3" s="9" t="s">
        <v>259</v>
      </c>
      <c r="F3" s="9" t="s">
        <v>260</v>
      </c>
      <c r="G3" s="9" t="s">
        <v>258</v>
      </c>
      <c r="H3" s="9" t="s">
        <v>259</v>
      </c>
      <c r="I3" s="9" t="s">
        <v>260</v>
      </c>
      <c r="J3" s="246"/>
      <c r="K3" s="246"/>
      <c r="L3" s="246"/>
    </row>
    <row r="4" spans="3:12" ht="12.75">
      <c r="C4" s="9" t="s">
        <v>261</v>
      </c>
      <c r="D4" s="246">
        <v>2024</v>
      </c>
      <c r="E4" s="9" t="s">
        <v>262</v>
      </c>
      <c r="F4" s="9" t="s">
        <v>263</v>
      </c>
      <c r="G4" s="246">
        <f>+D4+1</f>
        <v>2025</v>
      </c>
      <c r="H4" s="9" t="s">
        <v>262</v>
      </c>
      <c r="I4" s="9" t="s">
        <v>263</v>
      </c>
      <c r="J4" s="42"/>
      <c r="K4" s="246"/>
      <c r="L4" s="246"/>
    </row>
    <row r="5" spans="1:12" ht="12.75">
      <c r="A5">
        <v>1</v>
      </c>
      <c r="B5" t="s">
        <v>264</v>
      </c>
      <c r="C5" s="44">
        <v>50</v>
      </c>
      <c r="D5" s="105">
        <v>10423529.261230627</v>
      </c>
      <c r="E5" s="172">
        <v>0.0302</v>
      </c>
      <c r="F5" s="133">
        <f>PMT(E5,$C5,D5,0,0)*-1</f>
        <v>406655.4151636089</v>
      </c>
      <c r="G5" s="133">
        <v>10715849.030959839</v>
      </c>
      <c r="H5" s="172">
        <v>0.03399</v>
      </c>
      <c r="I5" s="105">
        <f>PMT(H5,$C5,G5,0,0)*-1</f>
        <v>448567.2488331558</v>
      </c>
      <c r="J5" s="133"/>
      <c r="K5" s="172"/>
      <c r="L5" s="105"/>
    </row>
    <row r="6" spans="3:12" ht="12.75">
      <c r="C6" s="44"/>
      <c r="D6" s="105"/>
      <c r="E6" s="172"/>
      <c r="F6" s="133"/>
      <c r="G6" s="133"/>
      <c r="H6" s="172"/>
      <c r="I6" s="105"/>
      <c r="J6" s="133"/>
      <c r="K6" s="172"/>
      <c r="L6" s="105"/>
    </row>
    <row r="7" spans="1:12" ht="12.75">
      <c r="A7">
        <v>2</v>
      </c>
      <c r="B7" t="s">
        <v>265</v>
      </c>
      <c r="C7">
        <v>15</v>
      </c>
      <c r="D7" s="106">
        <v>551649.7368600001</v>
      </c>
      <c r="E7" s="172">
        <v>0.03557</v>
      </c>
      <c r="F7" s="134">
        <f>PMT(E7,$C7,D7,0,0)*-1</f>
        <v>48091.3935048668</v>
      </c>
      <c r="G7" s="134">
        <v>555292.7368600001</v>
      </c>
      <c r="H7" s="172">
        <v>0.03564</v>
      </c>
      <c r="I7" s="106">
        <f>PMT(H7,$C7,G7,0,0)*-1</f>
        <v>48433.03663743844</v>
      </c>
      <c r="J7" s="134"/>
      <c r="K7" s="172"/>
      <c r="L7" s="106"/>
    </row>
    <row r="8" spans="1:12" ht="12.75">
      <c r="A8">
        <v>3</v>
      </c>
      <c r="B8" t="s">
        <v>266</v>
      </c>
      <c r="C8" s="44">
        <f>C19</f>
        <v>24.144284492809952</v>
      </c>
      <c r="D8" s="106">
        <v>62123.244000000006</v>
      </c>
      <c r="E8" s="172">
        <v>0.016688</v>
      </c>
      <c r="F8" s="134">
        <f>PMT(E8,$C8,D8,0,0)*-1</f>
        <v>3147.1967989655914</v>
      </c>
      <c r="G8" s="134">
        <v>66967.244</v>
      </c>
      <c r="H8" s="172">
        <v>0.016283</v>
      </c>
      <c r="I8" s="106">
        <f>PMT(H8,F19,G8,0,0)*-1</f>
        <v>3311.4009167024756</v>
      </c>
      <c r="J8" s="134"/>
      <c r="K8" s="172"/>
      <c r="L8" s="106"/>
    </row>
    <row r="9" spans="1:12" s="5" customFormat="1" ht="12.75">
      <c r="A9" s="5">
        <v>4</v>
      </c>
      <c r="B9" s="5" t="s">
        <v>267</v>
      </c>
      <c r="C9" s="249">
        <v>12</v>
      </c>
      <c r="D9" s="133">
        <v>484750</v>
      </c>
      <c r="E9" s="172">
        <v>0.02879</v>
      </c>
      <c r="F9" s="133">
        <f>PMT(E9,$C9,D9,0,0)*-1</f>
        <v>48347.9098033436</v>
      </c>
      <c r="G9" s="133">
        <v>484750</v>
      </c>
      <c r="H9" s="172">
        <v>0.02879</v>
      </c>
      <c r="I9" s="133">
        <f>PMT(H9,F23,G9,0,0)*-1</f>
        <v>24598.533037278732</v>
      </c>
      <c r="J9" s="133"/>
      <c r="K9" s="172"/>
      <c r="L9" s="133"/>
    </row>
    <row r="10" spans="4:12" ht="12.75">
      <c r="D10" s="105"/>
      <c r="F10" s="105">
        <f>SUM(F7:F9)</f>
        <v>99586.50010717599</v>
      </c>
      <c r="G10" s="105"/>
      <c r="H10" s="5"/>
      <c r="I10" s="105">
        <f>SUM(I7:I9)</f>
        <v>76342.97059141965</v>
      </c>
      <c r="J10" s="105"/>
      <c r="K10" s="5"/>
      <c r="L10" s="105"/>
    </row>
    <row r="11" spans="4:9" ht="12.75">
      <c r="D11" s="105"/>
      <c r="F11" s="105"/>
      <c r="G11" s="105"/>
      <c r="I11" s="105"/>
    </row>
    <row r="12" spans="4:9" ht="12.75">
      <c r="D12" s="105"/>
      <c r="F12" s="105"/>
      <c r="G12" s="105"/>
      <c r="I12" s="105"/>
    </row>
    <row r="13" spans="3:11" ht="12.75">
      <c r="C13" t="s">
        <v>672</v>
      </c>
      <c r="D13" s="201" t="s">
        <v>255</v>
      </c>
      <c r="E13" s="20" t="s">
        <v>673</v>
      </c>
      <c r="F13" t="s">
        <v>672</v>
      </c>
      <c r="G13" s="201" t="s">
        <v>255</v>
      </c>
      <c r="H13" s="20" t="s">
        <v>673</v>
      </c>
      <c r="I13" t="s">
        <v>672</v>
      </c>
      <c r="J13" s="246"/>
      <c r="K13" s="20"/>
    </row>
    <row r="14" spans="3:11" ht="12.75">
      <c r="C14" s="201" t="s">
        <v>257</v>
      </c>
      <c r="D14" s="201" t="s">
        <v>258</v>
      </c>
      <c r="E14" s="20" t="s">
        <v>674</v>
      </c>
      <c r="F14" s="201" t="s">
        <v>257</v>
      </c>
      <c r="G14" s="201" t="s">
        <v>258</v>
      </c>
      <c r="H14" s="20" t="s">
        <v>674</v>
      </c>
      <c r="I14" s="246" t="s">
        <v>257</v>
      </c>
      <c r="J14" s="246"/>
      <c r="K14" s="20"/>
    </row>
    <row r="15" spans="2:11" ht="12.75">
      <c r="B15" s="20" t="s">
        <v>268</v>
      </c>
      <c r="C15" s="201" t="s">
        <v>261</v>
      </c>
      <c r="D15" s="246">
        <f>+D4</f>
        <v>2024</v>
      </c>
      <c r="E15" s="20" t="s">
        <v>612</v>
      </c>
      <c r="F15" s="201" t="s">
        <v>261</v>
      </c>
      <c r="G15" s="246">
        <f>+G4</f>
        <v>2025</v>
      </c>
      <c r="H15" s="20" t="s">
        <v>612</v>
      </c>
      <c r="I15" s="246" t="s">
        <v>261</v>
      </c>
      <c r="J15" s="246"/>
      <c r="K15" s="20"/>
    </row>
    <row r="16" spans="2:10" ht="12.75">
      <c r="B16" s="49" t="s">
        <v>269</v>
      </c>
      <c r="F16" s="106"/>
      <c r="G16" s="106"/>
      <c r="J16" s="106"/>
    </row>
    <row r="17" spans="2:10" ht="12.75">
      <c r="B17" s="49" t="s">
        <v>270</v>
      </c>
      <c r="C17" s="50"/>
      <c r="D17" s="106"/>
      <c r="F17" s="106"/>
      <c r="G17" s="106"/>
      <c r="I17" s="50"/>
      <c r="J17" s="106"/>
    </row>
    <row r="18" spans="2:10" ht="12.75">
      <c r="B18" s="49" t="s">
        <v>271</v>
      </c>
      <c r="C18" s="50"/>
      <c r="D18" s="106"/>
      <c r="F18" s="106"/>
      <c r="G18" s="106"/>
      <c r="I18" s="50"/>
      <c r="J18" s="106"/>
    </row>
    <row r="19" spans="2:11" ht="12.75">
      <c r="B19" s="49" t="s">
        <v>272</v>
      </c>
      <c r="C19" s="135">
        <f>D19/E19</f>
        <v>24.144284492809952</v>
      </c>
      <c r="D19" s="106">
        <f>+D8</f>
        <v>62123.244000000006</v>
      </c>
      <c r="E19" s="21">
        <f>+Depreciation!E5</f>
        <v>2573</v>
      </c>
      <c r="F19" s="135">
        <f>G19/H19</f>
        <v>24.729410635155098</v>
      </c>
      <c r="G19" s="106">
        <f>+G8</f>
        <v>66967.244</v>
      </c>
      <c r="H19" s="21">
        <f>+Depreciation!F5</f>
        <v>2708</v>
      </c>
      <c r="I19" s="169" t="e">
        <f>#REF!/#REF!</f>
        <v>#REF!</v>
      </c>
      <c r="J19" s="106"/>
      <c r="K19" s="21"/>
    </row>
    <row r="20" spans="2:10" ht="12.75">
      <c r="B20" s="51" t="s">
        <v>273</v>
      </c>
      <c r="C20" s="135"/>
      <c r="D20" s="105"/>
      <c r="F20" s="135"/>
      <c r="G20" s="105"/>
      <c r="I20" s="135"/>
      <c r="J20" s="105"/>
    </row>
    <row r="21" spans="2:10" ht="12.75">
      <c r="B21" s="49" t="s">
        <v>274</v>
      </c>
      <c r="C21" s="136"/>
      <c r="D21" s="106"/>
      <c r="F21" s="135"/>
      <c r="G21" s="106"/>
      <c r="I21" s="136"/>
      <c r="J21" s="106"/>
    </row>
    <row r="22" spans="2:10" ht="12.75">
      <c r="B22" s="49" t="s">
        <v>275</v>
      </c>
      <c r="C22" s="136"/>
      <c r="D22" s="106"/>
      <c r="F22" s="135"/>
      <c r="G22" s="106"/>
      <c r="I22" s="136"/>
      <c r="J22" s="106"/>
    </row>
    <row r="23" spans="2:10" ht="12.75">
      <c r="B23" s="49" t="s">
        <v>276</v>
      </c>
      <c r="C23" s="135">
        <f>D23/E23</f>
        <v>21.78170725717957</v>
      </c>
      <c r="D23" s="105">
        <f>+D9</f>
        <v>484750</v>
      </c>
      <c r="E23" s="21">
        <f>+Depreciation!E9+Depreciation!E10+Depreciation!E11</f>
        <v>22254.913000000004</v>
      </c>
      <c r="F23" s="135">
        <f>G23/H23</f>
        <v>29.518139778632314</v>
      </c>
      <c r="G23" s="105">
        <f>+G9</f>
        <v>484750</v>
      </c>
      <c r="H23" s="21">
        <f>+Depreciation!F9+Depreciation!F10+Depreciation!F11</f>
        <v>16422.105310000003</v>
      </c>
      <c r="I23" s="135" t="e">
        <f>#REF!/#REF!</f>
        <v>#REF!</v>
      </c>
      <c r="J23" s="106"/>
    </row>
    <row r="24" spans="2:11" ht="12.75">
      <c r="B24" s="49" t="s">
        <v>277</v>
      </c>
      <c r="J24" s="105"/>
      <c r="K24" s="21"/>
    </row>
    <row r="26" spans="4:8" ht="12.75">
      <c r="D26" s="12"/>
      <c r="E26" s="19"/>
      <c r="G26" s="12"/>
      <c r="H26" s="19"/>
    </row>
    <row r="30" spans="1:9" ht="12.75">
      <c r="A30" s="113" t="s">
        <v>489</v>
      </c>
      <c r="B30" s="41"/>
      <c r="C30" s="41"/>
      <c r="D30" s="41"/>
      <c r="E30" s="41"/>
      <c r="F30" s="41"/>
      <c r="G30" s="41"/>
      <c r="H30" s="41"/>
      <c r="I30" s="41"/>
    </row>
    <row r="31" spans="1:9" ht="12.75">
      <c r="A31" s="113" t="s">
        <v>488</v>
      </c>
      <c r="B31" s="41"/>
      <c r="C31" s="41"/>
      <c r="D31" s="41"/>
      <c r="E31" s="41"/>
      <c r="F31" s="41"/>
      <c r="G31" s="41"/>
      <c r="H31" s="41"/>
      <c r="I31" s="41"/>
    </row>
    <row r="32" spans="1:9" ht="12.75">
      <c r="A32" s="230" t="s">
        <v>756</v>
      </c>
      <c r="B32" s="41"/>
      <c r="C32" s="41"/>
      <c r="D32" s="43"/>
      <c r="E32" s="41"/>
      <c r="F32" s="41"/>
      <c r="G32" s="43"/>
      <c r="H32" s="41"/>
      <c r="I32" s="41"/>
    </row>
    <row r="33" spans="1:9" ht="12.75">
      <c r="A33" s="46"/>
      <c r="B33" s="47"/>
      <c r="C33" s="48"/>
      <c r="D33" s="46"/>
      <c r="E33" s="47"/>
      <c r="F33" s="48"/>
      <c r="G33" s="46"/>
      <c r="H33" s="47"/>
      <c r="I33" s="48"/>
    </row>
  </sheetData>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1:AC57"/>
  <sheetViews>
    <sheetView workbookViewId="0" topLeftCell="A1">
      <selection activeCell="K30" sqref="K30"/>
    </sheetView>
  </sheetViews>
  <sheetFormatPr defaultColWidth="9.140625" defaultRowHeight="12.75"/>
  <cols>
    <col min="1" max="1" width="3.57421875" style="35" customWidth="1"/>
    <col min="2" max="2" width="31.8515625" style="35" customWidth="1"/>
    <col min="3" max="3" width="11.57421875" style="35" customWidth="1"/>
    <col min="4" max="4" width="9.140625" style="35" customWidth="1"/>
    <col min="5" max="6" width="10.7109375" style="35" customWidth="1"/>
    <col min="7" max="8" width="9.140625" style="35" customWidth="1"/>
    <col min="9" max="9" width="10.7109375" style="35" customWidth="1"/>
    <col min="10" max="11" width="9.140625" style="35" customWidth="1"/>
    <col min="12" max="12" width="10.7109375" style="35" customWidth="1"/>
    <col min="13" max="14" width="9.140625" style="35" customWidth="1"/>
    <col min="15" max="15" width="10.7109375" style="35" customWidth="1"/>
    <col min="16" max="17" width="9.140625" style="35" customWidth="1"/>
    <col min="18" max="18" width="10.57421875" style="35" customWidth="1"/>
    <col min="19" max="20" width="9.140625" style="35" customWidth="1"/>
    <col min="21" max="21" width="10.421875" style="35" customWidth="1"/>
    <col min="22" max="23" width="9.140625" style="35" customWidth="1"/>
    <col min="24" max="24" width="10.8515625" style="35" customWidth="1"/>
    <col min="25" max="25" width="11.28125" style="35" bestFit="1" customWidth="1"/>
    <col min="26" max="26" width="9.140625" style="35" customWidth="1"/>
    <col min="27" max="27" width="11.00390625" style="35" customWidth="1"/>
    <col min="28" max="256" width="9.140625" style="35" customWidth="1"/>
    <col min="257" max="257" width="3.57421875" style="35" customWidth="1"/>
    <col min="258" max="258" width="31.8515625" style="35" customWidth="1"/>
    <col min="259" max="259" width="11.57421875" style="35" customWidth="1"/>
    <col min="260" max="260" width="9.140625" style="35" customWidth="1"/>
    <col min="261" max="262" width="10.7109375" style="35" customWidth="1"/>
    <col min="263" max="264" width="9.140625" style="35" customWidth="1"/>
    <col min="265" max="265" width="10.7109375" style="35" customWidth="1"/>
    <col min="266" max="267" width="9.140625" style="35" customWidth="1"/>
    <col min="268" max="268" width="10.7109375" style="35" customWidth="1"/>
    <col min="269" max="270" width="9.140625" style="35" customWidth="1"/>
    <col min="271" max="271" width="10.7109375" style="35" customWidth="1"/>
    <col min="272" max="273" width="9.140625" style="35" customWidth="1"/>
    <col min="274" max="274" width="10.57421875" style="35" customWidth="1"/>
    <col min="275" max="276" width="9.140625" style="35" customWidth="1"/>
    <col min="277" max="277" width="10.421875" style="35" customWidth="1"/>
    <col min="278" max="279" width="9.140625" style="35" customWidth="1"/>
    <col min="280" max="280" width="10.8515625" style="35" customWidth="1"/>
    <col min="281" max="281" width="11.28125" style="35" bestFit="1" customWidth="1"/>
    <col min="282" max="282" width="9.140625" style="35" customWidth="1"/>
    <col min="283" max="283" width="11.00390625" style="35" customWidth="1"/>
    <col min="284" max="512" width="9.140625" style="35" customWidth="1"/>
    <col min="513" max="513" width="3.57421875" style="35" customWidth="1"/>
    <col min="514" max="514" width="31.8515625" style="35" customWidth="1"/>
    <col min="515" max="515" width="11.57421875" style="35" customWidth="1"/>
    <col min="516" max="516" width="9.140625" style="35" customWidth="1"/>
    <col min="517" max="518" width="10.7109375" style="35" customWidth="1"/>
    <col min="519" max="520" width="9.140625" style="35" customWidth="1"/>
    <col min="521" max="521" width="10.7109375" style="35" customWidth="1"/>
    <col min="522" max="523" width="9.140625" style="35" customWidth="1"/>
    <col min="524" max="524" width="10.7109375" style="35" customWidth="1"/>
    <col min="525" max="526" width="9.140625" style="35" customWidth="1"/>
    <col min="527" max="527" width="10.7109375" style="35" customWidth="1"/>
    <col min="528" max="529" width="9.140625" style="35" customWidth="1"/>
    <col min="530" max="530" width="10.57421875" style="35" customWidth="1"/>
    <col min="531" max="532" width="9.140625" style="35" customWidth="1"/>
    <col min="533" max="533" width="10.421875" style="35" customWidth="1"/>
    <col min="534" max="535" width="9.140625" style="35" customWidth="1"/>
    <col min="536" max="536" width="10.8515625" style="35" customWidth="1"/>
    <col min="537" max="537" width="11.28125" style="35" bestFit="1" customWidth="1"/>
    <col min="538" max="538" width="9.140625" style="35" customWidth="1"/>
    <col min="539" max="539" width="11.00390625" style="35" customWidth="1"/>
    <col min="540" max="768" width="9.140625" style="35" customWidth="1"/>
    <col min="769" max="769" width="3.57421875" style="35" customWidth="1"/>
    <col min="770" max="770" width="31.8515625" style="35" customWidth="1"/>
    <col min="771" max="771" width="11.57421875" style="35" customWidth="1"/>
    <col min="772" max="772" width="9.140625" style="35" customWidth="1"/>
    <col min="773" max="774" width="10.7109375" style="35" customWidth="1"/>
    <col min="775" max="776" width="9.140625" style="35" customWidth="1"/>
    <col min="777" max="777" width="10.7109375" style="35" customWidth="1"/>
    <col min="778" max="779" width="9.140625" style="35" customWidth="1"/>
    <col min="780" max="780" width="10.7109375" style="35" customWidth="1"/>
    <col min="781" max="782" width="9.140625" style="35" customWidth="1"/>
    <col min="783" max="783" width="10.7109375" style="35" customWidth="1"/>
    <col min="784" max="785" width="9.140625" style="35" customWidth="1"/>
    <col min="786" max="786" width="10.57421875" style="35" customWidth="1"/>
    <col min="787" max="788" width="9.140625" style="35" customWidth="1"/>
    <col min="789" max="789" width="10.421875" style="35" customWidth="1"/>
    <col min="790" max="791" width="9.140625" style="35" customWidth="1"/>
    <col min="792" max="792" width="10.8515625" style="35" customWidth="1"/>
    <col min="793" max="793" width="11.28125" style="35" bestFit="1" customWidth="1"/>
    <col min="794" max="794" width="9.140625" style="35" customWidth="1"/>
    <col min="795" max="795" width="11.00390625" style="35" customWidth="1"/>
    <col min="796" max="1024" width="9.140625" style="35" customWidth="1"/>
    <col min="1025" max="1025" width="3.57421875" style="35" customWidth="1"/>
    <col min="1026" max="1026" width="31.8515625" style="35" customWidth="1"/>
    <col min="1027" max="1027" width="11.57421875" style="35" customWidth="1"/>
    <col min="1028" max="1028" width="9.140625" style="35" customWidth="1"/>
    <col min="1029" max="1030" width="10.7109375" style="35" customWidth="1"/>
    <col min="1031" max="1032" width="9.140625" style="35" customWidth="1"/>
    <col min="1033" max="1033" width="10.7109375" style="35" customWidth="1"/>
    <col min="1034" max="1035" width="9.140625" style="35" customWidth="1"/>
    <col min="1036" max="1036" width="10.7109375" style="35" customWidth="1"/>
    <col min="1037" max="1038" width="9.140625" style="35" customWidth="1"/>
    <col min="1039" max="1039" width="10.7109375" style="35" customWidth="1"/>
    <col min="1040" max="1041" width="9.140625" style="35" customWidth="1"/>
    <col min="1042" max="1042" width="10.57421875" style="35" customWidth="1"/>
    <col min="1043" max="1044" width="9.140625" style="35" customWidth="1"/>
    <col min="1045" max="1045" width="10.421875" style="35" customWidth="1"/>
    <col min="1046" max="1047" width="9.140625" style="35" customWidth="1"/>
    <col min="1048" max="1048" width="10.8515625" style="35" customWidth="1"/>
    <col min="1049" max="1049" width="11.28125" style="35" bestFit="1" customWidth="1"/>
    <col min="1050" max="1050" width="9.140625" style="35" customWidth="1"/>
    <col min="1051" max="1051" width="11.00390625" style="35" customWidth="1"/>
    <col min="1052" max="1280" width="9.140625" style="35" customWidth="1"/>
    <col min="1281" max="1281" width="3.57421875" style="35" customWidth="1"/>
    <col min="1282" max="1282" width="31.8515625" style="35" customWidth="1"/>
    <col min="1283" max="1283" width="11.57421875" style="35" customWidth="1"/>
    <col min="1284" max="1284" width="9.140625" style="35" customWidth="1"/>
    <col min="1285" max="1286" width="10.7109375" style="35" customWidth="1"/>
    <col min="1287" max="1288" width="9.140625" style="35" customWidth="1"/>
    <col min="1289" max="1289" width="10.7109375" style="35" customWidth="1"/>
    <col min="1290" max="1291" width="9.140625" style="35" customWidth="1"/>
    <col min="1292" max="1292" width="10.7109375" style="35" customWidth="1"/>
    <col min="1293" max="1294" width="9.140625" style="35" customWidth="1"/>
    <col min="1295" max="1295" width="10.7109375" style="35" customWidth="1"/>
    <col min="1296" max="1297" width="9.140625" style="35" customWidth="1"/>
    <col min="1298" max="1298" width="10.57421875" style="35" customWidth="1"/>
    <col min="1299" max="1300" width="9.140625" style="35" customWidth="1"/>
    <col min="1301" max="1301" width="10.421875" style="35" customWidth="1"/>
    <col min="1302" max="1303" width="9.140625" style="35" customWidth="1"/>
    <col min="1304" max="1304" width="10.8515625" style="35" customWidth="1"/>
    <col min="1305" max="1305" width="11.28125" style="35" bestFit="1" customWidth="1"/>
    <col min="1306" max="1306" width="9.140625" style="35" customWidth="1"/>
    <col min="1307" max="1307" width="11.00390625" style="35" customWidth="1"/>
    <col min="1308" max="1536" width="9.140625" style="35" customWidth="1"/>
    <col min="1537" max="1537" width="3.57421875" style="35" customWidth="1"/>
    <col min="1538" max="1538" width="31.8515625" style="35" customWidth="1"/>
    <col min="1539" max="1539" width="11.57421875" style="35" customWidth="1"/>
    <col min="1540" max="1540" width="9.140625" style="35" customWidth="1"/>
    <col min="1541" max="1542" width="10.7109375" style="35" customWidth="1"/>
    <col min="1543" max="1544" width="9.140625" style="35" customWidth="1"/>
    <col min="1545" max="1545" width="10.7109375" style="35" customWidth="1"/>
    <col min="1546" max="1547" width="9.140625" style="35" customWidth="1"/>
    <col min="1548" max="1548" width="10.7109375" style="35" customWidth="1"/>
    <col min="1549" max="1550" width="9.140625" style="35" customWidth="1"/>
    <col min="1551" max="1551" width="10.7109375" style="35" customWidth="1"/>
    <col min="1552" max="1553" width="9.140625" style="35" customWidth="1"/>
    <col min="1554" max="1554" width="10.57421875" style="35" customWidth="1"/>
    <col min="1555" max="1556" width="9.140625" style="35" customWidth="1"/>
    <col min="1557" max="1557" width="10.421875" style="35" customWidth="1"/>
    <col min="1558" max="1559" width="9.140625" style="35" customWidth="1"/>
    <col min="1560" max="1560" width="10.8515625" style="35" customWidth="1"/>
    <col min="1561" max="1561" width="11.28125" style="35" bestFit="1" customWidth="1"/>
    <col min="1562" max="1562" width="9.140625" style="35" customWidth="1"/>
    <col min="1563" max="1563" width="11.00390625" style="35" customWidth="1"/>
    <col min="1564" max="1792" width="9.140625" style="35" customWidth="1"/>
    <col min="1793" max="1793" width="3.57421875" style="35" customWidth="1"/>
    <col min="1794" max="1794" width="31.8515625" style="35" customWidth="1"/>
    <col min="1795" max="1795" width="11.57421875" style="35" customWidth="1"/>
    <col min="1796" max="1796" width="9.140625" style="35" customWidth="1"/>
    <col min="1797" max="1798" width="10.7109375" style="35" customWidth="1"/>
    <col min="1799" max="1800" width="9.140625" style="35" customWidth="1"/>
    <col min="1801" max="1801" width="10.7109375" style="35" customWidth="1"/>
    <col min="1802" max="1803" width="9.140625" style="35" customWidth="1"/>
    <col min="1804" max="1804" width="10.7109375" style="35" customWidth="1"/>
    <col min="1805" max="1806" width="9.140625" style="35" customWidth="1"/>
    <col min="1807" max="1807" width="10.7109375" style="35" customWidth="1"/>
    <col min="1808" max="1809" width="9.140625" style="35" customWidth="1"/>
    <col min="1810" max="1810" width="10.57421875" style="35" customWidth="1"/>
    <col min="1811" max="1812" width="9.140625" style="35" customWidth="1"/>
    <col min="1813" max="1813" width="10.421875" style="35" customWidth="1"/>
    <col min="1814" max="1815" width="9.140625" style="35" customWidth="1"/>
    <col min="1816" max="1816" width="10.8515625" style="35" customWidth="1"/>
    <col min="1817" max="1817" width="11.28125" style="35" bestFit="1" customWidth="1"/>
    <col min="1818" max="1818" width="9.140625" style="35" customWidth="1"/>
    <col min="1819" max="1819" width="11.00390625" style="35" customWidth="1"/>
    <col min="1820" max="2048" width="9.140625" style="35" customWidth="1"/>
    <col min="2049" max="2049" width="3.57421875" style="35" customWidth="1"/>
    <col min="2050" max="2050" width="31.8515625" style="35" customWidth="1"/>
    <col min="2051" max="2051" width="11.57421875" style="35" customWidth="1"/>
    <col min="2052" max="2052" width="9.140625" style="35" customWidth="1"/>
    <col min="2053" max="2054" width="10.7109375" style="35" customWidth="1"/>
    <col min="2055" max="2056" width="9.140625" style="35" customWidth="1"/>
    <col min="2057" max="2057" width="10.7109375" style="35" customWidth="1"/>
    <col min="2058" max="2059" width="9.140625" style="35" customWidth="1"/>
    <col min="2060" max="2060" width="10.7109375" style="35" customWidth="1"/>
    <col min="2061" max="2062" width="9.140625" style="35" customWidth="1"/>
    <col min="2063" max="2063" width="10.7109375" style="35" customWidth="1"/>
    <col min="2064" max="2065" width="9.140625" style="35" customWidth="1"/>
    <col min="2066" max="2066" width="10.57421875" style="35" customWidth="1"/>
    <col min="2067" max="2068" width="9.140625" style="35" customWidth="1"/>
    <col min="2069" max="2069" width="10.421875" style="35" customWidth="1"/>
    <col min="2070" max="2071" width="9.140625" style="35" customWidth="1"/>
    <col min="2072" max="2072" width="10.8515625" style="35" customWidth="1"/>
    <col min="2073" max="2073" width="11.28125" style="35" bestFit="1" customWidth="1"/>
    <col min="2074" max="2074" width="9.140625" style="35" customWidth="1"/>
    <col min="2075" max="2075" width="11.00390625" style="35" customWidth="1"/>
    <col min="2076" max="2304" width="9.140625" style="35" customWidth="1"/>
    <col min="2305" max="2305" width="3.57421875" style="35" customWidth="1"/>
    <col min="2306" max="2306" width="31.8515625" style="35" customWidth="1"/>
    <col min="2307" max="2307" width="11.57421875" style="35" customWidth="1"/>
    <col min="2308" max="2308" width="9.140625" style="35" customWidth="1"/>
    <col min="2309" max="2310" width="10.7109375" style="35" customWidth="1"/>
    <col min="2311" max="2312" width="9.140625" style="35" customWidth="1"/>
    <col min="2313" max="2313" width="10.7109375" style="35" customWidth="1"/>
    <col min="2314" max="2315" width="9.140625" style="35" customWidth="1"/>
    <col min="2316" max="2316" width="10.7109375" style="35" customWidth="1"/>
    <col min="2317" max="2318" width="9.140625" style="35" customWidth="1"/>
    <col min="2319" max="2319" width="10.7109375" style="35" customWidth="1"/>
    <col min="2320" max="2321" width="9.140625" style="35" customWidth="1"/>
    <col min="2322" max="2322" width="10.57421875" style="35" customWidth="1"/>
    <col min="2323" max="2324" width="9.140625" style="35" customWidth="1"/>
    <col min="2325" max="2325" width="10.421875" style="35" customWidth="1"/>
    <col min="2326" max="2327" width="9.140625" style="35" customWidth="1"/>
    <col min="2328" max="2328" width="10.8515625" style="35" customWidth="1"/>
    <col min="2329" max="2329" width="11.28125" style="35" bestFit="1" customWidth="1"/>
    <col min="2330" max="2330" width="9.140625" style="35" customWidth="1"/>
    <col min="2331" max="2331" width="11.00390625" style="35" customWidth="1"/>
    <col min="2332" max="2560" width="9.140625" style="35" customWidth="1"/>
    <col min="2561" max="2561" width="3.57421875" style="35" customWidth="1"/>
    <col min="2562" max="2562" width="31.8515625" style="35" customWidth="1"/>
    <col min="2563" max="2563" width="11.57421875" style="35" customWidth="1"/>
    <col min="2564" max="2564" width="9.140625" style="35" customWidth="1"/>
    <col min="2565" max="2566" width="10.7109375" style="35" customWidth="1"/>
    <col min="2567" max="2568" width="9.140625" style="35" customWidth="1"/>
    <col min="2569" max="2569" width="10.7109375" style="35" customWidth="1"/>
    <col min="2570" max="2571" width="9.140625" style="35" customWidth="1"/>
    <col min="2572" max="2572" width="10.7109375" style="35" customWidth="1"/>
    <col min="2573" max="2574" width="9.140625" style="35" customWidth="1"/>
    <col min="2575" max="2575" width="10.7109375" style="35" customWidth="1"/>
    <col min="2576" max="2577" width="9.140625" style="35" customWidth="1"/>
    <col min="2578" max="2578" width="10.57421875" style="35" customWidth="1"/>
    <col min="2579" max="2580" width="9.140625" style="35" customWidth="1"/>
    <col min="2581" max="2581" width="10.421875" style="35" customWidth="1"/>
    <col min="2582" max="2583" width="9.140625" style="35" customWidth="1"/>
    <col min="2584" max="2584" width="10.8515625" style="35" customWidth="1"/>
    <col min="2585" max="2585" width="11.28125" style="35" bestFit="1" customWidth="1"/>
    <col min="2586" max="2586" width="9.140625" style="35" customWidth="1"/>
    <col min="2587" max="2587" width="11.00390625" style="35" customWidth="1"/>
    <col min="2588" max="2816" width="9.140625" style="35" customWidth="1"/>
    <col min="2817" max="2817" width="3.57421875" style="35" customWidth="1"/>
    <col min="2818" max="2818" width="31.8515625" style="35" customWidth="1"/>
    <col min="2819" max="2819" width="11.57421875" style="35" customWidth="1"/>
    <col min="2820" max="2820" width="9.140625" style="35" customWidth="1"/>
    <col min="2821" max="2822" width="10.7109375" style="35" customWidth="1"/>
    <col min="2823" max="2824" width="9.140625" style="35" customWidth="1"/>
    <col min="2825" max="2825" width="10.7109375" style="35" customWidth="1"/>
    <col min="2826" max="2827" width="9.140625" style="35" customWidth="1"/>
    <col min="2828" max="2828" width="10.7109375" style="35" customWidth="1"/>
    <col min="2829" max="2830" width="9.140625" style="35" customWidth="1"/>
    <col min="2831" max="2831" width="10.7109375" style="35" customWidth="1"/>
    <col min="2832" max="2833" width="9.140625" style="35" customWidth="1"/>
    <col min="2834" max="2834" width="10.57421875" style="35" customWidth="1"/>
    <col min="2835" max="2836" width="9.140625" style="35" customWidth="1"/>
    <col min="2837" max="2837" width="10.421875" style="35" customWidth="1"/>
    <col min="2838" max="2839" width="9.140625" style="35" customWidth="1"/>
    <col min="2840" max="2840" width="10.8515625" style="35" customWidth="1"/>
    <col min="2841" max="2841" width="11.28125" style="35" bestFit="1" customWidth="1"/>
    <col min="2842" max="2842" width="9.140625" style="35" customWidth="1"/>
    <col min="2843" max="2843" width="11.00390625" style="35" customWidth="1"/>
    <col min="2844" max="3072" width="9.140625" style="35" customWidth="1"/>
    <col min="3073" max="3073" width="3.57421875" style="35" customWidth="1"/>
    <col min="3074" max="3074" width="31.8515625" style="35" customWidth="1"/>
    <col min="3075" max="3075" width="11.57421875" style="35" customWidth="1"/>
    <col min="3076" max="3076" width="9.140625" style="35" customWidth="1"/>
    <col min="3077" max="3078" width="10.7109375" style="35" customWidth="1"/>
    <col min="3079" max="3080" width="9.140625" style="35" customWidth="1"/>
    <col min="3081" max="3081" width="10.7109375" style="35" customWidth="1"/>
    <col min="3082" max="3083" width="9.140625" style="35" customWidth="1"/>
    <col min="3084" max="3084" width="10.7109375" style="35" customWidth="1"/>
    <col min="3085" max="3086" width="9.140625" style="35" customWidth="1"/>
    <col min="3087" max="3087" width="10.7109375" style="35" customWidth="1"/>
    <col min="3088" max="3089" width="9.140625" style="35" customWidth="1"/>
    <col min="3090" max="3090" width="10.57421875" style="35" customWidth="1"/>
    <col min="3091" max="3092" width="9.140625" style="35" customWidth="1"/>
    <col min="3093" max="3093" width="10.421875" style="35" customWidth="1"/>
    <col min="3094" max="3095" width="9.140625" style="35" customWidth="1"/>
    <col min="3096" max="3096" width="10.8515625" style="35" customWidth="1"/>
    <col min="3097" max="3097" width="11.28125" style="35" bestFit="1" customWidth="1"/>
    <col min="3098" max="3098" width="9.140625" style="35" customWidth="1"/>
    <col min="3099" max="3099" width="11.00390625" style="35" customWidth="1"/>
    <col min="3100" max="3328" width="9.140625" style="35" customWidth="1"/>
    <col min="3329" max="3329" width="3.57421875" style="35" customWidth="1"/>
    <col min="3330" max="3330" width="31.8515625" style="35" customWidth="1"/>
    <col min="3331" max="3331" width="11.57421875" style="35" customWidth="1"/>
    <col min="3332" max="3332" width="9.140625" style="35" customWidth="1"/>
    <col min="3333" max="3334" width="10.7109375" style="35" customWidth="1"/>
    <col min="3335" max="3336" width="9.140625" style="35" customWidth="1"/>
    <col min="3337" max="3337" width="10.7109375" style="35" customWidth="1"/>
    <col min="3338" max="3339" width="9.140625" style="35" customWidth="1"/>
    <col min="3340" max="3340" width="10.7109375" style="35" customWidth="1"/>
    <col min="3341" max="3342" width="9.140625" style="35" customWidth="1"/>
    <col min="3343" max="3343" width="10.7109375" style="35" customWidth="1"/>
    <col min="3344" max="3345" width="9.140625" style="35" customWidth="1"/>
    <col min="3346" max="3346" width="10.57421875" style="35" customWidth="1"/>
    <col min="3347" max="3348" width="9.140625" style="35" customWidth="1"/>
    <col min="3349" max="3349" width="10.421875" style="35" customWidth="1"/>
    <col min="3350" max="3351" width="9.140625" style="35" customWidth="1"/>
    <col min="3352" max="3352" width="10.8515625" style="35" customWidth="1"/>
    <col min="3353" max="3353" width="11.28125" style="35" bestFit="1" customWidth="1"/>
    <col min="3354" max="3354" width="9.140625" style="35" customWidth="1"/>
    <col min="3355" max="3355" width="11.00390625" style="35" customWidth="1"/>
    <col min="3356" max="3584" width="9.140625" style="35" customWidth="1"/>
    <col min="3585" max="3585" width="3.57421875" style="35" customWidth="1"/>
    <col min="3586" max="3586" width="31.8515625" style="35" customWidth="1"/>
    <col min="3587" max="3587" width="11.57421875" style="35" customWidth="1"/>
    <col min="3588" max="3588" width="9.140625" style="35" customWidth="1"/>
    <col min="3589" max="3590" width="10.7109375" style="35" customWidth="1"/>
    <col min="3591" max="3592" width="9.140625" style="35" customWidth="1"/>
    <col min="3593" max="3593" width="10.7109375" style="35" customWidth="1"/>
    <col min="3594" max="3595" width="9.140625" style="35" customWidth="1"/>
    <col min="3596" max="3596" width="10.7109375" style="35" customWidth="1"/>
    <col min="3597" max="3598" width="9.140625" style="35" customWidth="1"/>
    <col min="3599" max="3599" width="10.7109375" style="35" customWidth="1"/>
    <col min="3600" max="3601" width="9.140625" style="35" customWidth="1"/>
    <col min="3602" max="3602" width="10.57421875" style="35" customWidth="1"/>
    <col min="3603" max="3604" width="9.140625" style="35" customWidth="1"/>
    <col min="3605" max="3605" width="10.421875" style="35" customWidth="1"/>
    <col min="3606" max="3607" width="9.140625" style="35" customWidth="1"/>
    <col min="3608" max="3608" width="10.8515625" style="35" customWidth="1"/>
    <col min="3609" max="3609" width="11.28125" style="35" bestFit="1" customWidth="1"/>
    <col min="3610" max="3610" width="9.140625" style="35" customWidth="1"/>
    <col min="3611" max="3611" width="11.00390625" style="35" customWidth="1"/>
    <col min="3612" max="3840" width="9.140625" style="35" customWidth="1"/>
    <col min="3841" max="3841" width="3.57421875" style="35" customWidth="1"/>
    <col min="3842" max="3842" width="31.8515625" style="35" customWidth="1"/>
    <col min="3843" max="3843" width="11.57421875" style="35" customWidth="1"/>
    <col min="3844" max="3844" width="9.140625" style="35" customWidth="1"/>
    <col min="3845" max="3846" width="10.7109375" style="35" customWidth="1"/>
    <col min="3847" max="3848" width="9.140625" style="35" customWidth="1"/>
    <col min="3849" max="3849" width="10.7109375" style="35" customWidth="1"/>
    <col min="3850" max="3851" width="9.140625" style="35" customWidth="1"/>
    <col min="3852" max="3852" width="10.7109375" style="35" customWidth="1"/>
    <col min="3853" max="3854" width="9.140625" style="35" customWidth="1"/>
    <col min="3855" max="3855" width="10.7109375" style="35" customWidth="1"/>
    <col min="3856" max="3857" width="9.140625" style="35" customWidth="1"/>
    <col min="3858" max="3858" width="10.57421875" style="35" customWidth="1"/>
    <col min="3859" max="3860" width="9.140625" style="35" customWidth="1"/>
    <col min="3861" max="3861" width="10.421875" style="35" customWidth="1"/>
    <col min="3862" max="3863" width="9.140625" style="35" customWidth="1"/>
    <col min="3864" max="3864" width="10.8515625" style="35" customWidth="1"/>
    <col min="3865" max="3865" width="11.28125" style="35" bestFit="1" customWidth="1"/>
    <col min="3866" max="3866" width="9.140625" style="35" customWidth="1"/>
    <col min="3867" max="3867" width="11.00390625" style="35" customWidth="1"/>
    <col min="3868" max="4096" width="9.140625" style="35" customWidth="1"/>
    <col min="4097" max="4097" width="3.57421875" style="35" customWidth="1"/>
    <col min="4098" max="4098" width="31.8515625" style="35" customWidth="1"/>
    <col min="4099" max="4099" width="11.57421875" style="35" customWidth="1"/>
    <col min="4100" max="4100" width="9.140625" style="35" customWidth="1"/>
    <col min="4101" max="4102" width="10.7109375" style="35" customWidth="1"/>
    <col min="4103" max="4104" width="9.140625" style="35" customWidth="1"/>
    <col min="4105" max="4105" width="10.7109375" style="35" customWidth="1"/>
    <col min="4106" max="4107" width="9.140625" style="35" customWidth="1"/>
    <col min="4108" max="4108" width="10.7109375" style="35" customWidth="1"/>
    <col min="4109" max="4110" width="9.140625" style="35" customWidth="1"/>
    <col min="4111" max="4111" width="10.7109375" style="35" customWidth="1"/>
    <col min="4112" max="4113" width="9.140625" style="35" customWidth="1"/>
    <col min="4114" max="4114" width="10.57421875" style="35" customWidth="1"/>
    <col min="4115" max="4116" width="9.140625" style="35" customWidth="1"/>
    <col min="4117" max="4117" width="10.421875" style="35" customWidth="1"/>
    <col min="4118" max="4119" width="9.140625" style="35" customWidth="1"/>
    <col min="4120" max="4120" width="10.8515625" style="35" customWidth="1"/>
    <col min="4121" max="4121" width="11.28125" style="35" bestFit="1" customWidth="1"/>
    <col min="4122" max="4122" width="9.140625" style="35" customWidth="1"/>
    <col min="4123" max="4123" width="11.00390625" style="35" customWidth="1"/>
    <col min="4124" max="4352" width="9.140625" style="35" customWidth="1"/>
    <col min="4353" max="4353" width="3.57421875" style="35" customWidth="1"/>
    <col min="4354" max="4354" width="31.8515625" style="35" customWidth="1"/>
    <col min="4355" max="4355" width="11.57421875" style="35" customWidth="1"/>
    <col min="4356" max="4356" width="9.140625" style="35" customWidth="1"/>
    <col min="4357" max="4358" width="10.7109375" style="35" customWidth="1"/>
    <col min="4359" max="4360" width="9.140625" style="35" customWidth="1"/>
    <col min="4361" max="4361" width="10.7109375" style="35" customWidth="1"/>
    <col min="4362" max="4363" width="9.140625" style="35" customWidth="1"/>
    <col min="4364" max="4364" width="10.7109375" style="35" customWidth="1"/>
    <col min="4365" max="4366" width="9.140625" style="35" customWidth="1"/>
    <col min="4367" max="4367" width="10.7109375" style="35" customWidth="1"/>
    <col min="4368" max="4369" width="9.140625" style="35" customWidth="1"/>
    <col min="4370" max="4370" width="10.57421875" style="35" customWidth="1"/>
    <col min="4371" max="4372" width="9.140625" style="35" customWidth="1"/>
    <col min="4373" max="4373" width="10.421875" style="35" customWidth="1"/>
    <col min="4374" max="4375" width="9.140625" style="35" customWidth="1"/>
    <col min="4376" max="4376" width="10.8515625" style="35" customWidth="1"/>
    <col min="4377" max="4377" width="11.28125" style="35" bestFit="1" customWidth="1"/>
    <col min="4378" max="4378" width="9.140625" style="35" customWidth="1"/>
    <col min="4379" max="4379" width="11.00390625" style="35" customWidth="1"/>
    <col min="4380" max="4608" width="9.140625" style="35" customWidth="1"/>
    <col min="4609" max="4609" width="3.57421875" style="35" customWidth="1"/>
    <col min="4610" max="4610" width="31.8515625" style="35" customWidth="1"/>
    <col min="4611" max="4611" width="11.57421875" style="35" customWidth="1"/>
    <col min="4612" max="4612" width="9.140625" style="35" customWidth="1"/>
    <col min="4613" max="4614" width="10.7109375" style="35" customWidth="1"/>
    <col min="4615" max="4616" width="9.140625" style="35" customWidth="1"/>
    <col min="4617" max="4617" width="10.7109375" style="35" customWidth="1"/>
    <col min="4618" max="4619" width="9.140625" style="35" customWidth="1"/>
    <col min="4620" max="4620" width="10.7109375" style="35" customWidth="1"/>
    <col min="4621" max="4622" width="9.140625" style="35" customWidth="1"/>
    <col min="4623" max="4623" width="10.7109375" style="35" customWidth="1"/>
    <col min="4624" max="4625" width="9.140625" style="35" customWidth="1"/>
    <col min="4626" max="4626" width="10.57421875" style="35" customWidth="1"/>
    <col min="4627" max="4628" width="9.140625" style="35" customWidth="1"/>
    <col min="4629" max="4629" width="10.421875" style="35" customWidth="1"/>
    <col min="4630" max="4631" width="9.140625" style="35" customWidth="1"/>
    <col min="4632" max="4632" width="10.8515625" style="35" customWidth="1"/>
    <col min="4633" max="4633" width="11.28125" style="35" bestFit="1" customWidth="1"/>
    <col min="4634" max="4634" width="9.140625" style="35" customWidth="1"/>
    <col min="4635" max="4635" width="11.00390625" style="35" customWidth="1"/>
    <col min="4636" max="4864" width="9.140625" style="35" customWidth="1"/>
    <col min="4865" max="4865" width="3.57421875" style="35" customWidth="1"/>
    <col min="4866" max="4866" width="31.8515625" style="35" customWidth="1"/>
    <col min="4867" max="4867" width="11.57421875" style="35" customWidth="1"/>
    <col min="4868" max="4868" width="9.140625" style="35" customWidth="1"/>
    <col min="4869" max="4870" width="10.7109375" style="35" customWidth="1"/>
    <col min="4871" max="4872" width="9.140625" style="35" customWidth="1"/>
    <col min="4873" max="4873" width="10.7109375" style="35" customWidth="1"/>
    <col min="4874" max="4875" width="9.140625" style="35" customWidth="1"/>
    <col min="4876" max="4876" width="10.7109375" style="35" customWidth="1"/>
    <col min="4877" max="4878" width="9.140625" style="35" customWidth="1"/>
    <col min="4879" max="4879" width="10.7109375" style="35" customWidth="1"/>
    <col min="4880" max="4881" width="9.140625" style="35" customWidth="1"/>
    <col min="4882" max="4882" width="10.57421875" style="35" customWidth="1"/>
    <col min="4883" max="4884" width="9.140625" style="35" customWidth="1"/>
    <col min="4885" max="4885" width="10.421875" style="35" customWidth="1"/>
    <col min="4886" max="4887" width="9.140625" style="35" customWidth="1"/>
    <col min="4888" max="4888" width="10.8515625" style="35" customWidth="1"/>
    <col min="4889" max="4889" width="11.28125" style="35" bestFit="1" customWidth="1"/>
    <col min="4890" max="4890" width="9.140625" style="35" customWidth="1"/>
    <col min="4891" max="4891" width="11.00390625" style="35" customWidth="1"/>
    <col min="4892" max="5120" width="9.140625" style="35" customWidth="1"/>
    <col min="5121" max="5121" width="3.57421875" style="35" customWidth="1"/>
    <col min="5122" max="5122" width="31.8515625" style="35" customWidth="1"/>
    <col min="5123" max="5123" width="11.57421875" style="35" customWidth="1"/>
    <col min="5124" max="5124" width="9.140625" style="35" customWidth="1"/>
    <col min="5125" max="5126" width="10.7109375" style="35" customWidth="1"/>
    <col min="5127" max="5128" width="9.140625" style="35" customWidth="1"/>
    <col min="5129" max="5129" width="10.7109375" style="35" customWidth="1"/>
    <col min="5130" max="5131" width="9.140625" style="35" customWidth="1"/>
    <col min="5132" max="5132" width="10.7109375" style="35" customWidth="1"/>
    <col min="5133" max="5134" width="9.140625" style="35" customWidth="1"/>
    <col min="5135" max="5135" width="10.7109375" style="35" customWidth="1"/>
    <col min="5136" max="5137" width="9.140625" style="35" customWidth="1"/>
    <col min="5138" max="5138" width="10.57421875" style="35" customWidth="1"/>
    <col min="5139" max="5140" width="9.140625" style="35" customWidth="1"/>
    <col min="5141" max="5141" width="10.421875" style="35" customWidth="1"/>
    <col min="5142" max="5143" width="9.140625" style="35" customWidth="1"/>
    <col min="5144" max="5144" width="10.8515625" style="35" customWidth="1"/>
    <col min="5145" max="5145" width="11.28125" style="35" bestFit="1" customWidth="1"/>
    <col min="5146" max="5146" width="9.140625" style="35" customWidth="1"/>
    <col min="5147" max="5147" width="11.00390625" style="35" customWidth="1"/>
    <col min="5148" max="5376" width="9.140625" style="35" customWidth="1"/>
    <col min="5377" max="5377" width="3.57421875" style="35" customWidth="1"/>
    <col min="5378" max="5378" width="31.8515625" style="35" customWidth="1"/>
    <col min="5379" max="5379" width="11.57421875" style="35" customWidth="1"/>
    <col min="5380" max="5380" width="9.140625" style="35" customWidth="1"/>
    <col min="5381" max="5382" width="10.7109375" style="35" customWidth="1"/>
    <col min="5383" max="5384" width="9.140625" style="35" customWidth="1"/>
    <col min="5385" max="5385" width="10.7109375" style="35" customWidth="1"/>
    <col min="5386" max="5387" width="9.140625" style="35" customWidth="1"/>
    <col min="5388" max="5388" width="10.7109375" style="35" customWidth="1"/>
    <col min="5389" max="5390" width="9.140625" style="35" customWidth="1"/>
    <col min="5391" max="5391" width="10.7109375" style="35" customWidth="1"/>
    <col min="5392" max="5393" width="9.140625" style="35" customWidth="1"/>
    <col min="5394" max="5394" width="10.57421875" style="35" customWidth="1"/>
    <col min="5395" max="5396" width="9.140625" style="35" customWidth="1"/>
    <col min="5397" max="5397" width="10.421875" style="35" customWidth="1"/>
    <col min="5398" max="5399" width="9.140625" style="35" customWidth="1"/>
    <col min="5400" max="5400" width="10.8515625" style="35" customWidth="1"/>
    <col min="5401" max="5401" width="11.28125" style="35" bestFit="1" customWidth="1"/>
    <col min="5402" max="5402" width="9.140625" style="35" customWidth="1"/>
    <col min="5403" max="5403" width="11.00390625" style="35" customWidth="1"/>
    <col min="5404" max="5632" width="9.140625" style="35" customWidth="1"/>
    <col min="5633" max="5633" width="3.57421875" style="35" customWidth="1"/>
    <col min="5634" max="5634" width="31.8515625" style="35" customWidth="1"/>
    <col min="5635" max="5635" width="11.57421875" style="35" customWidth="1"/>
    <col min="5636" max="5636" width="9.140625" style="35" customWidth="1"/>
    <col min="5637" max="5638" width="10.7109375" style="35" customWidth="1"/>
    <col min="5639" max="5640" width="9.140625" style="35" customWidth="1"/>
    <col min="5641" max="5641" width="10.7109375" style="35" customWidth="1"/>
    <col min="5642" max="5643" width="9.140625" style="35" customWidth="1"/>
    <col min="5644" max="5644" width="10.7109375" style="35" customWidth="1"/>
    <col min="5645" max="5646" width="9.140625" style="35" customWidth="1"/>
    <col min="5647" max="5647" width="10.7109375" style="35" customWidth="1"/>
    <col min="5648" max="5649" width="9.140625" style="35" customWidth="1"/>
    <col min="5650" max="5650" width="10.57421875" style="35" customWidth="1"/>
    <col min="5651" max="5652" width="9.140625" style="35" customWidth="1"/>
    <col min="5653" max="5653" width="10.421875" style="35" customWidth="1"/>
    <col min="5654" max="5655" width="9.140625" style="35" customWidth="1"/>
    <col min="5656" max="5656" width="10.8515625" style="35" customWidth="1"/>
    <col min="5657" max="5657" width="11.28125" style="35" bestFit="1" customWidth="1"/>
    <col min="5658" max="5658" width="9.140625" style="35" customWidth="1"/>
    <col min="5659" max="5659" width="11.00390625" style="35" customWidth="1"/>
    <col min="5660" max="5888" width="9.140625" style="35" customWidth="1"/>
    <col min="5889" max="5889" width="3.57421875" style="35" customWidth="1"/>
    <col min="5890" max="5890" width="31.8515625" style="35" customWidth="1"/>
    <col min="5891" max="5891" width="11.57421875" style="35" customWidth="1"/>
    <col min="5892" max="5892" width="9.140625" style="35" customWidth="1"/>
    <col min="5893" max="5894" width="10.7109375" style="35" customWidth="1"/>
    <col min="5895" max="5896" width="9.140625" style="35" customWidth="1"/>
    <col min="5897" max="5897" width="10.7109375" style="35" customWidth="1"/>
    <col min="5898" max="5899" width="9.140625" style="35" customWidth="1"/>
    <col min="5900" max="5900" width="10.7109375" style="35" customWidth="1"/>
    <col min="5901" max="5902" width="9.140625" style="35" customWidth="1"/>
    <col min="5903" max="5903" width="10.7109375" style="35" customWidth="1"/>
    <col min="5904" max="5905" width="9.140625" style="35" customWidth="1"/>
    <col min="5906" max="5906" width="10.57421875" style="35" customWidth="1"/>
    <col min="5907" max="5908" width="9.140625" style="35" customWidth="1"/>
    <col min="5909" max="5909" width="10.421875" style="35" customWidth="1"/>
    <col min="5910" max="5911" width="9.140625" style="35" customWidth="1"/>
    <col min="5912" max="5912" width="10.8515625" style="35" customWidth="1"/>
    <col min="5913" max="5913" width="11.28125" style="35" bestFit="1" customWidth="1"/>
    <col min="5914" max="5914" width="9.140625" style="35" customWidth="1"/>
    <col min="5915" max="5915" width="11.00390625" style="35" customWidth="1"/>
    <col min="5916" max="6144" width="9.140625" style="35" customWidth="1"/>
    <col min="6145" max="6145" width="3.57421875" style="35" customWidth="1"/>
    <col min="6146" max="6146" width="31.8515625" style="35" customWidth="1"/>
    <col min="6147" max="6147" width="11.57421875" style="35" customWidth="1"/>
    <col min="6148" max="6148" width="9.140625" style="35" customWidth="1"/>
    <col min="6149" max="6150" width="10.7109375" style="35" customWidth="1"/>
    <col min="6151" max="6152" width="9.140625" style="35" customWidth="1"/>
    <col min="6153" max="6153" width="10.7109375" style="35" customWidth="1"/>
    <col min="6154" max="6155" width="9.140625" style="35" customWidth="1"/>
    <col min="6156" max="6156" width="10.7109375" style="35" customWidth="1"/>
    <col min="6157" max="6158" width="9.140625" style="35" customWidth="1"/>
    <col min="6159" max="6159" width="10.7109375" style="35" customWidth="1"/>
    <col min="6160" max="6161" width="9.140625" style="35" customWidth="1"/>
    <col min="6162" max="6162" width="10.57421875" style="35" customWidth="1"/>
    <col min="6163" max="6164" width="9.140625" style="35" customWidth="1"/>
    <col min="6165" max="6165" width="10.421875" style="35" customWidth="1"/>
    <col min="6166" max="6167" width="9.140625" style="35" customWidth="1"/>
    <col min="6168" max="6168" width="10.8515625" style="35" customWidth="1"/>
    <col min="6169" max="6169" width="11.28125" style="35" bestFit="1" customWidth="1"/>
    <col min="6170" max="6170" width="9.140625" style="35" customWidth="1"/>
    <col min="6171" max="6171" width="11.00390625" style="35" customWidth="1"/>
    <col min="6172" max="6400" width="9.140625" style="35" customWidth="1"/>
    <col min="6401" max="6401" width="3.57421875" style="35" customWidth="1"/>
    <col min="6402" max="6402" width="31.8515625" style="35" customWidth="1"/>
    <col min="6403" max="6403" width="11.57421875" style="35" customWidth="1"/>
    <col min="6404" max="6404" width="9.140625" style="35" customWidth="1"/>
    <col min="6405" max="6406" width="10.7109375" style="35" customWidth="1"/>
    <col min="6407" max="6408" width="9.140625" style="35" customWidth="1"/>
    <col min="6409" max="6409" width="10.7109375" style="35" customWidth="1"/>
    <col min="6410" max="6411" width="9.140625" style="35" customWidth="1"/>
    <col min="6412" max="6412" width="10.7109375" style="35" customWidth="1"/>
    <col min="6413" max="6414" width="9.140625" style="35" customWidth="1"/>
    <col min="6415" max="6415" width="10.7109375" style="35" customWidth="1"/>
    <col min="6416" max="6417" width="9.140625" style="35" customWidth="1"/>
    <col min="6418" max="6418" width="10.57421875" style="35" customWidth="1"/>
    <col min="6419" max="6420" width="9.140625" style="35" customWidth="1"/>
    <col min="6421" max="6421" width="10.421875" style="35" customWidth="1"/>
    <col min="6422" max="6423" width="9.140625" style="35" customWidth="1"/>
    <col min="6424" max="6424" width="10.8515625" style="35" customWidth="1"/>
    <col min="6425" max="6425" width="11.28125" style="35" bestFit="1" customWidth="1"/>
    <col min="6426" max="6426" width="9.140625" style="35" customWidth="1"/>
    <col min="6427" max="6427" width="11.00390625" style="35" customWidth="1"/>
    <col min="6428" max="6656" width="9.140625" style="35" customWidth="1"/>
    <col min="6657" max="6657" width="3.57421875" style="35" customWidth="1"/>
    <col min="6658" max="6658" width="31.8515625" style="35" customWidth="1"/>
    <col min="6659" max="6659" width="11.57421875" style="35" customWidth="1"/>
    <col min="6660" max="6660" width="9.140625" style="35" customWidth="1"/>
    <col min="6661" max="6662" width="10.7109375" style="35" customWidth="1"/>
    <col min="6663" max="6664" width="9.140625" style="35" customWidth="1"/>
    <col min="6665" max="6665" width="10.7109375" style="35" customWidth="1"/>
    <col min="6666" max="6667" width="9.140625" style="35" customWidth="1"/>
    <col min="6668" max="6668" width="10.7109375" style="35" customWidth="1"/>
    <col min="6669" max="6670" width="9.140625" style="35" customWidth="1"/>
    <col min="6671" max="6671" width="10.7109375" style="35" customWidth="1"/>
    <col min="6672" max="6673" width="9.140625" style="35" customWidth="1"/>
    <col min="6674" max="6674" width="10.57421875" style="35" customWidth="1"/>
    <col min="6675" max="6676" width="9.140625" style="35" customWidth="1"/>
    <col min="6677" max="6677" width="10.421875" style="35" customWidth="1"/>
    <col min="6678" max="6679" width="9.140625" style="35" customWidth="1"/>
    <col min="6680" max="6680" width="10.8515625" style="35" customWidth="1"/>
    <col min="6681" max="6681" width="11.28125" style="35" bestFit="1" customWidth="1"/>
    <col min="6682" max="6682" width="9.140625" style="35" customWidth="1"/>
    <col min="6683" max="6683" width="11.00390625" style="35" customWidth="1"/>
    <col min="6684" max="6912" width="9.140625" style="35" customWidth="1"/>
    <col min="6913" max="6913" width="3.57421875" style="35" customWidth="1"/>
    <col min="6914" max="6914" width="31.8515625" style="35" customWidth="1"/>
    <col min="6915" max="6915" width="11.57421875" style="35" customWidth="1"/>
    <col min="6916" max="6916" width="9.140625" style="35" customWidth="1"/>
    <col min="6917" max="6918" width="10.7109375" style="35" customWidth="1"/>
    <col min="6919" max="6920" width="9.140625" style="35" customWidth="1"/>
    <col min="6921" max="6921" width="10.7109375" style="35" customWidth="1"/>
    <col min="6922" max="6923" width="9.140625" style="35" customWidth="1"/>
    <col min="6924" max="6924" width="10.7109375" style="35" customWidth="1"/>
    <col min="6925" max="6926" width="9.140625" style="35" customWidth="1"/>
    <col min="6927" max="6927" width="10.7109375" style="35" customWidth="1"/>
    <col min="6928" max="6929" width="9.140625" style="35" customWidth="1"/>
    <col min="6930" max="6930" width="10.57421875" style="35" customWidth="1"/>
    <col min="6931" max="6932" width="9.140625" style="35" customWidth="1"/>
    <col min="6933" max="6933" width="10.421875" style="35" customWidth="1"/>
    <col min="6934" max="6935" width="9.140625" style="35" customWidth="1"/>
    <col min="6936" max="6936" width="10.8515625" style="35" customWidth="1"/>
    <col min="6937" max="6937" width="11.28125" style="35" bestFit="1" customWidth="1"/>
    <col min="6938" max="6938" width="9.140625" style="35" customWidth="1"/>
    <col min="6939" max="6939" width="11.00390625" style="35" customWidth="1"/>
    <col min="6940" max="7168" width="9.140625" style="35" customWidth="1"/>
    <col min="7169" max="7169" width="3.57421875" style="35" customWidth="1"/>
    <col min="7170" max="7170" width="31.8515625" style="35" customWidth="1"/>
    <col min="7171" max="7171" width="11.57421875" style="35" customWidth="1"/>
    <col min="7172" max="7172" width="9.140625" style="35" customWidth="1"/>
    <col min="7173" max="7174" width="10.7109375" style="35" customWidth="1"/>
    <col min="7175" max="7176" width="9.140625" style="35" customWidth="1"/>
    <col min="7177" max="7177" width="10.7109375" style="35" customWidth="1"/>
    <col min="7178" max="7179" width="9.140625" style="35" customWidth="1"/>
    <col min="7180" max="7180" width="10.7109375" style="35" customWidth="1"/>
    <col min="7181" max="7182" width="9.140625" style="35" customWidth="1"/>
    <col min="7183" max="7183" width="10.7109375" style="35" customWidth="1"/>
    <col min="7184" max="7185" width="9.140625" style="35" customWidth="1"/>
    <col min="7186" max="7186" width="10.57421875" style="35" customWidth="1"/>
    <col min="7187" max="7188" width="9.140625" style="35" customWidth="1"/>
    <col min="7189" max="7189" width="10.421875" style="35" customWidth="1"/>
    <col min="7190" max="7191" width="9.140625" style="35" customWidth="1"/>
    <col min="7192" max="7192" width="10.8515625" style="35" customWidth="1"/>
    <col min="7193" max="7193" width="11.28125" style="35" bestFit="1" customWidth="1"/>
    <col min="7194" max="7194" width="9.140625" style="35" customWidth="1"/>
    <col min="7195" max="7195" width="11.00390625" style="35" customWidth="1"/>
    <col min="7196" max="7424" width="9.140625" style="35" customWidth="1"/>
    <col min="7425" max="7425" width="3.57421875" style="35" customWidth="1"/>
    <col min="7426" max="7426" width="31.8515625" style="35" customWidth="1"/>
    <col min="7427" max="7427" width="11.57421875" style="35" customWidth="1"/>
    <col min="7428" max="7428" width="9.140625" style="35" customWidth="1"/>
    <col min="7429" max="7430" width="10.7109375" style="35" customWidth="1"/>
    <col min="7431" max="7432" width="9.140625" style="35" customWidth="1"/>
    <col min="7433" max="7433" width="10.7109375" style="35" customWidth="1"/>
    <col min="7434" max="7435" width="9.140625" style="35" customWidth="1"/>
    <col min="7436" max="7436" width="10.7109375" style="35" customWidth="1"/>
    <col min="7437" max="7438" width="9.140625" style="35" customWidth="1"/>
    <col min="7439" max="7439" width="10.7109375" style="35" customWidth="1"/>
    <col min="7440" max="7441" width="9.140625" style="35" customWidth="1"/>
    <col min="7442" max="7442" width="10.57421875" style="35" customWidth="1"/>
    <col min="7443" max="7444" width="9.140625" style="35" customWidth="1"/>
    <col min="7445" max="7445" width="10.421875" style="35" customWidth="1"/>
    <col min="7446" max="7447" width="9.140625" style="35" customWidth="1"/>
    <col min="7448" max="7448" width="10.8515625" style="35" customWidth="1"/>
    <col min="7449" max="7449" width="11.28125" style="35" bestFit="1" customWidth="1"/>
    <col min="7450" max="7450" width="9.140625" style="35" customWidth="1"/>
    <col min="7451" max="7451" width="11.00390625" style="35" customWidth="1"/>
    <col min="7452" max="7680" width="9.140625" style="35" customWidth="1"/>
    <col min="7681" max="7681" width="3.57421875" style="35" customWidth="1"/>
    <col min="7682" max="7682" width="31.8515625" style="35" customWidth="1"/>
    <col min="7683" max="7683" width="11.57421875" style="35" customWidth="1"/>
    <col min="7684" max="7684" width="9.140625" style="35" customWidth="1"/>
    <col min="7685" max="7686" width="10.7109375" style="35" customWidth="1"/>
    <col min="7687" max="7688" width="9.140625" style="35" customWidth="1"/>
    <col min="7689" max="7689" width="10.7109375" style="35" customWidth="1"/>
    <col min="7690" max="7691" width="9.140625" style="35" customWidth="1"/>
    <col min="7692" max="7692" width="10.7109375" style="35" customWidth="1"/>
    <col min="7693" max="7694" width="9.140625" style="35" customWidth="1"/>
    <col min="7695" max="7695" width="10.7109375" style="35" customWidth="1"/>
    <col min="7696" max="7697" width="9.140625" style="35" customWidth="1"/>
    <col min="7698" max="7698" width="10.57421875" style="35" customWidth="1"/>
    <col min="7699" max="7700" width="9.140625" style="35" customWidth="1"/>
    <col min="7701" max="7701" width="10.421875" style="35" customWidth="1"/>
    <col min="7702" max="7703" width="9.140625" style="35" customWidth="1"/>
    <col min="7704" max="7704" width="10.8515625" style="35" customWidth="1"/>
    <col min="7705" max="7705" width="11.28125" style="35" bestFit="1" customWidth="1"/>
    <col min="7706" max="7706" width="9.140625" style="35" customWidth="1"/>
    <col min="7707" max="7707" width="11.00390625" style="35" customWidth="1"/>
    <col min="7708" max="7936" width="9.140625" style="35" customWidth="1"/>
    <col min="7937" max="7937" width="3.57421875" style="35" customWidth="1"/>
    <col min="7938" max="7938" width="31.8515625" style="35" customWidth="1"/>
    <col min="7939" max="7939" width="11.57421875" style="35" customWidth="1"/>
    <col min="7940" max="7940" width="9.140625" style="35" customWidth="1"/>
    <col min="7941" max="7942" width="10.7109375" style="35" customWidth="1"/>
    <col min="7943" max="7944" width="9.140625" style="35" customWidth="1"/>
    <col min="7945" max="7945" width="10.7109375" style="35" customWidth="1"/>
    <col min="7946" max="7947" width="9.140625" style="35" customWidth="1"/>
    <col min="7948" max="7948" width="10.7109375" style="35" customWidth="1"/>
    <col min="7949" max="7950" width="9.140625" style="35" customWidth="1"/>
    <col min="7951" max="7951" width="10.7109375" style="35" customWidth="1"/>
    <col min="7952" max="7953" width="9.140625" style="35" customWidth="1"/>
    <col min="7954" max="7954" width="10.57421875" style="35" customWidth="1"/>
    <col min="7955" max="7956" width="9.140625" style="35" customWidth="1"/>
    <col min="7957" max="7957" width="10.421875" style="35" customWidth="1"/>
    <col min="7958" max="7959" width="9.140625" style="35" customWidth="1"/>
    <col min="7960" max="7960" width="10.8515625" style="35" customWidth="1"/>
    <col min="7961" max="7961" width="11.28125" style="35" bestFit="1" customWidth="1"/>
    <col min="7962" max="7962" width="9.140625" style="35" customWidth="1"/>
    <col min="7963" max="7963" width="11.00390625" style="35" customWidth="1"/>
    <col min="7964" max="8192" width="9.140625" style="35" customWidth="1"/>
    <col min="8193" max="8193" width="3.57421875" style="35" customWidth="1"/>
    <col min="8194" max="8194" width="31.8515625" style="35" customWidth="1"/>
    <col min="8195" max="8195" width="11.57421875" style="35" customWidth="1"/>
    <col min="8196" max="8196" width="9.140625" style="35" customWidth="1"/>
    <col min="8197" max="8198" width="10.7109375" style="35" customWidth="1"/>
    <col min="8199" max="8200" width="9.140625" style="35" customWidth="1"/>
    <col min="8201" max="8201" width="10.7109375" style="35" customWidth="1"/>
    <col min="8202" max="8203" width="9.140625" style="35" customWidth="1"/>
    <col min="8204" max="8204" width="10.7109375" style="35" customWidth="1"/>
    <col min="8205" max="8206" width="9.140625" style="35" customWidth="1"/>
    <col min="8207" max="8207" width="10.7109375" style="35" customWidth="1"/>
    <col min="8208" max="8209" width="9.140625" style="35" customWidth="1"/>
    <col min="8210" max="8210" width="10.57421875" style="35" customWidth="1"/>
    <col min="8211" max="8212" width="9.140625" style="35" customWidth="1"/>
    <col min="8213" max="8213" width="10.421875" style="35" customWidth="1"/>
    <col min="8214" max="8215" width="9.140625" style="35" customWidth="1"/>
    <col min="8216" max="8216" width="10.8515625" style="35" customWidth="1"/>
    <col min="8217" max="8217" width="11.28125" style="35" bestFit="1" customWidth="1"/>
    <col min="8218" max="8218" width="9.140625" style="35" customWidth="1"/>
    <col min="8219" max="8219" width="11.00390625" style="35" customWidth="1"/>
    <col min="8220" max="8448" width="9.140625" style="35" customWidth="1"/>
    <col min="8449" max="8449" width="3.57421875" style="35" customWidth="1"/>
    <col min="8450" max="8450" width="31.8515625" style="35" customWidth="1"/>
    <col min="8451" max="8451" width="11.57421875" style="35" customWidth="1"/>
    <col min="8452" max="8452" width="9.140625" style="35" customWidth="1"/>
    <col min="8453" max="8454" width="10.7109375" style="35" customWidth="1"/>
    <col min="8455" max="8456" width="9.140625" style="35" customWidth="1"/>
    <col min="8457" max="8457" width="10.7109375" style="35" customWidth="1"/>
    <col min="8458" max="8459" width="9.140625" style="35" customWidth="1"/>
    <col min="8460" max="8460" width="10.7109375" style="35" customWidth="1"/>
    <col min="8461" max="8462" width="9.140625" style="35" customWidth="1"/>
    <col min="8463" max="8463" width="10.7109375" style="35" customWidth="1"/>
    <col min="8464" max="8465" width="9.140625" style="35" customWidth="1"/>
    <col min="8466" max="8466" width="10.57421875" style="35" customWidth="1"/>
    <col min="8467" max="8468" width="9.140625" style="35" customWidth="1"/>
    <col min="8469" max="8469" width="10.421875" style="35" customWidth="1"/>
    <col min="8470" max="8471" width="9.140625" style="35" customWidth="1"/>
    <col min="8472" max="8472" width="10.8515625" style="35" customWidth="1"/>
    <col min="8473" max="8473" width="11.28125" style="35" bestFit="1" customWidth="1"/>
    <col min="8474" max="8474" width="9.140625" style="35" customWidth="1"/>
    <col min="8475" max="8475" width="11.00390625" style="35" customWidth="1"/>
    <col min="8476" max="8704" width="9.140625" style="35" customWidth="1"/>
    <col min="8705" max="8705" width="3.57421875" style="35" customWidth="1"/>
    <col min="8706" max="8706" width="31.8515625" style="35" customWidth="1"/>
    <col min="8707" max="8707" width="11.57421875" style="35" customWidth="1"/>
    <col min="8708" max="8708" width="9.140625" style="35" customWidth="1"/>
    <col min="8709" max="8710" width="10.7109375" style="35" customWidth="1"/>
    <col min="8711" max="8712" width="9.140625" style="35" customWidth="1"/>
    <col min="8713" max="8713" width="10.7109375" style="35" customWidth="1"/>
    <col min="8714" max="8715" width="9.140625" style="35" customWidth="1"/>
    <col min="8716" max="8716" width="10.7109375" style="35" customWidth="1"/>
    <col min="8717" max="8718" width="9.140625" style="35" customWidth="1"/>
    <col min="8719" max="8719" width="10.7109375" style="35" customWidth="1"/>
    <col min="8720" max="8721" width="9.140625" style="35" customWidth="1"/>
    <col min="8722" max="8722" width="10.57421875" style="35" customWidth="1"/>
    <col min="8723" max="8724" width="9.140625" style="35" customWidth="1"/>
    <col min="8725" max="8725" width="10.421875" style="35" customWidth="1"/>
    <col min="8726" max="8727" width="9.140625" style="35" customWidth="1"/>
    <col min="8728" max="8728" width="10.8515625" style="35" customWidth="1"/>
    <col min="8729" max="8729" width="11.28125" style="35" bestFit="1" customWidth="1"/>
    <col min="8730" max="8730" width="9.140625" style="35" customWidth="1"/>
    <col min="8731" max="8731" width="11.00390625" style="35" customWidth="1"/>
    <col min="8732" max="8960" width="9.140625" style="35" customWidth="1"/>
    <col min="8961" max="8961" width="3.57421875" style="35" customWidth="1"/>
    <col min="8962" max="8962" width="31.8515625" style="35" customWidth="1"/>
    <col min="8963" max="8963" width="11.57421875" style="35" customWidth="1"/>
    <col min="8964" max="8964" width="9.140625" style="35" customWidth="1"/>
    <col min="8965" max="8966" width="10.7109375" style="35" customWidth="1"/>
    <col min="8967" max="8968" width="9.140625" style="35" customWidth="1"/>
    <col min="8969" max="8969" width="10.7109375" style="35" customWidth="1"/>
    <col min="8970" max="8971" width="9.140625" style="35" customWidth="1"/>
    <col min="8972" max="8972" width="10.7109375" style="35" customWidth="1"/>
    <col min="8973" max="8974" width="9.140625" style="35" customWidth="1"/>
    <col min="8975" max="8975" width="10.7109375" style="35" customWidth="1"/>
    <col min="8976" max="8977" width="9.140625" style="35" customWidth="1"/>
    <col min="8978" max="8978" width="10.57421875" style="35" customWidth="1"/>
    <col min="8979" max="8980" width="9.140625" style="35" customWidth="1"/>
    <col min="8981" max="8981" width="10.421875" style="35" customWidth="1"/>
    <col min="8982" max="8983" width="9.140625" style="35" customWidth="1"/>
    <col min="8984" max="8984" width="10.8515625" style="35" customWidth="1"/>
    <col min="8985" max="8985" width="11.28125" style="35" bestFit="1" customWidth="1"/>
    <col min="8986" max="8986" width="9.140625" style="35" customWidth="1"/>
    <col min="8987" max="8987" width="11.00390625" style="35" customWidth="1"/>
    <col min="8988" max="9216" width="9.140625" style="35" customWidth="1"/>
    <col min="9217" max="9217" width="3.57421875" style="35" customWidth="1"/>
    <col min="9218" max="9218" width="31.8515625" style="35" customWidth="1"/>
    <col min="9219" max="9219" width="11.57421875" style="35" customWidth="1"/>
    <col min="9220" max="9220" width="9.140625" style="35" customWidth="1"/>
    <col min="9221" max="9222" width="10.7109375" style="35" customWidth="1"/>
    <col min="9223" max="9224" width="9.140625" style="35" customWidth="1"/>
    <col min="9225" max="9225" width="10.7109375" style="35" customWidth="1"/>
    <col min="9226" max="9227" width="9.140625" style="35" customWidth="1"/>
    <col min="9228" max="9228" width="10.7109375" style="35" customWidth="1"/>
    <col min="9229" max="9230" width="9.140625" style="35" customWidth="1"/>
    <col min="9231" max="9231" width="10.7109375" style="35" customWidth="1"/>
    <col min="9232" max="9233" width="9.140625" style="35" customWidth="1"/>
    <col min="9234" max="9234" width="10.57421875" style="35" customWidth="1"/>
    <col min="9235" max="9236" width="9.140625" style="35" customWidth="1"/>
    <col min="9237" max="9237" width="10.421875" style="35" customWidth="1"/>
    <col min="9238" max="9239" width="9.140625" style="35" customWidth="1"/>
    <col min="9240" max="9240" width="10.8515625" style="35" customWidth="1"/>
    <col min="9241" max="9241" width="11.28125" style="35" bestFit="1" customWidth="1"/>
    <col min="9242" max="9242" width="9.140625" style="35" customWidth="1"/>
    <col min="9243" max="9243" width="11.00390625" style="35" customWidth="1"/>
    <col min="9244" max="9472" width="9.140625" style="35" customWidth="1"/>
    <col min="9473" max="9473" width="3.57421875" style="35" customWidth="1"/>
    <col min="9474" max="9474" width="31.8515625" style="35" customWidth="1"/>
    <col min="9475" max="9475" width="11.57421875" style="35" customWidth="1"/>
    <col min="9476" max="9476" width="9.140625" style="35" customWidth="1"/>
    <col min="9477" max="9478" width="10.7109375" style="35" customWidth="1"/>
    <col min="9479" max="9480" width="9.140625" style="35" customWidth="1"/>
    <col min="9481" max="9481" width="10.7109375" style="35" customWidth="1"/>
    <col min="9482" max="9483" width="9.140625" style="35" customWidth="1"/>
    <col min="9484" max="9484" width="10.7109375" style="35" customWidth="1"/>
    <col min="9485" max="9486" width="9.140625" style="35" customWidth="1"/>
    <col min="9487" max="9487" width="10.7109375" style="35" customWidth="1"/>
    <col min="9488" max="9489" width="9.140625" style="35" customWidth="1"/>
    <col min="9490" max="9490" width="10.57421875" style="35" customWidth="1"/>
    <col min="9491" max="9492" width="9.140625" style="35" customWidth="1"/>
    <col min="9493" max="9493" width="10.421875" style="35" customWidth="1"/>
    <col min="9494" max="9495" width="9.140625" style="35" customWidth="1"/>
    <col min="9496" max="9496" width="10.8515625" style="35" customWidth="1"/>
    <col min="9497" max="9497" width="11.28125" style="35" bestFit="1" customWidth="1"/>
    <col min="9498" max="9498" width="9.140625" style="35" customWidth="1"/>
    <col min="9499" max="9499" width="11.00390625" style="35" customWidth="1"/>
    <col min="9500" max="9728" width="9.140625" style="35" customWidth="1"/>
    <col min="9729" max="9729" width="3.57421875" style="35" customWidth="1"/>
    <col min="9730" max="9730" width="31.8515625" style="35" customWidth="1"/>
    <col min="9731" max="9731" width="11.57421875" style="35" customWidth="1"/>
    <col min="9732" max="9732" width="9.140625" style="35" customWidth="1"/>
    <col min="9733" max="9734" width="10.7109375" style="35" customWidth="1"/>
    <col min="9735" max="9736" width="9.140625" style="35" customWidth="1"/>
    <col min="9737" max="9737" width="10.7109375" style="35" customWidth="1"/>
    <col min="9738" max="9739" width="9.140625" style="35" customWidth="1"/>
    <col min="9740" max="9740" width="10.7109375" style="35" customWidth="1"/>
    <col min="9741" max="9742" width="9.140625" style="35" customWidth="1"/>
    <col min="9743" max="9743" width="10.7109375" style="35" customWidth="1"/>
    <col min="9744" max="9745" width="9.140625" style="35" customWidth="1"/>
    <col min="9746" max="9746" width="10.57421875" style="35" customWidth="1"/>
    <col min="9747" max="9748" width="9.140625" style="35" customWidth="1"/>
    <col min="9749" max="9749" width="10.421875" style="35" customWidth="1"/>
    <col min="9750" max="9751" width="9.140625" style="35" customWidth="1"/>
    <col min="9752" max="9752" width="10.8515625" style="35" customWidth="1"/>
    <col min="9753" max="9753" width="11.28125" style="35" bestFit="1" customWidth="1"/>
    <col min="9754" max="9754" width="9.140625" style="35" customWidth="1"/>
    <col min="9755" max="9755" width="11.00390625" style="35" customWidth="1"/>
    <col min="9756" max="9984" width="9.140625" style="35" customWidth="1"/>
    <col min="9985" max="9985" width="3.57421875" style="35" customWidth="1"/>
    <col min="9986" max="9986" width="31.8515625" style="35" customWidth="1"/>
    <col min="9987" max="9987" width="11.57421875" style="35" customWidth="1"/>
    <col min="9988" max="9988" width="9.140625" style="35" customWidth="1"/>
    <col min="9989" max="9990" width="10.7109375" style="35" customWidth="1"/>
    <col min="9991" max="9992" width="9.140625" style="35" customWidth="1"/>
    <col min="9993" max="9993" width="10.7109375" style="35" customWidth="1"/>
    <col min="9994" max="9995" width="9.140625" style="35" customWidth="1"/>
    <col min="9996" max="9996" width="10.7109375" style="35" customWidth="1"/>
    <col min="9997" max="9998" width="9.140625" style="35" customWidth="1"/>
    <col min="9999" max="9999" width="10.7109375" style="35" customWidth="1"/>
    <col min="10000" max="10001" width="9.140625" style="35" customWidth="1"/>
    <col min="10002" max="10002" width="10.57421875" style="35" customWidth="1"/>
    <col min="10003" max="10004" width="9.140625" style="35" customWidth="1"/>
    <col min="10005" max="10005" width="10.421875" style="35" customWidth="1"/>
    <col min="10006" max="10007" width="9.140625" style="35" customWidth="1"/>
    <col min="10008" max="10008" width="10.8515625" style="35" customWidth="1"/>
    <col min="10009" max="10009" width="11.28125" style="35" bestFit="1" customWidth="1"/>
    <col min="10010" max="10010" width="9.140625" style="35" customWidth="1"/>
    <col min="10011" max="10011" width="11.00390625" style="35" customWidth="1"/>
    <col min="10012" max="10240" width="9.140625" style="35" customWidth="1"/>
    <col min="10241" max="10241" width="3.57421875" style="35" customWidth="1"/>
    <col min="10242" max="10242" width="31.8515625" style="35" customWidth="1"/>
    <col min="10243" max="10243" width="11.57421875" style="35" customWidth="1"/>
    <col min="10244" max="10244" width="9.140625" style="35" customWidth="1"/>
    <col min="10245" max="10246" width="10.7109375" style="35" customWidth="1"/>
    <col min="10247" max="10248" width="9.140625" style="35" customWidth="1"/>
    <col min="10249" max="10249" width="10.7109375" style="35" customWidth="1"/>
    <col min="10250" max="10251" width="9.140625" style="35" customWidth="1"/>
    <col min="10252" max="10252" width="10.7109375" style="35" customWidth="1"/>
    <col min="10253" max="10254" width="9.140625" style="35" customWidth="1"/>
    <col min="10255" max="10255" width="10.7109375" style="35" customWidth="1"/>
    <col min="10256" max="10257" width="9.140625" style="35" customWidth="1"/>
    <col min="10258" max="10258" width="10.57421875" style="35" customWidth="1"/>
    <col min="10259" max="10260" width="9.140625" style="35" customWidth="1"/>
    <col min="10261" max="10261" width="10.421875" style="35" customWidth="1"/>
    <col min="10262" max="10263" width="9.140625" style="35" customWidth="1"/>
    <col min="10264" max="10264" width="10.8515625" style="35" customWidth="1"/>
    <col min="10265" max="10265" width="11.28125" style="35" bestFit="1" customWidth="1"/>
    <col min="10266" max="10266" width="9.140625" style="35" customWidth="1"/>
    <col min="10267" max="10267" width="11.00390625" style="35" customWidth="1"/>
    <col min="10268" max="10496" width="9.140625" style="35" customWidth="1"/>
    <col min="10497" max="10497" width="3.57421875" style="35" customWidth="1"/>
    <col min="10498" max="10498" width="31.8515625" style="35" customWidth="1"/>
    <col min="10499" max="10499" width="11.57421875" style="35" customWidth="1"/>
    <col min="10500" max="10500" width="9.140625" style="35" customWidth="1"/>
    <col min="10501" max="10502" width="10.7109375" style="35" customWidth="1"/>
    <col min="10503" max="10504" width="9.140625" style="35" customWidth="1"/>
    <col min="10505" max="10505" width="10.7109375" style="35" customWidth="1"/>
    <col min="10506" max="10507" width="9.140625" style="35" customWidth="1"/>
    <col min="10508" max="10508" width="10.7109375" style="35" customWidth="1"/>
    <col min="10509" max="10510" width="9.140625" style="35" customWidth="1"/>
    <col min="10511" max="10511" width="10.7109375" style="35" customWidth="1"/>
    <col min="10512" max="10513" width="9.140625" style="35" customWidth="1"/>
    <col min="10514" max="10514" width="10.57421875" style="35" customWidth="1"/>
    <col min="10515" max="10516" width="9.140625" style="35" customWidth="1"/>
    <col min="10517" max="10517" width="10.421875" style="35" customWidth="1"/>
    <col min="10518" max="10519" width="9.140625" style="35" customWidth="1"/>
    <col min="10520" max="10520" width="10.8515625" style="35" customWidth="1"/>
    <col min="10521" max="10521" width="11.28125" style="35" bestFit="1" customWidth="1"/>
    <col min="10522" max="10522" width="9.140625" style="35" customWidth="1"/>
    <col min="10523" max="10523" width="11.00390625" style="35" customWidth="1"/>
    <col min="10524" max="10752" width="9.140625" style="35" customWidth="1"/>
    <col min="10753" max="10753" width="3.57421875" style="35" customWidth="1"/>
    <col min="10754" max="10754" width="31.8515625" style="35" customWidth="1"/>
    <col min="10755" max="10755" width="11.57421875" style="35" customWidth="1"/>
    <col min="10756" max="10756" width="9.140625" style="35" customWidth="1"/>
    <col min="10757" max="10758" width="10.7109375" style="35" customWidth="1"/>
    <col min="10759" max="10760" width="9.140625" style="35" customWidth="1"/>
    <col min="10761" max="10761" width="10.7109375" style="35" customWidth="1"/>
    <col min="10762" max="10763" width="9.140625" style="35" customWidth="1"/>
    <col min="10764" max="10764" width="10.7109375" style="35" customWidth="1"/>
    <col min="10765" max="10766" width="9.140625" style="35" customWidth="1"/>
    <col min="10767" max="10767" width="10.7109375" style="35" customWidth="1"/>
    <col min="10768" max="10769" width="9.140625" style="35" customWidth="1"/>
    <col min="10770" max="10770" width="10.57421875" style="35" customWidth="1"/>
    <col min="10771" max="10772" width="9.140625" style="35" customWidth="1"/>
    <col min="10773" max="10773" width="10.421875" style="35" customWidth="1"/>
    <col min="10774" max="10775" width="9.140625" style="35" customWidth="1"/>
    <col min="10776" max="10776" width="10.8515625" style="35" customWidth="1"/>
    <col min="10777" max="10777" width="11.28125" style="35" bestFit="1" customWidth="1"/>
    <col min="10778" max="10778" width="9.140625" style="35" customWidth="1"/>
    <col min="10779" max="10779" width="11.00390625" style="35" customWidth="1"/>
    <col min="10780" max="11008" width="9.140625" style="35" customWidth="1"/>
    <col min="11009" max="11009" width="3.57421875" style="35" customWidth="1"/>
    <col min="11010" max="11010" width="31.8515625" style="35" customWidth="1"/>
    <col min="11011" max="11011" width="11.57421875" style="35" customWidth="1"/>
    <col min="11012" max="11012" width="9.140625" style="35" customWidth="1"/>
    <col min="11013" max="11014" width="10.7109375" style="35" customWidth="1"/>
    <col min="11015" max="11016" width="9.140625" style="35" customWidth="1"/>
    <col min="11017" max="11017" width="10.7109375" style="35" customWidth="1"/>
    <col min="11018" max="11019" width="9.140625" style="35" customWidth="1"/>
    <col min="11020" max="11020" width="10.7109375" style="35" customWidth="1"/>
    <col min="11021" max="11022" width="9.140625" style="35" customWidth="1"/>
    <col min="11023" max="11023" width="10.7109375" style="35" customWidth="1"/>
    <col min="11024" max="11025" width="9.140625" style="35" customWidth="1"/>
    <col min="11026" max="11026" width="10.57421875" style="35" customWidth="1"/>
    <col min="11027" max="11028" width="9.140625" style="35" customWidth="1"/>
    <col min="11029" max="11029" width="10.421875" style="35" customWidth="1"/>
    <col min="11030" max="11031" width="9.140625" style="35" customWidth="1"/>
    <col min="11032" max="11032" width="10.8515625" style="35" customWidth="1"/>
    <col min="11033" max="11033" width="11.28125" style="35" bestFit="1" customWidth="1"/>
    <col min="11034" max="11034" width="9.140625" style="35" customWidth="1"/>
    <col min="11035" max="11035" width="11.00390625" style="35" customWidth="1"/>
    <col min="11036" max="11264" width="9.140625" style="35" customWidth="1"/>
    <col min="11265" max="11265" width="3.57421875" style="35" customWidth="1"/>
    <col min="11266" max="11266" width="31.8515625" style="35" customWidth="1"/>
    <col min="11267" max="11267" width="11.57421875" style="35" customWidth="1"/>
    <col min="11268" max="11268" width="9.140625" style="35" customWidth="1"/>
    <col min="11269" max="11270" width="10.7109375" style="35" customWidth="1"/>
    <col min="11271" max="11272" width="9.140625" style="35" customWidth="1"/>
    <col min="11273" max="11273" width="10.7109375" style="35" customWidth="1"/>
    <col min="11274" max="11275" width="9.140625" style="35" customWidth="1"/>
    <col min="11276" max="11276" width="10.7109375" style="35" customWidth="1"/>
    <col min="11277" max="11278" width="9.140625" style="35" customWidth="1"/>
    <col min="11279" max="11279" width="10.7109375" style="35" customWidth="1"/>
    <col min="11280" max="11281" width="9.140625" style="35" customWidth="1"/>
    <col min="11282" max="11282" width="10.57421875" style="35" customWidth="1"/>
    <col min="11283" max="11284" width="9.140625" style="35" customWidth="1"/>
    <col min="11285" max="11285" width="10.421875" style="35" customWidth="1"/>
    <col min="11286" max="11287" width="9.140625" style="35" customWidth="1"/>
    <col min="11288" max="11288" width="10.8515625" style="35" customWidth="1"/>
    <col min="11289" max="11289" width="11.28125" style="35" bestFit="1" customWidth="1"/>
    <col min="11290" max="11290" width="9.140625" style="35" customWidth="1"/>
    <col min="11291" max="11291" width="11.00390625" style="35" customWidth="1"/>
    <col min="11292" max="11520" width="9.140625" style="35" customWidth="1"/>
    <col min="11521" max="11521" width="3.57421875" style="35" customWidth="1"/>
    <col min="11522" max="11522" width="31.8515625" style="35" customWidth="1"/>
    <col min="11523" max="11523" width="11.57421875" style="35" customWidth="1"/>
    <col min="11524" max="11524" width="9.140625" style="35" customWidth="1"/>
    <col min="11525" max="11526" width="10.7109375" style="35" customWidth="1"/>
    <col min="11527" max="11528" width="9.140625" style="35" customWidth="1"/>
    <col min="11529" max="11529" width="10.7109375" style="35" customWidth="1"/>
    <col min="11530" max="11531" width="9.140625" style="35" customWidth="1"/>
    <col min="11532" max="11532" width="10.7109375" style="35" customWidth="1"/>
    <col min="11533" max="11534" width="9.140625" style="35" customWidth="1"/>
    <col min="11535" max="11535" width="10.7109375" style="35" customWidth="1"/>
    <col min="11536" max="11537" width="9.140625" style="35" customWidth="1"/>
    <col min="11538" max="11538" width="10.57421875" style="35" customWidth="1"/>
    <col min="11539" max="11540" width="9.140625" style="35" customWidth="1"/>
    <col min="11541" max="11541" width="10.421875" style="35" customWidth="1"/>
    <col min="11542" max="11543" width="9.140625" style="35" customWidth="1"/>
    <col min="11544" max="11544" width="10.8515625" style="35" customWidth="1"/>
    <col min="11545" max="11545" width="11.28125" style="35" bestFit="1" customWidth="1"/>
    <col min="11546" max="11546" width="9.140625" style="35" customWidth="1"/>
    <col min="11547" max="11547" width="11.00390625" style="35" customWidth="1"/>
    <col min="11548" max="11776" width="9.140625" style="35" customWidth="1"/>
    <col min="11777" max="11777" width="3.57421875" style="35" customWidth="1"/>
    <col min="11778" max="11778" width="31.8515625" style="35" customWidth="1"/>
    <col min="11779" max="11779" width="11.57421875" style="35" customWidth="1"/>
    <col min="11780" max="11780" width="9.140625" style="35" customWidth="1"/>
    <col min="11781" max="11782" width="10.7109375" style="35" customWidth="1"/>
    <col min="11783" max="11784" width="9.140625" style="35" customWidth="1"/>
    <col min="11785" max="11785" width="10.7109375" style="35" customWidth="1"/>
    <col min="11786" max="11787" width="9.140625" style="35" customWidth="1"/>
    <col min="11788" max="11788" width="10.7109375" style="35" customWidth="1"/>
    <col min="11789" max="11790" width="9.140625" style="35" customWidth="1"/>
    <col min="11791" max="11791" width="10.7109375" style="35" customWidth="1"/>
    <col min="11792" max="11793" width="9.140625" style="35" customWidth="1"/>
    <col min="11794" max="11794" width="10.57421875" style="35" customWidth="1"/>
    <col min="11795" max="11796" width="9.140625" style="35" customWidth="1"/>
    <col min="11797" max="11797" width="10.421875" style="35" customWidth="1"/>
    <col min="11798" max="11799" width="9.140625" style="35" customWidth="1"/>
    <col min="11800" max="11800" width="10.8515625" style="35" customWidth="1"/>
    <col min="11801" max="11801" width="11.28125" style="35" bestFit="1" customWidth="1"/>
    <col min="11802" max="11802" width="9.140625" style="35" customWidth="1"/>
    <col min="11803" max="11803" width="11.00390625" style="35" customWidth="1"/>
    <col min="11804" max="12032" width="9.140625" style="35" customWidth="1"/>
    <col min="12033" max="12033" width="3.57421875" style="35" customWidth="1"/>
    <col min="12034" max="12034" width="31.8515625" style="35" customWidth="1"/>
    <col min="12035" max="12035" width="11.57421875" style="35" customWidth="1"/>
    <col min="12036" max="12036" width="9.140625" style="35" customWidth="1"/>
    <col min="12037" max="12038" width="10.7109375" style="35" customWidth="1"/>
    <col min="12039" max="12040" width="9.140625" style="35" customWidth="1"/>
    <col min="12041" max="12041" width="10.7109375" style="35" customWidth="1"/>
    <col min="12042" max="12043" width="9.140625" style="35" customWidth="1"/>
    <col min="12044" max="12044" width="10.7109375" style="35" customWidth="1"/>
    <col min="12045" max="12046" width="9.140625" style="35" customWidth="1"/>
    <col min="12047" max="12047" width="10.7109375" style="35" customWidth="1"/>
    <col min="12048" max="12049" width="9.140625" style="35" customWidth="1"/>
    <col min="12050" max="12050" width="10.57421875" style="35" customWidth="1"/>
    <col min="12051" max="12052" width="9.140625" style="35" customWidth="1"/>
    <col min="12053" max="12053" width="10.421875" style="35" customWidth="1"/>
    <col min="12054" max="12055" width="9.140625" style="35" customWidth="1"/>
    <col min="12056" max="12056" width="10.8515625" style="35" customWidth="1"/>
    <col min="12057" max="12057" width="11.28125" style="35" bestFit="1" customWidth="1"/>
    <col min="12058" max="12058" width="9.140625" style="35" customWidth="1"/>
    <col min="12059" max="12059" width="11.00390625" style="35" customWidth="1"/>
    <col min="12060" max="12288" width="9.140625" style="35" customWidth="1"/>
    <col min="12289" max="12289" width="3.57421875" style="35" customWidth="1"/>
    <col min="12290" max="12290" width="31.8515625" style="35" customWidth="1"/>
    <col min="12291" max="12291" width="11.57421875" style="35" customWidth="1"/>
    <col min="12292" max="12292" width="9.140625" style="35" customWidth="1"/>
    <col min="12293" max="12294" width="10.7109375" style="35" customWidth="1"/>
    <col min="12295" max="12296" width="9.140625" style="35" customWidth="1"/>
    <col min="12297" max="12297" width="10.7109375" style="35" customWidth="1"/>
    <col min="12298" max="12299" width="9.140625" style="35" customWidth="1"/>
    <col min="12300" max="12300" width="10.7109375" style="35" customWidth="1"/>
    <col min="12301" max="12302" width="9.140625" style="35" customWidth="1"/>
    <col min="12303" max="12303" width="10.7109375" style="35" customWidth="1"/>
    <col min="12304" max="12305" width="9.140625" style="35" customWidth="1"/>
    <col min="12306" max="12306" width="10.57421875" style="35" customWidth="1"/>
    <col min="12307" max="12308" width="9.140625" style="35" customWidth="1"/>
    <col min="12309" max="12309" width="10.421875" style="35" customWidth="1"/>
    <col min="12310" max="12311" width="9.140625" style="35" customWidth="1"/>
    <col min="12312" max="12312" width="10.8515625" style="35" customWidth="1"/>
    <col min="12313" max="12313" width="11.28125" style="35" bestFit="1" customWidth="1"/>
    <col min="12314" max="12314" width="9.140625" style="35" customWidth="1"/>
    <col min="12315" max="12315" width="11.00390625" style="35" customWidth="1"/>
    <col min="12316" max="12544" width="9.140625" style="35" customWidth="1"/>
    <col min="12545" max="12545" width="3.57421875" style="35" customWidth="1"/>
    <col min="12546" max="12546" width="31.8515625" style="35" customWidth="1"/>
    <col min="12547" max="12547" width="11.57421875" style="35" customWidth="1"/>
    <col min="12548" max="12548" width="9.140625" style="35" customWidth="1"/>
    <col min="12549" max="12550" width="10.7109375" style="35" customWidth="1"/>
    <col min="12551" max="12552" width="9.140625" style="35" customWidth="1"/>
    <col min="12553" max="12553" width="10.7109375" style="35" customWidth="1"/>
    <col min="12554" max="12555" width="9.140625" style="35" customWidth="1"/>
    <col min="12556" max="12556" width="10.7109375" style="35" customWidth="1"/>
    <col min="12557" max="12558" width="9.140625" style="35" customWidth="1"/>
    <col min="12559" max="12559" width="10.7109375" style="35" customWidth="1"/>
    <col min="12560" max="12561" width="9.140625" style="35" customWidth="1"/>
    <col min="12562" max="12562" width="10.57421875" style="35" customWidth="1"/>
    <col min="12563" max="12564" width="9.140625" style="35" customWidth="1"/>
    <col min="12565" max="12565" width="10.421875" style="35" customWidth="1"/>
    <col min="12566" max="12567" width="9.140625" style="35" customWidth="1"/>
    <col min="12568" max="12568" width="10.8515625" style="35" customWidth="1"/>
    <col min="12569" max="12569" width="11.28125" style="35" bestFit="1" customWidth="1"/>
    <col min="12570" max="12570" width="9.140625" style="35" customWidth="1"/>
    <col min="12571" max="12571" width="11.00390625" style="35" customWidth="1"/>
    <col min="12572" max="12800" width="9.140625" style="35" customWidth="1"/>
    <col min="12801" max="12801" width="3.57421875" style="35" customWidth="1"/>
    <col min="12802" max="12802" width="31.8515625" style="35" customWidth="1"/>
    <col min="12803" max="12803" width="11.57421875" style="35" customWidth="1"/>
    <col min="12804" max="12804" width="9.140625" style="35" customWidth="1"/>
    <col min="12805" max="12806" width="10.7109375" style="35" customWidth="1"/>
    <col min="12807" max="12808" width="9.140625" style="35" customWidth="1"/>
    <col min="12809" max="12809" width="10.7109375" style="35" customWidth="1"/>
    <col min="12810" max="12811" width="9.140625" style="35" customWidth="1"/>
    <col min="12812" max="12812" width="10.7109375" style="35" customWidth="1"/>
    <col min="12813" max="12814" width="9.140625" style="35" customWidth="1"/>
    <col min="12815" max="12815" width="10.7109375" style="35" customWidth="1"/>
    <col min="12816" max="12817" width="9.140625" style="35" customWidth="1"/>
    <col min="12818" max="12818" width="10.57421875" style="35" customWidth="1"/>
    <col min="12819" max="12820" width="9.140625" style="35" customWidth="1"/>
    <col min="12821" max="12821" width="10.421875" style="35" customWidth="1"/>
    <col min="12822" max="12823" width="9.140625" style="35" customWidth="1"/>
    <col min="12824" max="12824" width="10.8515625" style="35" customWidth="1"/>
    <col min="12825" max="12825" width="11.28125" style="35" bestFit="1" customWidth="1"/>
    <col min="12826" max="12826" width="9.140625" style="35" customWidth="1"/>
    <col min="12827" max="12827" width="11.00390625" style="35" customWidth="1"/>
    <col min="12828" max="13056" width="9.140625" style="35" customWidth="1"/>
    <col min="13057" max="13057" width="3.57421875" style="35" customWidth="1"/>
    <col min="13058" max="13058" width="31.8515625" style="35" customWidth="1"/>
    <col min="13059" max="13059" width="11.57421875" style="35" customWidth="1"/>
    <col min="13060" max="13060" width="9.140625" style="35" customWidth="1"/>
    <col min="13061" max="13062" width="10.7109375" style="35" customWidth="1"/>
    <col min="13063" max="13064" width="9.140625" style="35" customWidth="1"/>
    <col min="13065" max="13065" width="10.7109375" style="35" customWidth="1"/>
    <col min="13066" max="13067" width="9.140625" style="35" customWidth="1"/>
    <col min="13068" max="13068" width="10.7109375" style="35" customWidth="1"/>
    <col min="13069" max="13070" width="9.140625" style="35" customWidth="1"/>
    <col min="13071" max="13071" width="10.7109375" style="35" customWidth="1"/>
    <col min="13072" max="13073" width="9.140625" style="35" customWidth="1"/>
    <col min="13074" max="13074" width="10.57421875" style="35" customWidth="1"/>
    <col min="13075" max="13076" width="9.140625" style="35" customWidth="1"/>
    <col min="13077" max="13077" width="10.421875" style="35" customWidth="1"/>
    <col min="13078" max="13079" width="9.140625" style="35" customWidth="1"/>
    <col min="13080" max="13080" width="10.8515625" style="35" customWidth="1"/>
    <col min="13081" max="13081" width="11.28125" style="35" bestFit="1" customWidth="1"/>
    <col min="13082" max="13082" width="9.140625" style="35" customWidth="1"/>
    <col min="13083" max="13083" width="11.00390625" style="35" customWidth="1"/>
    <col min="13084" max="13312" width="9.140625" style="35" customWidth="1"/>
    <col min="13313" max="13313" width="3.57421875" style="35" customWidth="1"/>
    <col min="13314" max="13314" width="31.8515625" style="35" customWidth="1"/>
    <col min="13315" max="13315" width="11.57421875" style="35" customWidth="1"/>
    <col min="13316" max="13316" width="9.140625" style="35" customWidth="1"/>
    <col min="13317" max="13318" width="10.7109375" style="35" customWidth="1"/>
    <col min="13319" max="13320" width="9.140625" style="35" customWidth="1"/>
    <col min="13321" max="13321" width="10.7109375" style="35" customWidth="1"/>
    <col min="13322" max="13323" width="9.140625" style="35" customWidth="1"/>
    <col min="13324" max="13324" width="10.7109375" style="35" customWidth="1"/>
    <col min="13325" max="13326" width="9.140625" style="35" customWidth="1"/>
    <col min="13327" max="13327" width="10.7109375" style="35" customWidth="1"/>
    <col min="13328" max="13329" width="9.140625" style="35" customWidth="1"/>
    <col min="13330" max="13330" width="10.57421875" style="35" customWidth="1"/>
    <col min="13331" max="13332" width="9.140625" style="35" customWidth="1"/>
    <col min="13333" max="13333" width="10.421875" style="35" customWidth="1"/>
    <col min="13334" max="13335" width="9.140625" style="35" customWidth="1"/>
    <col min="13336" max="13336" width="10.8515625" style="35" customWidth="1"/>
    <col min="13337" max="13337" width="11.28125" style="35" bestFit="1" customWidth="1"/>
    <col min="13338" max="13338" width="9.140625" style="35" customWidth="1"/>
    <col min="13339" max="13339" width="11.00390625" style="35" customWidth="1"/>
    <col min="13340" max="13568" width="9.140625" style="35" customWidth="1"/>
    <col min="13569" max="13569" width="3.57421875" style="35" customWidth="1"/>
    <col min="13570" max="13570" width="31.8515625" style="35" customWidth="1"/>
    <col min="13571" max="13571" width="11.57421875" style="35" customWidth="1"/>
    <col min="13572" max="13572" width="9.140625" style="35" customWidth="1"/>
    <col min="13573" max="13574" width="10.7109375" style="35" customWidth="1"/>
    <col min="13575" max="13576" width="9.140625" style="35" customWidth="1"/>
    <col min="13577" max="13577" width="10.7109375" style="35" customWidth="1"/>
    <col min="13578" max="13579" width="9.140625" style="35" customWidth="1"/>
    <col min="13580" max="13580" width="10.7109375" style="35" customWidth="1"/>
    <col min="13581" max="13582" width="9.140625" style="35" customWidth="1"/>
    <col min="13583" max="13583" width="10.7109375" style="35" customWidth="1"/>
    <col min="13584" max="13585" width="9.140625" style="35" customWidth="1"/>
    <col min="13586" max="13586" width="10.57421875" style="35" customWidth="1"/>
    <col min="13587" max="13588" width="9.140625" style="35" customWidth="1"/>
    <col min="13589" max="13589" width="10.421875" style="35" customWidth="1"/>
    <col min="13590" max="13591" width="9.140625" style="35" customWidth="1"/>
    <col min="13592" max="13592" width="10.8515625" style="35" customWidth="1"/>
    <col min="13593" max="13593" width="11.28125" style="35" bestFit="1" customWidth="1"/>
    <col min="13594" max="13594" width="9.140625" style="35" customWidth="1"/>
    <col min="13595" max="13595" width="11.00390625" style="35" customWidth="1"/>
    <col min="13596" max="13824" width="9.140625" style="35" customWidth="1"/>
    <col min="13825" max="13825" width="3.57421875" style="35" customWidth="1"/>
    <col min="13826" max="13826" width="31.8515625" style="35" customWidth="1"/>
    <col min="13827" max="13827" width="11.57421875" style="35" customWidth="1"/>
    <col min="13828" max="13828" width="9.140625" style="35" customWidth="1"/>
    <col min="13829" max="13830" width="10.7109375" style="35" customWidth="1"/>
    <col min="13831" max="13832" width="9.140625" style="35" customWidth="1"/>
    <col min="13833" max="13833" width="10.7109375" style="35" customWidth="1"/>
    <col min="13834" max="13835" width="9.140625" style="35" customWidth="1"/>
    <col min="13836" max="13836" width="10.7109375" style="35" customWidth="1"/>
    <col min="13837" max="13838" width="9.140625" style="35" customWidth="1"/>
    <col min="13839" max="13839" width="10.7109375" style="35" customWidth="1"/>
    <col min="13840" max="13841" width="9.140625" style="35" customWidth="1"/>
    <col min="13842" max="13842" width="10.57421875" style="35" customWidth="1"/>
    <col min="13843" max="13844" width="9.140625" style="35" customWidth="1"/>
    <col min="13845" max="13845" width="10.421875" style="35" customWidth="1"/>
    <col min="13846" max="13847" width="9.140625" style="35" customWidth="1"/>
    <col min="13848" max="13848" width="10.8515625" style="35" customWidth="1"/>
    <col min="13849" max="13849" width="11.28125" style="35" bestFit="1" customWidth="1"/>
    <col min="13850" max="13850" width="9.140625" style="35" customWidth="1"/>
    <col min="13851" max="13851" width="11.00390625" style="35" customWidth="1"/>
    <col min="13852" max="14080" width="9.140625" style="35" customWidth="1"/>
    <col min="14081" max="14081" width="3.57421875" style="35" customWidth="1"/>
    <col min="14082" max="14082" width="31.8515625" style="35" customWidth="1"/>
    <col min="14083" max="14083" width="11.57421875" style="35" customWidth="1"/>
    <col min="14084" max="14084" width="9.140625" style="35" customWidth="1"/>
    <col min="14085" max="14086" width="10.7109375" style="35" customWidth="1"/>
    <col min="14087" max="14088" width="9.140625" style="35" customWidth="1"/>
    <col min="14089" max="14089" width="10.7109375" style="35" customWidth="1"/>
    <col min="14090" max="14091" width="9.140625" style="35" customWidth="1"/>
    <col min="14092" max="14092" width="10.7109375" style="35" customWidth="1"/>
    <col min="14093" max="14094" width="9.140625" style="35" customWidth="1"/>
    <col min="14095" max="14095" width="10.7109375" style="35" customWidth="1"/>
    <col min="14096" max="14097" width="9.140625" style="35" customWidth="1"/>
    <col min="14098" max="14098" width="10.57421875" style="35" customWidth="1"/>
    <col min="14099" max="14100" width="9.140625" style="35" customWidth="1"/>
    <col min="14101" max="14101" width="10.421875" style="35" customWidth="1"/>
    <col min="14102" max="14103" width="9.140625" style="35" customWidth="1"/>
    <col min="14104" max="14104" width="10.8515625" style="35" customWidth="1"/>
    <col min="14105" max="14105" width="11.28125" style="35" bestFit="1" customWidth="1"/>
    <col min="14106" max="14106" width="9.140625" style="35" customWidth="1"/>
    <col min="14107" max="14107" width="11.00390625" style="35" customWidth="1"/>
    <col min="14108" max="14336" width="9.140625" style="35" customWidth="1"/>
    <col min="14337" max="14337" width="3.57421875" style="35" customWidth="1"/>
    <col min="14338" max="14338" width="31.8515625" style="35" customWidth="1"/>
    <col min="14339" max="14339" width="11.57421875" style="35" customWidth="1"/>
    <col min="14340" max="14340" width="9.140625" style="35" customWidth="1"/>
    <col min="14341" max="14342" width="10.7109375" style="35" customWidth="1"/>
    <col min="14343" max="14344" width="9.140625" style="35" customWidth="1"/>
    <col min="14345" max="14345" width="10.7109375" style="35" customWidth="1"/>
    <col min="14346" max="14347" width="9.140625" style="35" customWidth="1"/>
    <col min="14348" max="14348" width="10.7109375" style="35" customWidth="1"/>
    <col min="14349" max="14350" width="9.140625" style="35" customWidth="1"/>
    <col min="14351" max="14351" width="10.7109375" style="35" customWidth="1"/>
    <col min="14352" max="14353" width="9.140625" style="35" customWidth="1"/>
    <col min="14354" max="14354" width="10.57421875" style="35" customWidth="1"/>
    <col min="14355" max="14356" width="9.140625" style="35" customWidth="1"/>
    <col min="14357" max="14357" width="10.421875" style="35" customWidth="1"/>
    <col min="14358" max="14359" width="9.140625" style="35" customWidth="1"/>
    <col min="14360" max="14360" width="10.8515625" style="35" customWidth="1"/>
    <col min="14361" max="14361" width="11.28125" style="35" bestFit="1" customWidth="1"/>
    <col min="14362" max="14362" width="9.140625" style="35" customWidth="1"/>
    <col min="14363" max="14363" width="11.00390625" style="35" customWidth="1"/>
    <col min="14364" max="14592" width="9.140625" style="35" customWidth="1"/>
    <col min="14593" max="14593" width="3.57421875" style="35" customWidth="1"/>
    <col min="14594" max="14594" width="31.8515625" style="35" customWidth="1"/>
    <col min="14595" max="14595" width="11.57421875" style="35" customWidth="1"/>
    <col min="14596" max="14596" width="9.140625" style="35" customWidth="1"/>
    <col min="14597" max="14598" width="10.7109375" style="35" customWidth="1"/>
    <col min="14599" max="14600" width="9.140625" style="35" customWidth="1"/>
    <col min="14601" max="14601" width="10.7109375" style="35" customWidth="1"/>
    <col min="14602" max="14603" width="9.140625" style="35" customWidth="1"/>
    <col min="14604" max="14604" width="10.7109375" style="35" customWidth="1"/>
    <col min="14605" max="14606" width="9.140625" style="35" customWidth="1"/>
    <col min="14607" max="14607" width="10.7109375" style="35" customWidth="1"/>
    <col min="14608" max="14609" width="9.140625" style="35" customWidth="1"/>
    <col min="14610" max="14610" width="10.57421875" style="35" customWidth="1"/>
    <col min="14611" max="14612" width="9.140625" style="35" customWidth="1"/>
    <col min="14613" max="14613" width="10.421875" style="35" customWidth="1"/>
    <col min="14614" max="14615" width="9.140625" style="35" customWidth="1"/>
    <col min="14616" max="14616" width="10.8515625" style="35" customWidth="1"/>
    <col min="14617" max="14617" width="11.28125" style="35" bestFit="1" customWidth="1"/>
    <col min="14618" max="14618" width="9.140625" style="35" customWidth="1"/>
    <col min="14619" max="14619" width="11.00390625" style="35" customWidth="1"/>
    <col min="14620" max="14848" width="9.140625" style="35" customWidth="1"/>
    <col min="14849" max="14849" width="3.57421875" style="35" customWidth="1"/>
    <col min="14850" max="14850" width="31.8515625" style="35" customWidth="1"/>
    <col min="14851" max="14851" width="11.57421875" style="35" customWidth="1"/>
    <col min="14852" max="14852" width="9.140625" style="35" customWidth="1"/>
    <col min="14853" max="14854" width="10.7109375" style="35" customWidth="1"/>
    <col min="14855" max="14856" width="9.140625" style="35" customWidth="1"/>
    <col min="14857" max="14857" width="10.7109375" style="35" customWidth="1"/>
    <col min="14858" max="14859" width="9.140625" style="35" customWidth="1"/>
    <col min="14860" max="14860" width="10.7109375" style="35" customWidth="1"/>
    <col min="14861" max="14862" width="9.140625" style="35" customWidth="1"/>
    <col min="14863" max="14863" width="10.7109375" style="35" customWidth="1"/>
    <col min="14864" max="14865" width="9.140625" style="35" customWidth="1"/>
    <col min="14866" max="14866" width="10.57421875" style="35" customWidth="1"/>
    <col min="14867" max="14868" width="9.140625" style="35" customWidth="1"/>
    <col min="14869" max="14869" width="10.421875" style="35" customWidth="1"/>
    <col min="14870" max="14871" width="9.140625" style="35" customWidth="1"/>
    <col min="14872" max="14872" width="10.8515625" style="35" customWidth="1"/>
    <col min="14873" max="14873" width="11.28125" style="35" bestFit="1" customWidth="1"/>
    <col min="14874" max="14874" width="9.140625" style="35" customWidth="1"/>
    <col min="14875" max="14875" width="11.00390625" style="35" customWidth="1"/>
    <col min="14876" max="15104" width="9.140625" style="35" customWidth="1"/>
    <col min="15105" max="15105" width="3.57421875" style="35" customWidth="1"/>
    <col min="15106" max="15106" width="31.8515625" style="35" customWidth="1"/>
    <col min="15107" max="15107" width="11.57421875" style="35" customWidth="1"/>
    <col min="15108" max="15108" width="9.140625" style="35" customWidth="1"/>
    <col min="15109" max="15110" width="10.7109375" style="35" customWidth="1"/>
    <col min="15111" max="15112" width="9.140625" style="35" customWidth="1"/>
    <col min="15113" max="15113" width="10.7109375" style="35" customWidth="1"/>
    <col min="15114" max="15115" width="9.140625" style="35" customWidth="1"/>
    <col min="15116" max="15116" width="10.7109375" style="35" customWidth="1"/>
    <col min="15117" max="15118" width="9.140625" style="35" customWidth="1"/>
    <col min="15119" max="15119" width="10.7109375" style="35" customWidth="1"/>
    <col min="15120" max="15121" width="9.140625" style="35" customWidth="1"/>
    <col min="15122" max="15122" width="10.57421875" style="35" customWidth="1"/>
    <col min="15123" max="15124" width="9.140625" style="35" customWidth="1"/>
    <col min="15125" max="15125" width="10.421875" style="35" customWidth="1"/>
    <col min="15126" max="15127" width="9.140625" style="35" customWidth="1"/>
    <col min="15128" max="15128" width="10.8515625" style="35" customWidth="1"/>
    <col min="15129" max="15129" width="11.28125" style="35" bestFit="1" customWidth="1"/>
    <col min="15130" max="15130" width="9.140625" style="35" customWidth="1"/>
    <col min="15131" max="15131" width="11.00390625" style="35" customWidth="1"/>
    <col min="15132" max="15360" width="9.140625" style="35" customWidth="1"/>
    <col min="15361" max="15361" width="3.57421875" style="35" customWidth="1"/>
    <col min="15362" max="15362" width="31.8515625" style="35" customWidth="1"/>
    <col min="15363" max="15363" width="11.57421875" style="35" customWidth="1"/>
    <col min="15364" max="15364" width="9.140625" style="35" customWidth="1"/>
    <col min="15365" max="15366" width="10.7109375" style="35" customWidth="1"/>
    <col min="15367" max="15368" width="9.140625" style="35" customWidth="1"/>
    <col min="15369" max="15369" width="10.7109375" style="35" customWidth="1"/>
    <col min="15370" max="15371" width="9.140625" style="35" customWidth="1"/>
    <col min="15372" max="15372" width="10.7109375" style="35" customWidth="1"/>
    <col min="15373" max="15374" width="9.140625" style="35" customWidth="1"/>
    <col min="15375" max="15375" width="10.7109375" style="35" customWidth="1"/>
    <col min="15376" max="15377" width="9.140625" style="35" customWidth="1"/>
    <col min="15378" max="15378" width="10.57421875" style="35" customWidth="1"/>
    <col min="15379" max="15380" width="9.140625" style="35" customWidth="1"/>
    <col min="15381" max="15381" width="10.421875" style="35" customWidth="1"/>
    <col min="15382" max="15383" width="9.140625" style="35" customWidth="1"/>
    <col min="15384" max="15384" width="10.8515625" style="35" customWidth="1"/>
    <col min="15385" max="15385" width="11.28125" style="35" bestFit="1" customWidth="1"/>
    <col min="15386" max="15386" width="9.140625" style="35" customWidth="1"/>
    <col min="15387" max="15387" width="11.00390625" style="35" customWidth="1"/>
    <col min="15388" max="15616" width="9.140625" style="35" customWidth="1"/>
    <col min="15617" max="15617" width="3.57421875" style="35" customWidth="1"/>
    <col min="15618" max="15618" width="31.8515625" style="35" customWidth="1"/>
    <col min="15619" max="15619" width="11.57421875" style="35" customWidth="1"/>
    <col min="15620" max="15620" width="9.140625" style="35" customWidth="1"/>
    <col min="15621" max="15622" width="10.7109375" style="35" customWidth="1"/>
    <col min="15623" max="15624" width="9.140625" style="35" customWidth="1"/>
    <col min="15625" max="15625" width="10.7109375" style="35" customWidth="1"/>
    <col min="15626" max="15627" width="9.140625" style="35" customWidth="1"/>
    <col min="15628" max="15628" width="10.7109375" style="35" customWidth="1"/>
    <col min="15629" max="15630" width="9.140625" style="35" customWidth="1"/>
    <col min="15631" max="15631" width="10.7109375" style="35" customWidth="1"/>
    <col min="15632" max="15633" width="9.140625" style="35" customWidth="1"/>
    <col min="15634" max="15634" width="10.57421875" style="35" customWidth="1"/>
    <col min="15635" max="15636" width="9.140625" style="35" customWidth="1"/>
    <col min="15637" max="15637" width="10.421875" style="35" customWidth="1"/>
    <col min="15638" max="15639" width="9.140625" style="35" customWidth="1"/>
    <col min="15640" max="15640" width="10.8515625" style="35" customWidth="1"/>
    <col min="15641" max="15641" width="11.28125" style="35" bestFit="1" customWidth="1"/>
    <col min="15642" max="15642" width="9.140625" style="35" customWidth="1"/>
    <col min="15643" max="15643" width="11.00390625" style="35" customWidth="1"/>
    <col min="15644" max="15872" width="9.140625" style="35" customWidth="1"/>
    <col min="15873" max="15873" width="3.57421875" style="35" customWidth="1"/>
    <col min="15874" max="15874" width="31.8515625" style="35" customWidth="1"/>
    <col min="15875" max="15875" width="11.57421875" style="35" customWidth="1"/>
    <col min="15876" max="15876" width="9.140625" style="35" customWidth="1"/>
    <col min="15877" max="15878" width="10.7109375" style="35" customWidth="1"/>
    <col min="15879" max="15880" width="9.140625" style="35" customWidth="1"/>
    <col min="15881" max="15881" width="10.7109375" style="35" customWidth="1"/>
    <col min="15882" max="15883" width="9.140625" style="35" customWidth="1"/>
    <col min="15884" max="15884" width="10.7109375" style="35" customWidth="1"/>
    <col min="15885" max="15886" width="9.140625" style="35" customWidth="1"/>
    <col min="15887" max="15887" width="10.7109375" style="35" customWidth="1"/>
    <col min="15888" max="15889" width="9.140625" style="35" customWidth="1"/>
    <col min="15890" max="15890" width="10.57421875" style="35" customWidth="1"/>
    <col min="15891" max="15892" width="9.140625" style="35" customWidth="1"/>
    <col min="15893" max="15893" width="10.421875" style="35" customWidth="1"/>
    <col min="15894" max="15895" width="9.140625" style="35" customWidth="1"/>
    <col min="15896" max="15896" width="10.8515625" style="35" customWidth="1"/>
    <col min="15897" max="15897" width="11.28125" style="35" bestFit="1" customWidth="1"/>
    <col min="15898" max="15898" width="9.140625" style="35" customWidth="1"/>
    <col min="15899" max="15899" width="11.00390625" style="35" customWidth="1"/>
    <col min="15900" max="16128" width="9.140625" style="35" customWidth="1"/>
    <col min="16129" max="16129" width="3.57421875" style="35" customWidth="1"/>
    <col min="16130" max="16130" width="31.8515625" style="35" customWidth="1"/>
    <col min="16131" max="16131" width="11.57421875" style="35" customWidth="1"/>
    <col min="16132" max="16132" width="9.140625" style="35" customWidth="1"/>
    <col min="16133" max="16134" width="10.7109375" style="35" customWidth="1"/>
    <col min="16135" max="16136" width="9.140625" style="35" customWidth="1"/>
    <col min="16137" max="16137" width="10.7109375" style="35" customWidth="1"/>
    <col min="16138" max="16139" width="9.140625" style="35" customWidth="1"/>
    <col min="16140" max="16140" width="10.7109375" style="35" customWidth="1"/>
    <col min="16141" max="16142" width="9.140625" style="35" customWidth="1"/>
    <col min="16143" max="16143" width="10.7109375" style="35" customWidth="1"/>
    <col min="16144" max="16145" width="9.140625" style="35" customWidth="1"/>
    <col min="16146" max="16146" width="10.57421875" style="35" customWidth="1"/>
    <col min="16147" max="16148" width="9.140625" style="35" customWidth="1"/>
    <col min="16149" max="16149" width="10.421875" style="35" customWidth="1"/>
    <col min="16150" max="16151" width="9.140625" style="35" customWidth="1"/>
    <col min="16152" max="16152" width="10.8515625" style="35" customWidth="1"/>
    <col min="16153" max="16153" width="11.28125" style="35" bestFit="1" customWidth="1"/>
    <col min="16154" max="16154" width="9.140625" style="35" customWidth="1"/>
    <col min="16155" max="16155" width="11.00390625" style="35" customWidth="1"/>
    <col min="16156" max="16384" width="9.140625" style="35" customWidth="1"/>
  </cols>
  <sheetData>
    <row r="1" spans="1:8" ht="12.75">
      <c r="A1" s="491" t="s">
        <v>325</v>
      </c>
      <c r="B1" s="491"/>
      <c r="C1" s="491"/>
      <c r="D1" s="491"/>
      <c r="E1" s="491"/>
      <c r="F1" s="491"/>
      <c r="G1" s="491"/>
      <c r="H1" s="491"/>
    </row>
    <row r="2" spans="1:8" ht="12.75">
      <c r="A2" s="491" t="s">
        <v>155</v>
      </c>
      <c r="B2" s="491"/>
      <c r="C2" s="491"/>
      <c r="D2" s="491"/>
      <c r="E2" s="491"/>
      <c r="F2" s="491"/>
      <c r="G2" s="491"/>
      <c r="H2" s="491"/>
    </row>
    <row r="3" ht="12.75">
      <c r="A3" s="20"/>
    </row>
    <row r="4" ht="12.75">
      <c r="A4" s="20"/>
    </row>
    <row r="5" spans="3:23" ht="12.75">
      <c r="C5" s="425" t="s">
        <v>156</v>
      </c>
      <c r="D5" s="425" t="s">
        <v>157</v>
      </c>
      <c r="E5" s="425" t="s">
        <v>158</v>
      </c>
      <c r="F5" s="425" t="s">
        <v>159</v>
      </c>
      <c r="G5" s="425" t="s">
        <v>160</v>
      </c>
      <c r="H5" s="425" t="s">
        <v>161</v>
      </c>
      <c r="I5" s="425"/>
      <c r="J5" s="425"/>
      <c r="K5" s="425"/>
      <c r="L5" s="425"/>
      <c r="M5" s="425"/>
      <c r="N5" s="425"/>
      <c r="O5" s="425"/>
      <c r="P5" s="425"/>
      <c r="Q5" s="425"/>
      <c r="R5" s="425"/>
      <c r="S5" s="425"/>
      <c r="T5" s="425"/>
      <c r="U5" s="425"/>
      <c r="V5" s="425"/>
      <c r="W5" s="425"/>
    </row>
    <row r="6" spans="3:27" ht="12.75">
      <c r="C6" s="425" t="s">
        <v>326</v>
      </c>
      <c r="F6" s="425" t="s">
        <v>682</v>
      </c>
      <c r="I6" s="425"/>
      <c r="L6" s="425"/>
      <c r="O6" s="425"/>
      <c r="R6" s="425"/>
      <c r="U6" s="425"/>
      <c r="X6" s="425"/>
      <c r="AA6" s="425"/>
    </row>
    <row r="7" spans="3:29" ht="12.75">
      <c r="C7" s="425" t="s">
        <v>327</v>
      </c>
      <c r="E7" s="425" t="s">
        <v>328</v>
      </c>
      <c r="F7" s="425" t="s">
        <v>327</v>
      </c>
      <c r="H7" s="425" t="s">
        <v>328</v>
      </c>
      <c r="I7" s="425"/>
      <c r="K7" s="425"/>
      <c r="L7" s="425"/>
      <c r="N7" s="425"/>
      <c r="O7" s="425"/>
      <c r="Q7" s="425"/>
      <c r="R7" s="425"/>
      <c r="T7" s="425"/>
      <c r="U7" s="425"/>
      <c r="W7" s="425"/>
      <c r="X7" s="425"/>
      <c r="Z7" s="425"/>
      <c r="AA7" s="425"/>
      <c r="AC7" s="425"/>
    </row>
    <row r="8" spans="3:29" ht="12.75">
      <c r="C8" s="425">
        <f>+'Income Statement Cash Flows'!E6</f>
        <v>2024</v>
      </c>
      <c r="D8" s="425" t="s">
        <v>297</v>
      </c>
      <c r="E8" s="425">
        <f>+C8</f>
        <v>2024</v>
      </c>
      <c r="F8" s="425">
        <f>+E8+1</f>
        <v>2025</v>
      </c>
      <c r="G8" s="425" t="s">
        <v>297</v>
      </c>
      <c r="H8" s="425">
        <f>+F8</f>
        <v>2025</v>
      </c>
      <c r="I8" s="425"/>
      <c r="J8" s="425"/>
      <c r="K8" s="425"/>
      <c r="L8" s="425"/>
      <c r="M8" s="425"/>
      <c r="N8" s="425"/>
      <c r="O8" s="425"/>
      <c r="P8" s="425"/>
      <c r="Q8" s="425"/>
      <c r="R8" s="425"/>
      <c r="S8" s="425"/>
      <c r="T8" s="425"/>
      <c r="U8" s="425"/>
      <c r="V8" s="425"/>
      <c r="W8" s="425"/>
      <c r="X8" s="425"/>
      <c r="Y8" s="425"/>
      <c r="Z8" s="425"/>
      <c r="AA8" s="425"/>
      <c r="AB8" s="425"/>
      <c r="AC8" s="425"/>
    </row>
    <row r="9" spans="1:2" ht="12.75">
      <c r="A9" s="35">
        <v>1</v>
      </c>
      <c r="B9" s="20" t="s">
        <v>329</v>
      </c>
    </row>
    <row r="10" spans="1:29" ht="12.75">
      <c r="A10" s="35">
        <f aca="true" t="shared" si="0" ref="A10:A26">A9+1</f>
        <v>2</v>
      </c>
      <c r="B10" s="35" t="s">
        <v>330</v>
      </c>
      <c r="C10" s="142"/>
      <c r="D10" s="457">
        <v>1</v>
      </c>
      <c r="E10" s="142">
        <f>+'Corps Rec Project O&amp;M'!N6</f>
        <v>5591</v>
      </c>
      <c r="F10" s="142"/>
      <c r="G10" s="457">
        <v>1</v>
      </c>
      <c r="H10" s="142">
        <f>+'Corps Rec Project O&amp;M'!O6</f>
        <v>5695</v>
      </c>
      <c r="I10" s="142"/>
      <c r="J10" s="142"/>
      <c r="K10" s="142"/>
      <c r="L10" s="142"/>
      <c r="M10" s="142"/>
      <c r="N10" s="142"/>
      <c r="O10" s="142"/>
      <c r="P10" s="142"/>
      <c r="Q10" s="142"/>
      <c r="R10" s="142"/>
      <c r="S10" s="142"/>
      <c r="T10" s="142"/>
      <c r="U10" s="142"/>
      <c r="V10" s="142"/>
      <c r="W10" s="142"/>
      <c r="X10" s="142"/>
      <c r="Y10" s="142"/>
      <c r="Z10" s="142"/>
      <c r="AA10" s="142"/>
      <c r="AB10" s="457"/>
      <c r="AC10" s="142"/>
    </row>
    <row r="11" spans="1:2" ht="12.75">
      <c r="A11" s="35">
        <f t="shared" si="0"/>
        <v>3</v>
      </c>
      <c r="B11" s="20" t="s">
        <v>331</v>
      </c>
    </row>
    <row r="12" spans="1:29" ht="12.75">
      <c r="A12" s="35">
        <f t="shared" si="0"/>
        <v>4</v>
      </c>
      <c r="B12" s="35" t="s">
        <v>330</v>
      </c>
      <c r="C12" s="142">
        <v>1795632.897765754</v>
      </c>
      <c r="D12" s="458">
        <f>D14-D13</f>
        <v>0.9988835361284012</v>
      </c>
      <c r="E12" s="142">
        <f>E14-E13</f>
        <v>124357</v>
      </c>
      <c r="F12" s="142">
        <v>1892693.4155154917</v>
      </c>
      <c r="G12" s="458">
        <f>G14-G13</f>
        <v>0.9989407296353741</v>
      </c>
      <c r="H12" s="142">
        <f>H14-H13</f>
        <v>157050.99998999998</v>
      </c>
      <c r="I12" s="142"/>
      <c r="J12" s="142"/>
      <c r="K12" s="142"/>
      <c r="L12" s="142"/>
      <c r="M12" s="458"/>
      <c r="N12" s="142"/>
      <c r="O12" s="142"/>
      <c r="P12" s="458"/>
      <c r="Q12" s="142"/>
      <c r="R12" s="142"/>
      <c r="S12" s="458"/>
      <c r="T12" s="142"/>
      <c r="U12" s="142"/>
      <c r="V12" s="458"/>
      <c r="W12" s="142"/>
      <c r="X12" s="142"/>
      <c r="Y12" s="142"/>
      <c r="Z12" s="142"/>
      <c r="AA12" s="142"/>
      <c r="AB12" s="458"/>
      <c r="AC12" s="142"/>
    </row>
    <row r="13" spans="1:29" ht="12.75">
      <c r="A13" s="35">
        <f t="shared" si="0"/>
        <v>5</v>
      </c>
      <c r="B13" s="35" t="s">
        <v>332</v>
      </c>
      <c r="C13" s="142">
        <v>2007</v>
      </c>
      <c r="D13" s="458">
        <f>C13/C14</f>
        <v>0.0011164638715987862</v>
      </c>
      <c r="E13" s="182">
        <f>ROUND(D13*E14,0)</f>
        <v>139</v>
      </c>
      <c r="F13" s="142">
        <v>2007</v>
      </c>
      <c r="G13" s="458">
        <f>F13/F14</f>
        <v>0.001059270364625932</v>
      </c>
      <c r="H13" s="142">
        <f>ROUND(G13*H14,0)</f>
        <v>167</v>
      </c>
      <c r="I13" s="142"/>
      <c r="J13" s="142"/>
      <c r="K13" s="142"/>
      <c r="L13" s="142"/>
      <c r="M13" s="458"/>
      <c r="N13" s="142"/>
      <c r="O13" s="142"/>
      <c r="P13" s="458"/>
      <c r="Q13" s="142"/>
      <c r="R13" s="142"/>
      <c r="S13" s="458"/>
      <c r="T13" s="142"/>
      <c r="U13" s="142"/>
      <c r="V13" s="458"/>
      <c r="W13" s="142"/>
      <c r="X13" s="142"/>
      <c r="Y13" s="25"/>
      <c r="Z13" s="142"/>
      <c r="AA13" s="142"/>
      <c r="AB13" s="458"/>
      <c r="AC13" s="142"/>
    </row>
    <row r="14" spans="1:29" ht="12.75">
      <c r="A14" s="35">
        <f t="shared" si="0"/>
        <v>6</v>
      </c>
      <c r="B14" s="35" t="s">
        <v>284</v>
      </c>
      <c r="C14" s="459">
        <f>SUM(C12:C13)</f>
        <v>1797639.897765754</v>
      </c>
      <c r="D14" s="457">
        <v>1</v>
      </c>
      <c r="E14" s="142">
        <f>+'Corps Rec Project O&amp;M'!N7</f>
        <v>124496</v>
      </c>
      <c r="F14" s="459">
        <f>SUM(F12:F13)</f>
        <v>1894700.4155154917</v>
      </c>
      <c r="G14" s="457">
        <v>1</v>
      </c>
      <c r="H14" s="142">
        <f>+'Corps Rec Project O&amp;M'!O12</f>
        <v>157217.99998999998</v>
      </c>
      <c r="I14" s="142"/>
      <c r="J14" s="142"/>
      <c r="K14" s="142"/>
      <c r="L14" s="142"/>
      <c r="M14" s="457"/>
      <c r="N14" s="142"/>
      <c r="O14" s="459"/>
      <c r="P14" s="457"/>
      <c r="Q14" s="142"/>
      <c r="R14" s="459"/>
      <c r="S14" s="457"/>
      <c r="T14" s="142"/>
      <c r="U14" s="459"/>
      <c r="V14" s="457"/>
      <c r="W14" s="142"/>
      <c r="X14" s="459"/>
      <c r="Y14" s="459"/>
      <c r="Z14" s="142"/>
      <c r="AA14" s="459"/>
      <c r="AB14" s="457"/>
      <c r="AC14" s="142"/>
    </row>
    <row r="15" spans="1:29" ht="12.75">
      <c r="A15" s="35">
        <f t="shared" si="0"/>
        <v>7</v>
      </c>
      <c r="B15" s="20" t="s">
        <v>333</v>
      </c>
      <c r="C15" s="459"/>
      <c r="D15" s="457"/>
      <c r="E15" s="142"/>
      <c r="F15" s="459"/>
      <c r="G15" s="457"/>
      <c r="H15" s="142"/>
      <c r="I15" s="459"/>
      <c r="J15" s="457"/>
      <c r="K15" s="457"/>
      <c r="L15" s="457"/>
      <c r="M15" s="457"/>
      <c r="N15" s="142"/>
      <c r="O15" s="459"/>
      <c r="P15" s="457"/>
      <c r="Q15" s="142"/>
      <c r="R15" s="459"/>
      <c r="S15" s="457"/>
      <c r="T15" s="142"/>
      <c r="U15" s="459"/>
      <c r="V15" s="457"/>
      <c r="W15" s="142"/>
      <c r="X15" s="459"/>
      <c r="Y15" s="459"/>
      <c r="Z15" s="142"/>
      <c r="AA15" s="459"/>
      <c r="AB15" s="457"/>
      <c r="AC15" s="142"/>
    </row>
    <row r="16" spans="1:29" ht="12.75">
      <c r="A16" s="35">
        <f t="shared" si="0"/>
        <v>8</v>
      </c>
      <c r="B16" s="35" t="s">
        <v>330</v>
      </c>
      <c r="C16" s="459"/>
      <c r="D16" s="457">
        <v>1</v>
      </c>
      <c r="E16" s="142">
        <f>+'Corps Rec Project O&amp;M'!N8</f>
        <v>1203</v>
      </c>
      <c r="F16" s="459"/>
      <c r="G16" s="457">
        <v>1</v>
      </c>
      <c r="H16" s="142">
        <f>+'Corps Rec Project O&amp;M'!O8</f>
        <v>1225</v>
      </c>
      <c r="I16" s="142"/>
      <c r="J16" s="142"/>
      <c r="K16" s="142"/>
      <c r="L16" s="142"/>
      <c r="M16" s="457"/>
      <c r="N16" s="142"/>
      <c r="O16" s="459"/>
      <c r="P16" s="457"/>
      <c r="Q16" s="142"/>
      <c r="R16" s="459"/>
      <c r="S16" s="457"/>
      <c r="T16" s="142"/>
      <c r="U16" s="459"/>
      <c r="V16" s="457"/>
      <c r="W16" s="142"/>
      <c r="X16" s="459"/>
      <c r="Y16" s="459"/>
      <c r="Z16" s="142"/>
      <c r="AA16" s="459"/>
      <c r="AB16" s="457"/>
      <c r="AC16" s="142"/>
    </row>
    <row r="17" spans="1:2" ht="12.75">
      <c r="A17" s="35">
        <f t="shared" si="0"/>
        <v>9</v>
      </c>
      <c r="B17" s="20" t="s">
        <v>334</v>
      </c>
    </row>
    <row r="18" spans="1:29" ht="12.75">
      <c r="A18" s="35">
        <f t="shared" si="0"/>
        <v>10</v>
      </c>
      <c r="B18" s="35" t="s">
        <v>330</v>
      </c>
      <c r="C18" s="142">
        <v>170305.09892234148</v>
      </c>
      <c r="D18" s="458">
        <f>D20-D19</f>
        <v>0.9855328342995047</v>
      </c>
      <c r="E18" s="142">
        <f>E20-E19</f>
        <v>7077</v>
      </c>
      <c r="F18" s="142">
        <v>170443.6447395566</v>
      </c>
      <c r="G18" s="458">
        <f>G20-G19</f>
        <v>0.9855444240014436</v>
      </c>
      <c r="H18" s="142">
        <f>H20-H19</f>
        <v>7207</v>
      </c>
      <c r="I18" s="142"/>
      <c r="J18" s="142"/>
      <c r="K18" s="142"/>
      <c r="L18" s="142"/>
      <c r="M18" s="458"/>
      <c r="N18" s="142"/>
      <c r="O18" s="142"/>
      <c r="P18" s="458"/>
      <c r="Q18" s="142"/>
      <c r="R18" s="142"/>
      <c r="S18" s="458"/>
      <c r="T18" s="142"/>
      <c r="U18" s="142"/>
      <c r="V18" s="458"/>
      <c r="W18" s="142"/>
      <c r="X18" s="142"/>
      <c r="Y18" s="142"/>
      <c r="Z18" s="142"/>
      <c r="AA18" s="142"/>
      <c r="AB18" s="458"/>
      <c r="AC18" s="142"/>
    </row>
    <row r="19" spans="1:29" ht="12.75">
      <c r="A19" s="35">
        <f t="shared" si="0"/>
        <v>11</v>
      </c>
      <c r="B19" s="35" t="s">
        <v>332</v>
      </c>
      <c r="C19" s="142">
        <v>2500</v>
      </c>
      <c r="D19" s="458">
        <f>C19/C20</f>
        <v>0.014467165700495324</v>
      </c>
      <c r="E19" s="182">
        <f>ROUND(D19*E20,0)</f>
        <v>104</v>
      </c>
      <c r="F19" s="142">
        <v>2500</v>
      </c>
      <c r="G19" s="458">
        <f>F19/F20</f>
        <v>0.014455575998556406</v>
      </c>
      <c r="H19" s="142">
        <f>ROUND(G19*H20,0)</f>
        <v>106</v>
      </c>
      <c r="I19" s="142"/>
      <c r="J19" s="142"/>
      <c r="K19" s="142"/>
      <c r="L19" s="142"/>
      <c r="M19" s="458"/>
      <c r="N19" s="142"/>
      <c r="O19" s="142"/>
      <c r="P19" s="458"/>
      <c r="Q19" s="142"/>
      <c r="R19" s="142"/>
      <c r="S19" s="458"/>
      <c r="T19" s="142"/>
      <c r="U19" s="142"/>
      <c r="V19" s="458"/>
      <c r="W19" s="142"/>
      <c r="X19" s="142"/>
      <c r="Y19" s="25"/>
      <c r="Z19" s="142"/>
      <c r="AA19" s="142"/>
      <c r="AB19" s="458"/>
      <c r="AC19" s="142"/>
    </row>
    <row r="20" spans="1:29" ht="12.75">
      <c r="A20" s="35">
        <f t="shared" si="0"/>
        <v>12</v>
      </c>
      <c r="B20" s="35" t="s">
        <v>284</v>
      </c>
      <c r="C20" s="142">
        <f>SUM(C18:C19)</f>
        <v>172805.09892234148</v>
      </c>
      <c r="D20" s="457">
        <v>1</v>
      </c>
      <c r="E20" s="142">
        <f>+'Corps Rec Project O&amp;M'!N9</f>
        <v>7181</v>
      </c>
      <c r="F20" s="459">
        <f>SUM(F18:F19)</f>
        <v>172943.6447395566</v>
      </c>
      <c r="G20" s="457">
        <v>1</v>
      </c>
      <c r="H20" s="142">
        <f>+'Corps Rec Project O&amp;M'!O9</f>
        <v>7313</v>
      </c>
      <c r="I20" s="142"/>
      <c r="J20" s="142"/>
      <c r="K20" s="142"/>
      <c r="L20" s="142"/>
      <c r="M20" s="457"/>
      <c r="N20" s="142"/>
      <c r="O20" s="142"/>
      <c r="P20" s="457"/>
      <c r="Q20" s="142"/>
      <c r="R20" s="142"/>
      <c r="S20" s="457"/>
      <c r="T20" s="142"/>
      <c r="U20" s="142"/>
      <c r="V20" s="457"/>
      <c r="W20" s="142"/>
      <c r="X20" s="142"/>
      <c r="Y20" s="142"/>
      <c r="Z20" s="142"/>
      <c r="AA20" s="142"/>
      <c r="AB20" s="457"/>
      <c r="AC20" s="142"/>
    </row>
    <row r="21" spans="1:2" ht="12.75">
      <c r="A21" s="35">
        <f t="shared" si="0"/>
        <v>13</v>
      </c>
      <c r="B21" s="20" t="s">
        <v>335</v>
      </c>
    </row>
    <row r="22" spans="1:29" ht="12.75">
      <c r="A22" s="35">
        <f t="shared" si="0"/>
        <v>14</v>
      </c>
      <c r="B22" s="35" t="s">
        <v>330</v>
      </c>
      <c r="C22" s="142">
        <v>178801.99346115813</v>
      </c>
      <c r="D22" s="458">
        <f>D24-D23</f>
        <v>0.9830443238574135</v>
      </c>
      <c r="E22" s="142">
        <f>E24-E23</f>
        <v>12625</v>
      </c>
      <c r="F22" s="142">
        <v>178775.34586115813</v>
      </c>
      <c r="G22" s="458">
        <f>G24-G23</f>
        <v>0.9830418393654924</v>
      </c>
      <c r="H22" s="142">
        <f>H24-H23</f>
        <v>12858</v>
      </c>
      <c r="I22" s="142"/>
      <c r="J22" s="142"/>
      <c r="K22" s="142"/>
      <c r="L22" s="142"/>
      <c r="M22" s="458"/>
      <c r="N22" s="142"/>
      <c r="O22" s="142"/>
      <c r="P22" s="458"/>
      <c r="Q22" s="142"/>
      <c r="R22" s="142"/>
      <c r="S22" s="458"/>
      <c r="T22" s="142"/>
      <c r="U22" s="142"/>
      <c r="V22" s="458"/>
      <c r="W22" s="142"/>
      <c r="X22" s="142"/>
      <c r="Y22" s="142"/>
      <c r="Z22" s="142"/>
      <c r="AA22" s="142"/>
      <c r="AB22" s="458"/>
      <c r="AC22" s="142"/>
    </row>
    <row r="23" spans="1:29" ht="12.75">
      <c r="A23" s="35">
        <f t="shared" si="0"/>
        <v>15</v>
      </c>
      <c r="B23" s="35" t="s">
        <v>332</v>
      </c>
      <c r="C23" s="142">
        <v>3084</v>
      </c>
      <c r="D23" s="458">
        <f>C23/C24</f>
        <v>0.016955676142586484</v>
      </c>
      <c r="E23" s="182">
        <f>ROUND(D23*E$24,0)</f>
        <v>218</v>
      </c>
      <c r="F23" s="142">
        <v>3084</v>
      </c>
      <c r="G23" s="458">
        <f>F23/F24</f>
        <v>0.01695816063450763</v>
      </c>
      <c r="H23" s="142">
        <f>ROUND(G23*H$24,0)</f>
        <v>222</v>
      </c>
      <c r="I23" s="142"/>
      <c r="J23" s="142"/>
      <c r="K23" s="142"/>
      <c r="L23" s="142"/>
      <c r="M23" s="458"/>
      <c r="N23" s="142"/>
      <c r="O23" s="142"/>
      <c r="P23" s="458"/>
      <c r="Q23" s="142"/>
      <c r="R23" s="142"/>
      <c r="S23" s="458"/>
      <c r="T23" s="142"/>
      <c r="U23" s="142"/>
      <c r="V23" s="458"/>
      <c r="W23" s="142"/>
      <c r="X23" s="142"/>
      <c r="Y23" s="25"/>
      <c r="Z23" s="142"/>
      <c r="AA23" s="142"/>
      <c r="AB23" s="458"/>
      <c r="AC23" s="142"/>
    </row>
    <row r="24" spans="1:29" ht="12.75">
      <c r="A24" s="35">
        <f t="shared" si="0"/>
        <v>16</v>
      </c>
      <c r="B24" s="35" t="s">
        <v>284</v>
      </c>
      <c r="C24" s="459">
        <f>SUM(C22:C23)</f>
        <v>181885.99346115813</v>
      </c>
      <c r="D24" s="457">
        <v>1</v>
      </c>
      <c r="E24" s="142">
        <f>+'Corps Rec Project O&amp;M'!N10</f>
        <v>12843</v>
      </c>
      <c r="F24" s="459">
        <f>SUM(F22:F23)</f>
        <v>181859.34586115813</v>
      </c>
      <c r="G24" s="457">
        <v>1</v>
      </c>
      <c r="H24" s="142">
        <f>+'Corps Rec Project O&amp;M'!O10</f>
        <v>13080</v>
      </c>
      <c r="I24" s="142"/>
      <c r="J24" s="142"/>
      <c r="K24" s="142"/>
      <c r="L24" s="142"/>
      <c r="M24" s="457"/>
      <c r="N24" s="142"/>
      <c r="O24" s="459"/>
      <c r="P24" s="457"/>
      <c r="Q24" s="142"/>
      <c r="R24" s="459"/>
      <c r="S24" s="457"/>
      <c r="T24" s="142"/>
      <c r="U24" s="459"/>
      <c r="V24" s="457"/>
      <c r="W24" s="142"/>
      <c r="X24" s="459"/>
      <c r="Y24" s="459"/>
      <c r="Z24" s="142"/>
      <c r="AA24" s="459"/>
      <c r="AB24" s="457"/>
      <c r="AC24" s="142"/>
    </row>
    <row r="25" spans="1:2" ht="12.75">
      <c r="A25" s="35">
        <f t="shared" si="0"/>
        <v>17</v>
      </c>
      <c r="B25" s="20" t="s">
        <v>336</v>
      </c>
    </row>
    <row r="26" spans="1:29" ht="12.75">
      <c r="A26" s="35">
        <f t="shared" si="0"/>
        <v>18</v>
      </c>
      <c r="B26" s="35" t="s">
        <v>330</v>
      </c>
      <c r="C26" s="142"/>
      <c r="D26" s="457">
        <v>1</v>
      </c>
      <c r="E26" s="142">
        <f>+'Corps Rec Project O&amp;M'!N11</f>
        <v>3051</v>
      </c>
      <c r="F26" s="142"/>
      <c r="G26" s="457">
        <v>1</v>
      </c>
      <c r="H26" s="142">
        <f>+'Corps Rec Project O&amp;M'!O11</f>
        <v>3107</v>
      </c>
      <c r="I26" s="142"/>
      <c r="J26" s="142"/>
      <c r="K26" s="142"/>
      <c r="L26" s="142"/>
      <c r="M26" s="457"/>
      <c r="N26" s="142"/>
      <c r="O26" s="142"/>
      <c r="P26" s="457"/>
      <c r="Q26" s="142"/>
      <c r="R26" s="142"/>
      <c r="S26" s="457"/>
      <c r="T26" s="142"/>
      <c r="U26" s="142"/>
      <c r="V26" s="457"/>
      <c r="W26" s="142"/>
      <c r="X26" s="142"/>
      <c r="Y26" s="142"/>
      <c r="Z26" s="142"/>
      <c r="AA26" s="142"/>
      <c r="AB26" s="457"/>
      <c r="AC26" s="142"/>
    </row>
    <row r="28" spans="1:29" ht="12.75">
      <c r="A28" s="35">
        <f>A26+1</f>
        <v>19</v>
      </c>
      <c r="B28" s="35" t="s">
        <v>337</v>
      </c>
      <c r="E28" s="459">
        <f>E10+E12+E16+E18+E22+E26+E33</f>
        <v>153904</v>
      </c>
      <c r="H28" s="459">
        <f>H10+H12+H16+H18+H22+H26+H33</f>
        <v>187142.99998999998</v>
      </c>
      <c r="I28" s="459"/>
      <c r="J28" s="459"/>
      <c r="K28" s="459"/>
      <c r="L28" s="459"/>
      <c r="N28" s="459"/>
      <c r="Q28" s="459"/>
      <c r="T28" s="459"/>
      <c r="W28" s="459"/>
      <c r="X28" s="459"/>
      <c r="Y28" s="459"/>
      <c r="Z28" s="459"/>
      <c r="AC28" s="459"/>
    </row>
    <row r="29" spans="1:29" ht="12.75">
      <c r="A29" s="35">
        <f>A28+1</f>
        <v>20</v>
      </c>
      <c r="B29" s="35" t="s">
        <v>332</v>
      </c>
      <c r="E29" s="459">
        <f>E23+E19+E13</f>
        <v>461</v>
      </c>
      <c r="H29" s="459">
        <f>H23+H19+H13</f>
        <v>495</v>
      </c>
      <c r="I29" s="459"/>
      <c r="J29" s="459"/>
      <c r="K29" s="459"/>
      <c r="L29" s="459"/>
      <c r="N29" s="459"/>
      <c r="Q29" s="459"/>
      <c r="T29" s="459"/>
      <c r="W29" s="459"/>
      <c r="X29" s="459"/>
      <c r="Y29" s="459"/>
      <c r="Z29" s="459"/>
      <c r="AC29" s="459"/>
    </row>
    <row r="30" spans="1:29" ht="12.75">
      <c r="A30" s="35">
        <f>A29+1</f>
        <v>21</v>
      </c>
      <c r="B30" s="35" t="s">
        <v>338</v>
      </c>
      <c r="E30" s="459">
        <f>E28+E29</f>
        <v>154365</v>
      </c>
      <c r="H30" s="459">
        <f>H28+H29</f>
        <v>187637.99998999998</v>
      </c>
      <c r="I30" s="459"/>
      <c r="J30" s="459"/>
      <c r="K30" s="459"/>
      <c r="L30" s="459"/>
      <c r="N30" s="459"/>
      <c r="Q30" s="459"/>
      <c r="T30" s="459"/>
      <c r="W30" s="459"/>
      <c r="X30" s="459"/>
      <c r="Y30" s="459"/>
      <c r="Z30" s="459"/>
      <c r="AC30" s="459"/>
    </row>
    <row r="31" spans="24:25" ht="12.75">
      <c r="X31" s="25"/>
      <c r="Y31" s="25"/>
    </row>
    <row r="32" spans="24:25" ht="12.75">
      <c r="X32" s="25"/>
      <c r="Y32" s="25"/>
    </row>
    <row r="33" spans="1:29" ht="12.75">
      <c r="A33" s="140" t="s">
        <v>229</v>
      </c>
      <c r="B33" s="35" t="s">
        <v>339</v>
      </c>
      <c r="E33" s="142">
        <f>+'Corps Rec Project O&amp;M'!N46</f>
        <v>0</v>
      </c>
      <c r="H33" s="142">
        <f>+'Corps Rec Project O&amp;M'!O46</f>
        <v>0</v>
      </c>
      <c r="I33" s="142"/>
      <c r="J33" s="142"/>
      <c r="K33" s="142"/>
      <c r="L33" s="142"/>
      <c r="N33" s="142"/>
      <c r="Q33" s="142"/>
      <c r="T33" s="142"/>
      <c r="W33" s="142"/>
      <c r="X33" s="25"/>
      <c r="Y33" s="25"/>
      <c r="Z33" s="142"/>
      <c r="AC33" s="142"/>
    </row>
    <row r="37" spans="1:2" ht="12.75">
      <c r="A37" s="35">
        <f>A30+1</f>
        <v>22</v>
      </c>
      <c r="B37" s="20" t="s">
        <v>340</v>
      </c>
    </row>
    <row r="38" spans="1:29" ht="12.75">
      <c r="A38" s="35">
        <f aca="true" t="shared" si="1" ref="A38:A43">A37+1</f>
        <v>23</v>
      </c>
      <c r="B38" s="144" t="s">
        <v>330</v>
      </c>
      <c r="C38" s="144">
        <v>1252953.4711414631</v>
      </c>
      <c r="D38" s="458">
        <f>D40-D39</f>
        <v>0.9978497252131628</v>
      </c>
      <c r="E38" s="142">
        <f>E40-E39</f>
        <v>29176</v>
      </c>
      <c r="F38" s="144">
        <v>1273068.8482980109</v>
      </c>
      <c r="G38" s="458">
        <f>G40-G39</f>
        <v>0.9978836291514704</v>
      </c>
      <c r="H38" s="142">
        <f>H40-H39</f>
        <v>29890</v>
      </c>
      <c r="I38" s="142"/>
      <c r="J38" s="142"/>
      <c r="K38" s="142"/>
      <c r="L38" s="142"/>
      <c r="M38" s="458"/>
      <c r="N38" s="142"/>
      <c r="O38" s="144"/>
      <c r="P38" s="458"/>
      <c r="Q38" s="142"/>
      <c r="R38" s="144"/>
      <c r="S38" s="458"/>
      <c r="T38" s="142"/>
      <c r="U38" s="144"/>
      <c r="V38" s="458"/>
      <c r="W38" s="142"/>
      <c r="X38" s="144"/>
      <c r="Y38" s="144"/>
      <c r="Z38" s="142"/>
      <c r="AA38" s="144"/>
      <c r="AB38" s="458"/>
      <c r="AC38" s="142"/>
    </row>
    <row r="39" spans="1:29" ht="12.75">
      <c r="A39" s="35">
        <f t="shared" si="1"/>
        <v>24</v>
      </c>
      <c r="B39" s="144" t="s">
        <v>332</v>
      </c>
      <c r="C39" s="144">
        <v>2700</v>
      </c>
      <c r="D39" s="458">
        <f>C39/C40</f>
        <v>0.0021502747868371204</v>
      </c>
      <c r="E39" s="182">
        <f>ROUND(D39*E40,0)</f>
        <v>63</v>
      </c>
      <c r="F39" s="144">
        <v>2700</v>
      </c>
      <c r="G39" s="458">
        <f>F39/F40</f>
        <v>0.002116370848529528</v>
      </c>
      <c r="H39" s="142">
        <f>ROUND($G39*H40,0)</f>
        <v>63</v>
      </c>
      <c r="I39" s="142"/>
      <c r="J39" s="142"/>
      <c r="K39" s="142"/>
      <c r="L39" s="142"/>
      <c r="M39" s="458"/>
      <c r="N39" s="142"/>
      <c r="O39" s="144"/>
      <c r="P39" s="458"/>
      <c r="Q39" s="142"/>
      <c r="R39" s="144"/>
      <c r="S39" s="458"/>
      <c r="T39" s="142"/>
      <c r="U39" s="144"/>
      <c r="V39" s="458"/>
      <c r="W39" s="142"/>
      <c r="X39" s="144"/>
      <c r="Y39" s="144"/>
      <c r="Z39" s="142"/>
      <c r="AA39" s="144"/>
      <c r="AB39" s="458"/>
      <c r="AC39" s="142"/>
    </row>
    <row r="40" spans="1:29" ht="12.75">
      <c r="A40" s="35">
        <f t="shared" si="1"/>
        <v>25</v>
      </c>
      <c r="B40" s="144" t="s">
        <v>284</v>
      </c>
      <c r="C40" s="144">
        <f>SUM(C38:C39)</f>
        <v>1255653.4711414631</v>
      </c>
      <c r="D40" s="457">
        <v>1</v>
      </c>
      <c r="E40" s="142">
        <f>+'Corps Rec Project O&amp;M'!N17</f>
        <v>29239</v>
      </c>
      <c r="F40" s="144">
        <f>SUM(F38:F39)</f>
        <v>1275768.8482980109</v>
      </c>
      <c r="G40" s="457">
        <v>1</v>
      </c>
      <c r="H40" s="142">
        <f>+'Corps Rec Project O&amp;M'!O17</f>
        <v>29953</v>
      </c>
      <c r="I40" s="142"/>
      <c r="J40" s="142"/>
      <c r="K40" s="142"/>
      <c r="L40" s="142"/>
      <c r="M40" s="457"/>
      <c r="N40" s="142"/>
      <c r="O40" s="144"/>
      <c r="P40" s="457"/>
      <c r="Q40" s="142"/>
      <c r="R40" s="144"/>
      <c r="S40" s="457"/>
      <c r="T40" s="142"/>
      <c r="U40" s="144"/>
      <c r="V40" s="457"/>
      <c r="W40" s="142"/>
      <c r="X40" s="144"/>
      <c r="Y40" s="144"/>
      <c r="Z40" s="142"/>
      <c r="AA40" s="144"/>
      <c r="AB40" s="457"/>
      <c r="AC40" s="142"/>
    </row>
    <row r="41" spans="1:2" ht="12.75">
      <c r="A41" s="35">
        <f t="shared" si="1"/>
        <v>26</v>
      </c>
      <c r="B41" s="52" t="s">
        <v>341</v>
      </c>
    </row>
    <row r="42" spans="1:29" ht="12.75">
      <c r="A42" s="35">
        <f t="shared" si="1"/>
        <v>27</v>
      </c>
      <c r="B42" s="35" t="s">
        <v>342</v>
      </c>
      <c r="E42" s="459">
        <f>E51-E40</f>
        <v>245256.18706999999</v>
      </c>
      <c r="H42" s="459">
        <f>H51-H40</f>
        <v>245194.00001999998</v>
      </c>
      <c r="I42" s="459"/>
      <c r="J42" s="459"/>
      <c r="K42" s="459"/>
      <c r="L42" s="459"/>
      <c r="N42" s="459"/>
      <c r="Q42" s="459"/>
      <c r="T42" s="459"/>
      <c r="W42" s="459"/>
      <c r="Z42" s="459"/>
      <c r="AC42" s="459"/>
    </row>
    <row r="43" spans="1:29" ht="12.75">
      <c r="A43" s="35">
        <f t="shared" si="1"/>
        <v>28</v>
      </c>
      <c r="B43" s="35" t="s">
        <v>343</v>
      </c>
      <c r="E43" s="142">
        <f>E53</f>
        <v>32765.000010000003</v>
      </c>
      <c r="H43" s="142">
        <f>H53</f>
        <v>32764.99998</v>
      </c>
      <c r="I43" s="142"/>
      <c r="J43" s="142"/>
      <c r="K43" s="142"/>
      <c r="L43" s="142"/>
      <c r="N43" s="142"/>
      <c r="Q43" s="142"/>
      <c r="T43" s="142"/>
      <c r="W43" s="142"/>
      <c r="Z43" s="142"/>
      <c r="AC43" s="142"/>
    </row>
    <row r="45" spans="1:29" ht="12.75">
      <c r="A45" s="35">
        <f>A43+1</f>
        <v>29</v>
      </c>
      <c r="B45" s="144" t="s">
        <v>330</v>
      </c>
      <c r="E45" s="459">
        <f>E43+E42+E38</f>
        <v>307197.18708</v>
      </c>
      <c r="H45" s="459">
        <f>H43+H42+H38</f>
        <v>307849</v>
      </c>
      <c r="I45" s="459"/>
      <c r="J45" s="459"/>
      <c r="K45" s="459"/>
      <c r="L45" s="459"/>
      <c r="N45" s="459"/>
      <c r="Q45" s="459"/>
      <c r="T45" s="459"/>
      <c r="W45" s="459"/>
      <c r="X45" s="144"/>
      <c r="Y45" s="144"/>
      <c r="Z45" s="459"/>
      <c r="AC45" s="459"/>
    </row>
    <row r="46" spans="1:29" ht="12.75">
      <c r="A46" s="35">
        <v>30</v>
      </c>
      <c r="B46" s="144" t="s">
        <v>332</v>
      </c>
      <c r="E46" s="459">
        <f>E39</f>
        <v>63</v>
      </c>
      <c r="H46" s="459">
        <f>H39</f>
        <v>63</v>
      </c>
      <c r="I46" s="459"/>
      <c r="J46" s="459"/>
      <c r="K46" s="459"/>
      <c r="L46" s="459"/>
      <c r="N46" s="459"/>
      <c r="Q46" s="459"/>
      <c r="T46" s="459"/>
      <c r="W46" s="459"/>
      <c r="X46" s="25"/>
      <c r="Y46" s="25"/>
      <c r="Z46" s="459"/>
      <c r="AC46" s="459"/>
    </row>
    <row r="47" spans="1:29" ht="12.75">
      <c r="A47" s="35">
        <v>31</v>
      </c>
      <c r="B47" s="35" t="s">
        <v>344</v>
      </c>
      <c r="E47" s="459">
        <f>E45+E46</f>
        <v>307260.18708</v>
      </c>
      <c r="H47" s="459">
        <f>H45+H46</f>
        <v>307912</v>
      </c>
      <c r="I47" s="459"/>
      <c r="J47" s="459"/>
      <c r="K47" s="459"/>
      <c r="L47" s="459"/>
      <c r="N47" s="459"/>
      <c r="Q47" s="459"/>
      <c r="T47" s="459"/>
      <c r="W47" s="459"/>
      <c r="X47" s="25"/>
      <c r="Y47" s="25"/>
      <c r="Z47" s="459"/>
      <c r="AC47" s="459"/>
    </row>
    <row r="50" spans="2:29" ht="12.75">
      <c r="B50" s="35" t="s">
        <v>345</v>
      </c>
      <c r="E50" s="459"/>
      <c r="H50" s="459"/>
      <c r="N50" s="459"/>
      <c r="Q50" s="459"/>
      <c r="T50" s="459"/>
      <c r="W50" s="459"/>
      <c r="Z50" s="459"/>
      <c r="AC50" s="459"/>
    </row>
    <row r="51" spans="2:29" ht="12.75">
      <c r="B51" s="35" t="s">
        <v>346</v>
      </c>
      <c r="E51" s="142">
        <f>+'Corps Rec Project O&amp;M'!N34</f>
        <v>274495.18707</v>
      </c>
      <c r="H51" s="142">
        <f>+'IPR Data'!D6/1000</f>
        <v>275147.00002</v>
      </c>
      <c r="I51" s="142"/>
      <c r="J51" s="142"/>
      <c r="K51" s="142"/>
      <c r="L51" s="142"/>
      <c r="N51" s="142"/>
      <c r="Q51" s="142"/>
      <c r="T51" s="142"/>
      <c r="W51" s="142"/>
      <c r="Z51" s="142"/>
      <c r="AC51" s="142"/>
    </row>
    <row r="52" ht="12.75">
      <c r="B52" s="35" t="s">
        <v>347</v>
      </c>
    </row>
    <row r="53" spans="2:29" ht="12.75">
      <c r="B53" s="35" t="s">
        <v>348</v>
      </c>
      <c r="E53" s="142">
        <f>+'IPR Data'!C61/1000</f>
        <v>32765.000010000003</v>
      </c>
      <c r="H53" s="142">
        <f>+'IPR Data'!D61/1000</f>
        <v>32764.99998</v>
      </c>
      <c r="I53" s="142"/>
      <c r="J53" s="142"/>
      <c r="K53" s="142"/>
      <c r="L53" s="142"/>
      <c r="N53" s="142"/>
      <c r="Q53" s="142"/>
      <c r="T53" s="142"/>
      <c r="W53" s="142"/>
      <c r="Z53" s="142"/>
      <c r="AC53" s="142"/>
    </row>
    <row r="57" ht="12.75">
      <c r="E57" s="459">
        <f>E51+E28-E39</f>
        <v>428336.18707</v>
      </c>
    </row>
  </sheetData>
  <mergeCells count="2">
    <mergeCell ref="A1:H1"/>
    <mergeCell ref="A2:H2"/>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1:X50"/>
  <sheetViews>
    <sheetView zoomScale="80" zoomScaleNormal="80" workbookViewId="0" topLeftCell="A1">
      <selection activeCell="N42" sqref="N42:Q50"/>
    </sheetView>
  </sheetViews>
  <sheetFormatPr defaultColWidth="9.140625" defaultRowHeight="12.75"/>
  <cols>
    <col min="2" max="2" width="22.00390625" style="0" customWidth="1"/>
    <col min="3" max="3" width="9.7109375" style="0" hidden="1" customWidth="1"/>
    <col min="4" max="9" width="10.7109375" style="0" hidden="1" customWidth="1"/>
    <col min="10" max="12" width="10.7109375" style="0" customWidth="1"/>
    <col min="13" max="13" width="12.00390625" style="0" customWidth="1"/>
    <col min="14" max="14" width="11.8515625" style="0" bestFit="1" customWidth="1"/>
    <col min="15" max="15" width="11.28125" style="0" bestFit="1" customWidth="1"/>
    <col min="265" max="265" width="22.00390625" style="0" customWidth="1"/>
    <col min="266" max="266" width="9.7109375" style="0" bestFit="1" customWidth="1"/>
    <col min="267" max="268" width="10.7109375" style="0" bestFit="1" customWidth="1"/>
    <col min="269" max="269" width="12.00390625" style="0" customWidth="1"/>
    <col min="270" max="270" width="11.7109375" style="0" bestFit="1" customWidth="1"/>
    <col min="521" max="521" width="22.00390625" style="0" customWidth="1"/>
    <col min="522" max="522" width="9.7109375" style="0" bestFit="1" customWidth="1"/>
    <col min="523" max="524" width="10.7109375" style="0" bestFit="1" customWidth="1"/>
    <col min="525" max="525" width="12.00390625" style="0" customWidth="1"/>
    <col min="526" max="526" width="11.7109375" style="0" bestFit="1" customWidth="1"/>
    <col min="777" max="777" width="22.00390625" style="0" customWidth="1"/>
    <col min="778" max="778" width="9.7109375" style="0" bestFit="1" customWidth="1"/>
    <col min="779" max="780" width="10.7109375" style="0" bestFit="1" customWidth="1"/>
    <col min="781" max="781" width="12.00390625" style="0" customWidth="1"/>
    <col min="782" max="782" width="11.7109375" style="0" bestFit="1" customWidth="1"/>
    <col min="1033" max="1033" width="22.00390625" style="0" customWidth="1"/>
    <col min="1034" max="1034" width="9.7109375" style="0" bestFit="1" customWidth="1"/>
    <col min="1035" max="1036" width="10.7109375" style="0" bestFit="1" customWidth="1"/>
    <col min="1037" max="1037" width="12.00390625" style="0" customWidth="1"/>
    <col min="1038" max="1038" width="11.7109375" style="0" bestFit="1" customWidth="1"/>
    <col min="1289" max="1289" width="22.00390625" style="0" customWidth="1"/>
    <col min="1290" max="1290" width="9.7109375" style="0" bestFit="1" customWidth="1"/>
    <col min="1291" max="1292" width="10.7109375" style="0" bestFit="1" customWidth="1"/>
    <col min="1293" max="1293" width="12.00390625" style="0" customWidth="1"/>
    <col min="1294" max="1294" width="11.7109375" style="0" bestFit="1" customWidth="1"/>
    <col min="1545" max="1545" width="22.00390625" style="0" customWidth="1"/>
    <col min="1546" max="1546" width="9.7109375" style="0" bestFit="1" customWidth="1"/>
    <col min="1547" max="1548" width="10.7109375" style="0" bestFit="1" customWidth="1"/>
    <col min="1549" max="1549" width="12.00390625" style="0" customWidth="1"/>
    <col min="1550" max="1550" width="11.7109375" style="0" bestFit="1" customWidth="1"/>
    <col min="1801" max="1801" width="22.00390625" style="0" customWidth="1"/>
    <col min="1802" max="1802" width="9.7109375" style="0" bestFit="1" customWidth="1"/>
    <col min="1803" max="1804" width="10.7109375" style="0" bestFit="1" customWidth="1"/>
    <col min="1805" max="1805" width="12.00390625" style="0" customWidth="1"/>
    <col min="1806" max="1806" width="11.7109375" style="0" bestFit="1" customWidth="1"/>
    <col min="2057" max="2057" width="22.00390625" style="0" customWidth="1"/>
    <col min="2058" max="2058" width="9.7109375" style="0" bestFit="1" customWidth="1"/>
    <col min="2059" max="2060" width="10.7109375" style="0" bestFit="1" customWidth="1"/>
    <col min="2061" max="2061" width="12.00390625" style="0" customWidth="1"/>
    <col min="2062" max="2062" width="11.7109375" style="0" bestFit="1" customWidth="1"/>
    <col min="2313" max="2313" width="22.00390625" style="0" customWidth="1"/>
    <col min="2314" max="2314" width="9.7109375" style="0" bestFit="1" customWidth="1"/>
    <col min="2315" max="2316" width="10.7109375" style="0" bestFit="1" customWidth="1"/>
    <col min="2317" max="2317" width="12.00390625" style="0" customWidth="1"/>
    <col min="2318" max="2318" width="11.7109375" style="0" bestFit="1" customWidth="1"/>
    <col min="2569" max="2569" width="22.00390625" style="0" customWidth="1"/>
    <col min="2570" max="2570" width="9.7109375" style="0" bestFit="1" customWidth="1"/>
    <col min="2571" max="2572" width="10.7109375" style="0" bestFit="1" customWidth="1"/>
    <col min="2573" max="2573" width="12.00390625" style="0" customWidth="1"/>
    <col min="2574" max="2574" width="11.7109375" style="0" bestFit="1" customWidth="1"/>
    <col min="2825" max="2825" width="22.00390625" style="0" customWidth="1"/>
    <col min="2826" max="2826" width="9.7109375" style="0" bestFit="1" customWidth="1"/>
    <col min="2827" max="2828" width="10.7109375" style="0" bestFit="1" customWidth="1"/>
    <col min="2829" max="2829" width="12.00390625" style="0" customWidth="1"/>
    <col min="2830" max="2830" width="11.7109375" style="0" bestFit="1" customWidth="1"/>
    <col min="3081" max="3081" width="22.00390625" style="0" customWidth="1"/>
    <col min="3082" max="3082" width="9.7109375" style="0" bestFit="1" customWidth="1"/>
    <col min="3083" max="3084" width="10.7109375" style="0" bestFit="1" customWidth="1"/>
    <col min="3085" max="3085" width="12.00390625" style="0" customWidth="1"/>
    <col min="3086" max="3086" width="11.7109375" style="0" bestFit="1" customWidth="1"/>
    <col min="3337" max="3337" width="22.00390625" style="0" customWidth="1"/>
    <col min="3338" max="3338" width="9.7109375" style="0" bestFit="1" customWidth="1"/>
    <col min="3339" max="3340" width="10.7109375" style="0" bestFit="1" customWidth="1"/>
    <col min="3341" max="3341" width="12.00390625" style="0" customWidth="1"/>
    <col min="3342" max="3342" width="11.7109375" style="0" bestFit="1" customWidth="1"/>
    <col min="3593" max="3593" width="22.00390625" style="0" customWidth="1"/>
    <col min="3594" max="3594" width="9.7109375" style="0" bestFit="1" customWidth="1"/>
    <col min="3595" max="3596" width="10.7109375" style="0" bestFit="1" customWidth="1"/>
    <col min="3597" max="3597" width="12.00390625" style="0" customWidth="1"/>
    <col min="3598" max="3598" width="11.7109375" style="0" bestFit="1" customWidth="1"/>
    <col min="3849" max="3849" width="22.00390625" style="0" customWidth="1"/>
    <col min="3850" max="3850" width="9.7109375" style="0" bestFit="1" customWidth="1"/>
    <col min="3851" max="3852" width="10.7109375" style="0" bestFit="1" customWidth="1"/>
    <col min="3853" max="3853" width="12.00390625" style="0" customWidth="1"/>
    <col min="3854" max="3854" width="11.7109375" style="0" bestFit="1" customWidth="1"/>
    <col min="4105" max="4105" width="22.00390625" style="0" customWidth="1"/>
    <col min="4106" max="4106" width="9.7109375" style="0" bestFit="1" customWidth="1"/>
    <col min="4107" max="4108" width="10.7109375" style="0" bestFit="1" customWidth="1"/>
    <col min="4109" max="4109" width="12.00390625" style="0" customWidth="1"/>
    <col min="4110" max="4110" width="11.7109375" style="0" bestFit="1" customWidth="1"/>
    <col min="4361" max="4361" width="22.00390625" style="0" customWidth="1"/>
    <col min="4362" max="4362" width="9.7109375" style="0" bestFit="1" customWidth="1"/>
    <col min="4363" max="4364" width="10.7109375" style="0" bestFit="1" customWidth="1"/>
    <col min="4365" max="4365" width="12.00390625" style="0" customWidth="1"/>
    <col min="4366" max="4366" width="11.7109375" style="0" bestFit="1" customWidth="1"/>
    <col min="4617" max="4617" width="22.00390625" style="0" customWidth="1"/>
    <col min="4618" max="4618" width="9.7109375" style="0" bestFit="1" customWidth="1"/>
    <col min="4619" max="4620" width="10.7109375" style="0" bestFit="1" customWidth="1"/>
    <col min="4621" max="4621" width="12.00390625" style="0" customWidth="1"/>
    <col min="4622" max="4622" width="11.7109375" style="0" bestFit="1" customWidth="1"/>
    <col min="4873" max="4873" width="22.00390625" style="0" customWidth="1"/>
    <col min="4874" max="4874" width="9.7109375" style="0" bestFit="1" customWidth="1"/>
    <col min="4875" max="4876" width="10.7109375" style="0" bestFit="1" customWidth="1"/>
    <col min="4877" max="4877" width="12.00390625" style="0" customWidth="1"/>
    <col min="4878" max="4878" width="11.7109375" style="0" bestFit="1" customWidth="1"/>
    <col min="5129" max="5129" width="22.00390625" style="0" customWidth="1"/>
    <col min="5130" max="5130" width="9.7109375" style="0" bestFit="1" customWidth="1"/>
    <col min="5131" max="5132" width="10.7109375" style="0" bestFit="1" customWidth="1"/>
    <col min="5133" max="5133" width="12.00390625" style="0" customWidth="1"/>
    <col min="5134" max="5134" width="11.7109375" style="0" bestFit="1" customWidth="1"/>
    <col min="5385" max="5385" width="22.00390625" style="0" customWidth="1"/>
    <col min="5386" max="5386" width="9.7109375" style="0" bestFit="1" customWidth="1"/>
    <col min="5387" max="5388" width="10.7109375" style="0" bestFit="1" customWidth="1"/>
    <col min="5389" max="5389" width="12.00390625" style="0" customWidth="1"/>
    <col min="5390" max="5390" width="11.7109375" style="0" bestFit="1" customWidth="1"/>
    <col min="5641" max="5641" width="22.00390625" style="0" customWidth="1"/>
    <col min="5642" max="5642" width="9.7109375" style="0" bestFit="1" customWidth="1"/>
    <col min="5643" max="5644" width="10.7109375" style="0" bestFit="1" customWidth="1"/>
    <col min="5645" max="5645" width="12.00390625" style="0" customWidth="1"/>
    <col min="5646" max="5646" width="11.7109375" style="0" bestFit="1" customWidth="1"/>
    <col min="5897" max="5897" width="22.00390625" style="0" customWidth="1"/>
    <col min="5898" max="5898" width="9.7109375" style="0" bestFit="1" customWidth="1"/>
    <col min="5899" max="5900" width="10.7109375" style="0" bestFit="1" customWidth="1"/>
    <col min="5901" max="5901" width="12.00390625" style="0" customWidth="1"/>
    <col min="5902" max="5902" width="11.7109375" style="0" bestFit="1" customWidth="1"/>
    <col min="6153" max="6153" width="22.00390625" style="0" customWidth="1"/>
    <col min="6154" max="6154" width="9.7109375" style="0" bestFit="1" customWidth="1"/>
    <col min="6155" max="6156" width="10.7109375" style="0" bestFit="1" customWidth="1"/>
    <col min="6157" max="6157" width="12.00390625" style="0" customWidth="1"/>
    <col min="6158" max="6158" width="11.7109375" style="0" bestFit="1" customWidth="1"/>
    <col min="6409" max="6409" width="22.00390625" style="0" customWidth="1"/>
    <col min="6410" max="6410" width="9.7109375" style="0" bestFit="1" customWidth="1"/>
    <col min="6411" max="6412" width="10.7109375" style="0" bestFit="1" customWidth="1"/>
    <col min="6413" max="6413" width="12.00390625" style="0" customWidth="1"/>
    <col min="6414" max="6414" width="11.7109375" style="0" bestFit="1" customWidth="1"/>
    <col min="6665" max="6665" width="22.00390625" style="0" customWidth="1"/>
    <col min="6666" max="6666" width="9.7109375" style="0" bestFit="1" customWidth="1"/>
    <col min="6667" max="6668" width="10.7109375" style="0" bestFit="1" customWidth="1"/>
    <col min="6669" max="6669" width="12.00390625" style="0" customWidth="1"/>
    <col min="6670" max="6670" width="11.7109375" style="0" bestFit="1" customWidth="1"/>
    <col min="6921" max="6921" width="22.00390625" style="0" customWidth="1"/>
    <col min="6922" max="6922" width="9.7109375" style="0" bestFit="1" customWidth="1"/>
    <col min="6923" max="6924" width="10.7109375" style="0" bestFit="1" customWidth="1"/>
    <col min="6925" max="6925" width="12.00390625" style="0" customWidth="1"/>
    <col min="6926" max="6926" width="11.7109375" style="0" bestFit="1" customWidth="1"/>
    <col min="7177" max="7177" width="22.00390625" style="0" customWidth="1"/>
    <col min="7178" max="7178" width="9.7109375" style="0" bestFit="1" customWidth="1"/>
    <col min="7179" max="7180" width="10.7109375" style="0" bestFit="1" customWidth="1"/>
    <col min="7181" max="7181" width="12.00390625" style="0" customWidth="1"/>
    <col min="7182" max="7182" width="11.7109375" style="0" bestFit="1" customWidth="1"/>
    <col min="7433" max="7433" width="22.00390625" style="0" customWidth="1"/>
    <col min="7434" max="7434" width="9.7109375" style="0" bestFit="1" customWidth="1"/>
    <col min="7435" max="7436" width="10.7109375" style="0" bestFit="1" customWidth="1"/>
    <col min="7437" max="7437" width="12.00390625" style="0" customWidth="1"/>
    <col min="7438" max="7438" width="11.7109375" style="0" bestFit="1" customWidth="1"/>
    <col min="7689" max="7689" width="22.00390625" style="0" customWidth="1"/>
    <col min="7690" max="7690" width="9.7109375" style="0" bestFit="1" customWidth="1"/>
    <col min="7691" max="7692" width="10.7109375" style="0" bestFit="1" customWidth="1"/>
    <col min="7693" max="7693" width="12.00390625" style="0" customWidth="1"/>
    <col min="7694" max="7694" width="11.7109375" style="0" bestFit="1" customWidth="1"/>
    <col min="7945" max="7945" width="22.00390625" style="0" customWidth="1"/>
    <col min="7946" max="7946" width="9.7109375" style="0" bestFit="1" customWidth="1"/>
    <col min="7947" max="7948" width="10.7109375" style="0" bestFit="1" customWidth="1"/>
    <col min="7949" max="7949" width="12.00390625" style="0" customWidth="1"/>
    <col min="7950" max="7950" width="11.7109375" style="0" bestFit="1" customWidth="1"/>
    <col min="8201" max="8201" width="22.00390625" style="0" customWidth="1"/>
    <col min="8202" max="8202" width="9.7109375" style="0" bestFit="1" customWidth="1"/>
    <col min="8203" max="8204" width="10.7109375" style="0" bestFit="1" customWidth="1"/>
    <col min="8205" max="8205" width="12.00390625" style="0" customWidth="1"/>
    <col min="8206" max="8206" width="11.7109375" style="0" bestFit="1" customWidth="1"/>
    <col min="8457" max="8457" width="22.00390625" style="0" customWidth="1"/>
    <col min="8458" max="8458" width="9.7109375" style="0" bestFit="1" customWidth="1"/>
    <col min="8459" max="8460" width="10.7109375" style="0" bestFit="1" customWidth="1"/>
    <col min="8461" max="8461" width="12.00390625" style="0" customWidth="1"/>
    <col min="8462" max="8462" width="11.7109375" style="0" bestFit="1" customWidth="1"/>
    <col min="8713" max="8713" width="22.00390625" style="0" customWidth="1"/>
    <col min="8714" max="8714" width="9.7109375" style="0" bestFit="1" customWidth="1"/>
    <col min="8715" max="8716" width="10.7109375" style="0" bestFit="1" customWidth="1"/>
    <col min="8717" max="8717" width="12.00390625" style="0" customWidth="1"/>
    <col min="8718" max="8718" width="11.7109375" style="0" bestFit="1" customWidth="1"/>
    <col min="8969" max="8969" width="22.00390625" style="0" customWidth="1"/>
    <col min="8970" max="8970" width="9.7109375" style="0" bestFit="1" customWidth="1"/>
    <col min="8971" max="8972" width="10.7109375" style="0" bestFit="1" customWidth="1"/>
    <col min="8973" max="8973" width="12.00390625" style="0" customWidth="1"/>
    <col min="8974" max="8974" width="11.7109375" style="0" bestFit="1" customWidth="1"/>
    <col min="9225" max="9225" width="22.00390625" style="0" customWidth="1"/>
    <col min="9226" max="9226" width="9.7109375" style="0" bestFit="1" customWidth="1"/>
    <col min="9227" max="9228" width="10.7109375" style="0" bestFit="1" customWidth="1"/>
    <col min="9229" max="9229" width="12.00390625" style="0" customWidth="1"/>
    <col min="9230" max="9230" width="11.7109375" style="0" bestFit="1" customWidth="1"/>
    <col min="9481" max="9481" width="22.00390625" style="0" customWidth="1"/>
    <col min="9482" max="9482" width="9.7109375" style="0" bestFit="1" customWidth="1"/>
    <col min="9483" max="9484" width="10.7109375" style="0" bestFit="1" customWidth="1"/>
    <col min="9485" max="9485" width="12.00390625" style="0" customWidth="1"/>
    <col min="9486" max="9486" width="11.7109375" style="0" bestFit="1" customWidth="1"/>
    <col min="9737" max="9737" width="22.00390625" style="0" customWidth="1"/>
    <col min="9738" max="9738" width="9.7109375" style="0" bestFit="1" customWidth="1"/>
    <col min="9739" max="9740" width="10.7109375" style="0" bestFit="1" customWidth="1"/>
    <col min="9741" max="9741" width="12.00390625" style="0" customWidth="1"/>
    <col min="9742" max="9742" width="11.7109375" style="0" bestFit="1" customWidth="1"/>
    <col min="9993" max="9993" width="22.00390625" style="0" customWidth="1"/>
    <col min="9994" max="9994" width="9.7109375" style="0" bestFit="1" customWidth="1"/>
    <col min="9995" max="9996" width="10.7109375" style="0" bestFit="1" customWidth="1"/>
    <col min="9997" max="9997" width="12.00390625" style="0" customWidth="1"/>
    <col min="9998" max="9998" width="11.7109375" style="0" bestFit="1" customWidth="1"/>
    <col min="10249" max="10249" width="22.00390625" style="0" customWidth="1"/>
    <col min="10250" max="10250" width="9.7109375" style="0" bestFit="1" customWidth="1"/>
    <col min="10251" max="10252" width="10.7109375" style="0" bestFit="1" customWidth="1"/>
    <col min="10253" max="10253" width="12.00390625" style="0" customWidth="1"/>
    <col min="10254" max="10254" width="11.7109375" style="0" bestFit="1" customWidth="1"/>
    <col min="10505" max="10505" width="22.00390625" style="0" customWidth="1"/>
    <col min="10506" max="10506" width="9.7109375" style="0" bestFit="1" customWidth="1"/>
    <col min="10507" max="10508" width="10.7109375" style="0" bestFit="1" customWidth="1"/>
    <col min="10509" max="10509" width="12.00390625" style="0" customWidth="1"/>
    <col min="10510" max="10510" width="11.7109375" style="0" bestFit="1" customWidth="1"/>
    <col min="10761" max="10761" width="22.00390625" style="0" customWidth="1"/>
    <col min="10762" max="10762" width="9.7109375" style="0" bestFit="1" customWidth="1"/>
    <col min="10763" max="10764" width="10.7109375" style="0" bestFit="1" customWidth="1"/>
    <col min="10765" max="10765" width="12.00390625" style="0" customWidth="1"/>
    <col min="10766" max="10766" width="11.7109375" style="0" bestFit="1" customWidth="1"/>
    <col min="11017" max="11017" width="22.00390625" style="0" customWidth="1"/>
    <col min="11018" max="11018" width="9.7109375" style="0" bestFit="1" customWidth="1"/>
    <col min="11019" max="11020" width="10.7109375" style="0" bestFit="1" customWidth="1"/>
    <col min="11021" max="11021" width="12.00390625" style="0" customWidth="1"/>
    <col min="11022" max="11022" width="11.7109375" style="0" bestFit="1" customWidth="1"/>
    <col min="11273" max="11273" width="22.00390625" style="0" customWidth="1"/>
    <col min="11274" max="11274" width="9.7109375" style="0" bestFit="1" customWidth="1"/>
    <col min="11275" max="11276" width="10.7109375" style="0" bestFit="1" customWidth="1"/>
    <col min="11277" max="11277" width="12.00390625" style="0" customWidth="1"/>
    <col min="11278" max="11278" width="11.7109375" style="0" bestFit="1" customWidth="1"/>
    <col min="11529" max="11529" width="22.00390625" style="0" customWidth="1"/>
    <col min="11530" max="11530" width="9.7109375" style="0" bestFit="1" customWidth="1"/>
    <col min="11531" max="11532" width="10.7109375" style="0" bestFit="1" customWidth="1"/>
    <col min="11533" max="11533" width="12.00390625" style="0" customWidth="1"/>
    <col min="11534" max="11534" width="11.7109375" style="0" bestFit="1" customWidth="1"/>
    <col min="11785" max="11785" width="22.00390625" style="0" customWidth="1"/>
    <col min="11786" max="11786" width="9.7109375" style="0" bestFit="1" customWidth="1"/>
    <col min="11787" max="11788" width="10.7109375" style="0" bestFit="1" customWidth="1"/>
    <col min="11789" max="11789" width="12.00390625" style="0" customWidth="1"/>
    <col min="11790" max="11790" width="11.7109375" style="0" bestFit="1" customWidth="1"/>
    <col min="12041" max="12041" width="22.00390625" style="0" customWidth="1"/>
    <col min="12042" max="12042" width="9.7109375" style="0" bestFit="1" customWidth="1"/>
    <col min="12043" max="12044" width="10.7109375" style="0" bestFit="1" customWidth="1"/>
    <col min="12045" max="12045" width="12.00390625" style="0" customWidth="1"/>
    <col min="12046" max="12046" width="11.7109375" style="0" bestFit="1" customWidth="1"/>
    <col min="12297" max="12297" width="22.00390625" style="0" customWidth="1"/>
    <col min="12298" max="12298" width="9.7109375" style="0" bestFit="1" customWidth="1"/>
    <col min="12299" max="12300" width="10.7109375" style="0" bestFit="1" customWidth="1"/>
    <col min="12301" max="12301" width="12.00390625" style="0" customWidth="1"/>
    <col min="12302" max="12302" width="11.7109375" style="0" bestFit="1" customWidth="1"/>
    <col min="12553" max="12553" width="22.00390625" style="0" customWidth="1"/>
    <col min="12554" max="12554" width="9.7109375" style="0" bestFit="1" customWidth="1"/>
    <col min="12555" max="12556" width="10.7109375" style="0" bestFit="1" customWidth="1"/>
    <col min="12557" max="12557" width="12.00390625" style="0" customWidth="1"/>
    <col min="12558" max="12558" width="11.7109375" style="0" bestFit="1" customWidth="1"/>
    <col min="12809" max="12809" width="22.00390625" style="0" customWidth="1"/>
    <col min="12810" max="12810" width="9.7109375" style="0" bestFit="1" customWidth="1"/>
    <col min="12811" max="12812" width="10.7109375" style="0" bestFit="1" customWidth="1"/>
    <col min="12813" max="12813" width="12.00390625" style="0" customWidth="1"/>
    <col min="12814" max="12814" width="11.7109375" style="0" bestFit="1" customWidth="1"/>
    <col min="13065" max="13065" width="22.00390625" style="0" customWidth="1"/>
    <col min="13066" max="13066" width="9.7109375" style="0" bestFit="1" customWidth="1"/>
    <col min="13067" max="13068" width="10.7109375" style="0" bestFit="1" customWidth="1"/>
    <col min="13069" max="13069" width="12.00390625" style="0" customWidth="1"/>
    <col min="13070" max="13070" width="11.7109375" style="0" bestFit="1" customWidth="1"/>
    <col min="13321" max="13321" width="22.00390625" style="0" customWidth="1"/>
    <col min="13322" max="13322" width="9.7109375" style="0" bestFit="1" customWidth="1"/>
    <col min="13323" max="13324" width="10.7109375" style="0" bestFit="1" customWidth="1"/>
    <col min="13325" max="13325" width="12.00390625" style="0" customWidth="1"/>
    <col min="13326" max="13326" width="11.7109375" style="0" bestFit="1" customWidth="1"/>
    <col min="13577" max="13577" width="22.00390625" style="0" customWidth="1"/>
    <col min="13578" max="13578" width="9.7109375" style="0" bestFit="1" customWidth="1"/>
    <col min="13579" max="13580" width="10.7109375" style="0" bestFit="1" customWidth="1"/>
    <col min="13581" max="13581" width="12.00390625" style="0" customWidth="1"/>
    <col min="13582" max="13582" width="11.7109375" style="0" bestFit="1" customWidth="1"/>
    <col min="13833" max="13833" width="22.00390625" style="0" customWidth="1"/>
    <col min="13834" max="13834" width="9.7109375" style="0" bestFit="1" customWidth="1"/>
    <col min="13835" max="13836" width="10.7109375" style="0" bestFit="1" customWidth="1"/>
    <col min="13837" max="13837" width="12.00390625" style="0" customWidth="1"/>
    <col min="13838" max="13838" width="11.7109375" style="0" bestFit="1" customWidth="1"/>
    <col min="14089" max="14089" width="22.00390625" style="0" customWidth="1"/>
    <col min="14090" max="14090" width="9.7109375" style="0" bestFit="1" customWidth="1"/>
    <col min="14091" max="14092" width="10.7109375" style="0" bestFit="1" customWidth="1"/>
    <col min="14093" max="14093" width="12.00390625" style="0" customWidth="1"/>
    <col min="14094" max="14094" width="11.7109375" style="0" bestFit="1" customWidth="1"/>
    <col min="14345" max="14345" width="22.00390625" style="0" customWidth="1"/>
    <col min="14346" max="14346" width="9.7109375" style="0" bestFit="1" customWidth="1"/>
    <col min="14347" max="14348" width="10.7109375" style="0" bestFit="1" customWidth="1"/>
    <col min="14349" max="14349" width="12.00390625" style="0" customWidth="1"/>
    <col min="14350" max="14350" width="11.7109375" style="0" bestFit="1" customWidth="1"/>
    <col min="14601" max="14601" width="22.00390625" style="0" customWidth="1"/>
    <col min="14602" max="14602" width="9.7109375" style="0" bestFit="1" customWidth="1"/>
    <col min="14603" max="14604" width="10.7109375" style="0" bestFit="1" customWidth="1"/>
    <col min="14605" max="14605" width="12.00390625" style="0" customWidth="1"/>
    <col min="14606" max="14606" width="11.7109375" style="0" bestFit="1" customWidth="1"/>
    <col min="14857" max="14857" width="22.00390625" style="0" customWidth="1"/>
    <col min="14858" max="14858" width="9.7109375" style="0" bestFit="1" customWidth="1"/>
    <col min="14859" max="14860" width="10.7109375" style="0" bestFit="1" customWidth="1"/>
    <col min="14861" max="14861" width="12.00390625" style="0" customWidth="1"/>
    <col min="14862" max="14862" width="11.7109375" style="0" bestFit="1" customWidth="1"/>
    <col min="15113" max="15113" width="22.00390625" style="0" customWidth="1"/>
    <col min="15114" max="15114" width="9.7109375" style="0" bestFit="1" customWidth="1"/>
    <col min="15115" max="15116" width="10.7109375" style="0" bestFit="1" customWidth="1"/>
    <col min="15117" max="15117" width="12.00390625" style="0" customWidth="1"/>
    <col min="15118" max="15118" width="11.7109375" style="0" bestFit="1" customWidth="1"/>
    <col min="15369" max="15369" width="22.00390625" style="0" customWidth="1"/>
    <col min="15370" max="15370" width="9.7109375" style="0" bestFit="1" customWidth="1"/>
    <col min="15371" max="15372" width="10.7109375" style="0" bestFit="1" customWidth="1"/>
    <col min="15373" max="15373" width="12.00390625" style="0" customWidth="1"/>
    <col min="15374" max="15374" width="11.7109375" style="0" bestFit="1" customWidth="1"/>
    <col min="15625" max="15625" width="22.00390625" style="0" customWidth="1"/>
    <col min="15626" max="15626" width="9.7109375" style="0" bestFit="1" customWidth="1"/>
    <col min="15627" max="15628" width="10.7109375" style="0" bestFit="1" customWidth="1"/>
    <col min="15629" max="15629" width="12.00390625" style="0" customWidth="1"/>
    <col min="15630" max="15630" width="11.7109375" style="0" bestFit="1" customWidth="1"/>
    <col min="15881" max="15881" width="22.00390625" style="0" customWidth="1"/>
    <col min="15882" max="15882" width="9.7109375" style="0" bestFit="1" customWidth="1"/>
    <col min="15883" max="15884" width="10.7109375" style="0" bestFit="1" customWidth="1"/>
    <col min="15885" max="15885" width="12.00390625" style="0" customWidth="1"/>
    <col min="15886" max="15886" width="11.7109375" style="0" bestFit="1" customWidth="1"/>
    <col min="16137" max="16137" width="22.00390625" style="0" customWidth="1"/>
    <col min="16138" max="16138" width="9.7109375" style="0" bestFit="1" customWidth="1"/>
    <col min="16139" max="16140" width="10.7109375" style="0" bestFit="1" customWidth="1"/>
    <col min="16141" max="16141" width="12.00390625" style="0" customWidth="1"/>
    <col min="16142" max="16142" width="11.7109375" style="0" bestFit="1" customWidth="1"/>
  </cols>
  <sheetData>
    <row r="1" spans="2:15" ht="15.75">
      <c r="B1" s="493" t="s">
        <v>443</v>
      </c>
      <c r="C1" s="493"/>
      <c r="D1" s="493"/>
      <c r="E1" s="493"/>
      <c r="F1" s="493"/>
      <c r="G1" s="493"/>
      <c r="H1" s="493"/>
      <c r="I1" s="493"/>
      <c r="J1" s="493"/>
      <c r="K1" s="493"/>
      <c r="L1" s="493"/>
      <c r="M1" s="493"/>
      <c r="N1" s="493"/>
      <c r="O1" s="493"/>
    </row>
    <row r="2" spans="2:15" ht="12.75">
      <c r="B2" s="494" t="s">
        <v>246</v>
      </c>
      <c r="C2" s="494"/>
      <c r="D2" s="494"/>
      <c r="E2" s="494"/>
      <c r="F2" s="494"/>
      <c r="G2" s="494"/>
      <c r="H2" s="494"/>
      <c r="I2" s="494"/>
      <c r="J2" s="494"/>
      <c r="K2" s="494"/>
      <c r="L2" s="494"/>
      <c r="M2" s="494"/>
      <c r="N2" s="494"/>
      <c r="O2" s="494"/>
    </row>
    <row r="3" ht="12.75">
      <c r="D3" s="75"/>
    </row>
    <row r="4" spans="10:15" ht="12.75">
      <c r="J4" s="99" t="s">
        <v>156</v>
      </c>
      <c r="K4" s="99" t="s">
        <v>157</v>
      </c>
      <c r="L4" s="99" t="s">
        <v>158</v>
      </c>
      <c r="M4" s="99" t="s">
        <v>159</v>
      </c>
      <c r="N4" s="99" t="s">
        <v>160</v>
      </c>
      <c r="O4" s="99" t="s">
        <v>161</v>
      </c>
    </row>
    <row r="5" spans="3:19" ht="12.75">
      <c r="C5" s="92">
        <v>2011</v>
      </c>
      <c r="D5" s="92">
        <v>2012</v>
      </c>
      <c r="E5" s="92">
        <v>2013</v>
      </c>
      <c r="F5" s="155">
        <v>2014</v>
      </c>
      <c r="G5" s="155">
        <v>2015</v>
      </c>
      <c r="H5" s="192">
        <v>2016</v>
      </c>
      <c r="I5" s="192">
        <v>2017</v>
      </c>
      <c r="J5" s="261">
        <v>2019</v>
      </c>
      <c r="K5" s="261">
        <v>2020</v>
      </c>
      <c r="L5" s="284">
        <v>2021</v>
      </c>
      <c r="M5" s="92" t="s">
        <v>444</v>
      </c>
      <c r="N5" s="92">
        <f>+'Income Statement Cash Flows'!E6</f>
        <v>2024</v>
      </c>
      <c r="O5" s="92">
        <f>+N5+1</f>
        <v>2025</v>
      </c>
      <c r="P5" s="92"/>
      <c r="Q5" s="92"/>
      <c r="R5" s="92"/>
      <c r="S5" s="92"/>
    </row>
    <row r="6" spans="1:19" ht="12.75">
      <c r="A6">
        <v>1</v>
      </c>
      <c r="B6" s="30" t="s">
        <v>329</v>
      </c>
      <c r="C6" s="24">
        <v>4157</v>
      </c>
      <c r="D6" s="24">
        <v>4547</v>
      </c>
      <c r="E6" s="24">
        <v>4480</v>
      </c>
      <c r="F6" s="24" t="s">
        <v>682</v>
      </c>
      <c r="G6" s="24">
        <v>5570.27</v>
      </c>
      <c r="H6" s="24">
        <v>5248.063</v>
      </c>
      <c r="I6" s="24">
        <v>5563.131</v>
      </c>
      <c r="J6" s="21">
        <v>5680.009</v>
      </c>
      <c r="K6" s="24">
        <v>5804</v>
      </c>
      <c r="L6" s="24">
        <v>5327</v>
      </c>
      <c r="M6" s="21">
        <f>AVERAGE(J6:L6)</f>
        <v>5603.669666666666</v>
      </c>
      <c r="N6" s="21">
        <f>ROUND($M6/$M$12*N$12,0)</f>
        <v>5591</v>
      </c>
      <c r="O6" s="21">
        <f>ROUND($M6/$M$12*O$12,0)</f>
        <v>5695</v>
      </c>
      <c r="P6" s="21"/>
      <c r="Q6" s="21"/>
      <c r="R6" s="21"/>
      <c r="S6" s="21"/>
    </row>
    <row r="7" spans="1:19" ht="12.75">
      <c r="A7">
        <v>2</v>
      </c>
      <c r="B7" s="30" t="s">
        <v>331</v>
      </c>
      <c r="C7" s="24">
        <v>67247</v>
      </c>
      <c r="D7" s="24">
        <v>69104</v>
      </c>
      <c r="E7" s="24">
        <v>106635</v>
      </c>
      <c r="F7" s="24">
        <v>111059.861</v>
      </c>
      <c r="G7" s="24">
        <v>109365.061</v>
      </c>
      <c r="H7" s="24">
        <v>107201.669</v>
      </c>
      <c r="I7" s="24">
        <v>120506.302</v>
      </c>
      <c r="J7" s="21">
        <v>130345.129</v>
      </c>
      <c r="K7" s="24">
        <v>121608</v>
      </c>
      <c r="L7" s="24">
        <v>122362</v>
      </c>
      <c r="M7" s="21">
        <f aca="true" t="shared" si="0" ref="M7:M11">AVERAGE(J7:L7)</f>
        <v>124771.70966666668</v>
      </c>
      <c r="N7" s="21">
        <f aca="true" t="shared" si="1" ref="N7:O11">ROUND($M7/$M$12*N$12,0)</f>
        <v>124496</v>
      </c>
      <c r="O7" s="21">
        <f t="shared" si="1"/>
        <v>126798</v>
      </c>
      <c r="P7" s="21"/>
      <c r="Q7" s="21"/>
      <c r="R7" s="21"/>
      <c r="S7" s="21"/>
    </row>
    <row r="8" spans="1:19" ht="12.75">
      <c r="A8">
        <v>3</v>
      </c>
      <c r="B8" s="30" t="s">
        <v>333</v>
      </c>
      <c r="C8" s="24">
        <v>893</v>
      </c>
      <c r="D8" s="24">
        <v>762</v>
      </c>
      <c r="E8" s="24">
        <v>882</v>
      </c>
      <c r="F8" s="24">
        <v>4379.009</v>
      </c>
      <c r="G8" s="24">
        <v>1113.783</v>
      </c>
      <c r="H8" s="24">
        <v>1195.658</v>
      </c>
      <c r="I8" s="24">
        <v>1080.199</v>
      </c>
      <c r="J8" s="21">
        <v>1207.275</v>
      </c>
      <c r="K8" s="24">
        <v>1010</v>
      </c>
      <c r="L8" s="24">
        <v>1399</v>
      </c>
      <c r="M8" s="21">
        <f t="shared" si="0"/>
        <v>1205.425</v>
      </c>
      <c r="N8" s="21">
        <f t="shared" si="1"/>
        <v>1203</v>
      </c>
      <c r="O8" s="21">
        <f t="shared" si="1"/>
        <v>1225</v>
      </c>
      <c r="P8" s="21"/>
      <c r="Q8" s="21"/>
      <c r="R8" s="156"/>
      <c r="S8" s="21"/>
    </row>
    <row r="9" spans="1:19" ht="12.75">
      <c r="A9">
        <v>4</v>
      </c>
      <c r="B9" s="30" t="s">
        <v>334</v>
      </c>
      <c r="C9" s="24">
        <v>4188</v>
      </c>
      <c r="D9" s="24">
        <v>5061</v>
      </c>
      <c r="E9" s="24">
        <v>4460</v>
      </c>
      <c r="F9" s="24">
        <v>5702.322</v>
      </c>
      <c r="G9" s="24">
        <v>6161.344</v>
      </c>
      <c r="H9" s="24">
        <v>6075.833</v>
      </c>
      <c r="I9" s="24">
        <v>6252.034</v>
      </c>
      <c r="J9" s="21">
        <v>6918.834</v>
      </c>
      <c r="K9" s="24">
        <v>7277</v>
      </c>
      <c r="L9" s="24">
        <v>7394</v>
      </c>
      <c r="M9" s="21">
        <f t="shared" si="0"/>
        <v>7196.611333333333</v>
      </c>
      <c r="N9" s="21">
        <f t="shared" si="1"/>
        <v>7181</v>
      </c>
      <c r="O9" s="21">
        <f t="shared" si="1"/>
        <v>7313</v>
      </c>
      <c r="P9" s="21"/>
      <c r="Q9" s="21"/>
      <c r="R9" s="21"/>
      <c r="S9" s="21"/>
    </row>
    <row r="10" spans="1:19" ht="12.75">
      <c r="A10">
        <v>5</v>
      </c>
      <c r="B10" s="30" t="s">
        <v>445</v>
      </c>
      <c r="C10" s="24">
        <v>7500</v>
      </c>
      <c r="D10" s="24">
        <v>7363</v>
      </c>
      <c r="E10" s="24">
        <v>8184</v>
      </c>
      <c r="F10" s="24">
        <v>9002.398</v>
      </c>
      <c r="G10" s="24">
        <v>9952.439</v>
      </c>
      <c r="H10" s="24">
        <v>11840.552</v>
      </c>
      <c r="I10" s="24">
        <v>12031.933</v>
      </c>
      <c r="J10" s="21">
        <v>14324.443</v>
      </c>
      <c r="K10" s="24">
        <v>13581</v>
      </c>
      <c r="L10" s="24">
        <v>10708</v>
      </c>
      <c r="M10" s="21">
        <f t="shared" si="0"/>
        <v>12871.147666666666</v>
      </c>
      <c r="N10" s="21">
        <f t="shared" si="1"/>
        <v>12843</v>
      </c>
      <c r="O10" s="21">
        <f t="shared" si="1"/>
        <v>13080</v>
      </c>
      <c r="P10" s="21"/>
      <c r="Q10" s="21"/>
      <c r="R10" s="21"/>
      <c r="S10" s="21"/>
    </row>
    <row r="11" spans="1:19" ht="12.75">
      <c r="A11">
        <v>6</v>
      </c>
      <c r="B11" t="s">
        <v>336</v>
      </c>
      <c r="C11" s="24">
        <v>1890</v>
      </c>
      <c r="D11" s="24">
        <v>2283</v>
      </c>
      <c r="E11" s="24">
        <v>2274</v>
      </c>
      <c r="F11" s="24">
        <v>2610.083</v>
      </c>
      <c r="G11" s="24">
        <v>2402.874</v>
      </c>
      <c r="H11" s="24">
        <v>2764.792</v>
      </c>
      <c r="I11" s="243">
        <v>2965.595</v>
      </c>
      <c r="J11" s="22">
        <v>3061.643</v>
      </c>
      <c r="K11" s="243">
        <v>3163</v>
      </c>
      <c r="L11" s="243">
        <v>2948</v>
      </c>
      <c r="M11" s="22">
        <f t="shared" si="0"/>
        <v>3057.547666666667</v>
      </c>
      <c r="N11" s="22">
        <f t="shared" si="1"/>
        <v>3051</v>
      </c>
      <c r="O11" s="22">
        <f t="shared" si="1"/>
        <v>3107</v>
      </c>
      <c r="P11" s="21"/>
      <c r="Q11" s="21"/>
      <c r="R11" s="21"/>
      <c r="S11" s="21"/>
    </row>
    <row r="12" spans="1:19" ht="12.75">
      <c r="A12">
        <v>7</v>
      </c>
      <c r="B12" s="33" t="s">
        <v>446</v>
      </c>
      <c r="C12" s="24"/>
      <c r="D12" s="24"/>
      <c r="E12" s="24"/>
      <c r="F12" s="24"/>
      <c r="G12" s="21">
        <f aca="true" t="shared" si="2" ref="G12:M12">SUM(G6:G11)</f>
        <v>134565.771</v>
      </c>
      <c r="H12" s="21">
        <f t="shared" si="2"/>
        <v>134326.56699999998</v>
      </c>
      <c r="I12" s="21">
        <f t="shared" si="2"/>
        <v>148399.19399999996</v>
      </c>
      <c r="J12" s="21">
        <v>161537.333</v>
      </c>
      <c r="K12" s="21">
        <v>152443</v>
      </c>
      <c r="L12" s="21">
        <f t="shared" si="2"/>
        <v>150138</v>
      </c>
      <c r="M12" s="21">
        <f t="shared" si="2"/>
        <v>154706.111</v>
      </c>
      <c r="N12" s="21">
        <f>+'IPR Data'!C5/1000</f>
        <v>154364.00003</v>
      </c>
      <c r="O12" s="21">
        <f>+'IPR Data'!D5/1000</f>
        <v>157217.99998999998</v>
      </c>
      <c r="P12" s="21"/>
      <c r="Q12" s="21"/>
      <c r="R12" s="21"/>
      <c r="S12" s="21"/>
    </row>
    <row r="13" spans="1:19" ht="12.75" hidden="1">
      <c r="A13">
        <v>8</v>
      </c>
      <c r="B13" s="11"/>
      <c r="C13" s="24"/>
      <c r="D13" s="24"/>
      <c r="E13" s="24"/>
      <c r="F13" s="24"/>
      <c r="G13" s="24"/>
      <c r="H13" s="24"/>
      <c r="I13" s="24"/>
      <c r="J13" s="24"/>
      <c r="K13" s="24"/>
      <c r="L13" s="24"/>
      <c r="M13" s="21" t="s">
        <v>447</v>
      </c>
      <c r="N13" s="21">
        <f>SUM(N6:N11)</f>
        <v>154365</v>
      </c>
      <c r="O13" s="21">
        <f>SUM(O6:O11)</f>
        <v>157218</v>
      </c>
      <c r="P13" s="21"/>
      <c r="Q13" s="21"/>
      <c r="R13" s="21"/>
      <c r="S13" s="21"/>
    </row>
    <row r="14" spans="1:19" ht="12.75">
      <c r="A14">
        <v>9</v>
      </c>
      <c r="B14" s="11"/>
      <c r="C14" s="24"/>
      <c r="D14" s="24"/>
      <c r="E14" s="24"/>
      <c r="F14" s="24"/>
      <c r="G14" s="24"/>
      <c r="H14" s="24"/>
      <c r="I14" s="24"/>
      <c r="J14" s="24"/>
      <c r="K14" s="24"/>
      <c r="L14" s="24"/>
      <c r="M14" s="21"/>
      <c r="N14" s="21"/>
      <c r="O14" s="21"/>
      <c r="P14" s="21"/>
      <c r="Q14" s="21"/>
      <c r="R14" s="21"/>
      <c r="S14" s="21"/>
    </row>
    <row r="15" spans="1:19" ht="12.75">
      <c r="A15">
        <v>10</v>
      </c>
      <c r="B15" s="11"/>
      <c r="C15" s="24"/>
      <c r="D15" s="24"/>
      <c r="E15" s="24"/>
      <c r="F15" s="24"/>
      <c r="G15" s="24"/>
      <c r="H15" s="24"/>
      <c r="I15" s="24"/>
      <c r="J15" s="24"/>
      <c r="K15" s="24"/>
      <c r="L15" s="24"/>
      <c r="M15" s="21"/>
      <c r="N15" s="21"/>
      <c r="O15" s="21"/>
      <c r="P15" s="21"/>
      <c r="Q15" s="21"/>
      <c r="R15" s="21"/>
      <c r="S15" s="21"/>
    </row>
    <row r="16" spans="1:19" ht="12.75">
      <c r="A16">
        <v>11</v>
      </c>
      <c r="B16" s="30" t="s">
        <v>448</v>
      </c>
      <c r="C16" s="24">
        <v>6877</v>
      </c>
      <c r="D16" s="24">
        <v>7021</v>
      </c>
      <c r="E16" s="24">
        <v>7383</v>
      </c>
      <c r="F16" s="24">
        <v>7816.74</v>
      </c>
      <c r="G16" s="24">
        <v>6982.468</v>
      </c>
      <c r="H16" s="24">
        <v>8171.812</v>
      </c>
      <c r="I16" s="24">
        <v>8480.588</v>
      </c>
      <c r="J16" s="24">
        <v>9231.911</v>
      </c>
      <c r="K16" s="24">
        <v>8217</v>
      </c>
      <c r="L16" s="24">
        <v>9038</v>
      </c>
      <c r="M16" s="21">
        <f aca="true" t="shared" si="3" ref="M16:M33">AVERAGE(J16:L16)</f>
        <v>8828.970333333333</v>
      </c>
      <c r="N16" s="21">
        <f>ROUND($M16/$M$34*N$34,0)</f>
        <v>9918</v>
      </c>
      <c r="O16" s="21">
        <f>ROUND($M16/$M$34*O$34,0)</f>
        <v>10160</v>
      </c>
      <c r="P16" s="21"/>
      <c r="Q16" s="21"/>
      <c r="R16" s="21"/>
      <c r="S16" s="21"/>
    </row>
    <row r="17" spans="1:19" ht="12.75">
      <c r="A17">
        <v>12</v>
      </c>
      <c r="B17" t="s">
        <v>340</v>
      </c>
      <c r="C17" s="24">
        <v>24784</v>
      </c>
      <c r="D17" s="24">
        <v>24739</v>
      </c>
      <c r="E17" s="24">
        <v>22955</v>
      </c>
      <c r="F17" s="24">
        <v>25647.612</v>
      </c>
      <c r="G17" s="24">
        <v>26041.111</v>
      </c>
      <c r="H17" s="24">
        <v>26229.543</v>
      </c>
      <c r="I17" s="24">
        <v>29242.929</v>
      </c>
      <c r="J17" s="24">
        <v>29610.488</v>
      </c>
      <c r="K17" s="24">
        <v>24997</v>
      </c>
      <c r="L17" s="24">
        <v>23479</v>
      </c>
      <c r="M17" s="21">
        <f t="shared" si="3"/>
        <v>26028.82933333333</v>
      </c>
      <c r="N17" s="21">
        <f aca="true" t="shared" si="4" ref="N17:O33">ROUND($M17/$M$34*N$34,0)</f>
        <v>29239</v>
      </c>
      <c r="O17" s="21">
        <f t="shared" si="4"/>
        <v>29953</v>
      </c>
      <c r="P17" s="21"/>
      <c r="Q17" s="21"/>
      <c r="R17" s="21"/>
      <c r="S17" s="21"/>
    </row>
    <row r="18" spans="1:19" ht="12.75">
      <c r="A18">
        <v>13</v>
      </c>
      <c r="B18" s="30" t="s">
        <v>449</v>
      </c>
      <c r="C18" s="24">
        <v>19474</v>
      </c>
      <c r="D18" s="24">
        <v>21867</v>
      </c>
      <c r="E18" s="24">
        <v>24045</v>
      </c>
      <c r="F18" s="24">
        <v>24761.923</v>
      </c>
      <c r="G18" s="24">
        <v>31102.039</v>
      </c>
      <c r="H18" s="24">
        <v>27637.127</v>
      </c>
      <c r="I18" s="24">
        <v>28822.664</v>
      </c>
      <c r="J18" s="24">
        <v>39190.169</v>
      </c>
      <c r="K18" s="24">
        <v>30082</v>
      </c>
      <c r="L18" s="24">
        <v>38559</v>
      </c>
      <c r="M18" s="21">
        <f t="shared" si="3"/>
        <v>35943.723</v>
      </c>
      <c r="N18" s="21">
        <f t="shared" si="4"/>
        <v>40376</v>
      </c>
      <c r="O18" s="21">
        <f t="shared" si="4"/>
        <v>41362</v>
      </c>
      <c r="P18" s="21"/>
      <c r="Q18" s="21"/>
      <c r="R18" s="21"/>
      <c r="S18" s="21"/>
    </row>
    <row r="19" spans="1:19" ht="12.75">
      <c r="A19">
        <v>14</v>
      </c>
      <c r="B19" t="s">
        <v>450</v>
      </c>
      <c r="C19" s="24">
        <v>1407</v>
      </c>
      <c r="D19" s="24">
        <v>-321</v>
      </c>
      <c r="E19" s="24">
        <v>1391</v>
      </c>
      <c r="F19" s="24">
        <v>1437.858</v>
      </c>
      <c r="G19" s="24">
        <v>1540.868</v>
      </c>
      <c r="H19" s="24">
        <v>1556.082</v>
      </c>
      <c r="I19" s="24">
        <v>1462.618</v>
      </c>
      <c r="J19" s="24">
        <v>1424.774</v>
      </c>
      <c r="K19" s="24">
        <v>1472</v>
      </c>
      <c r="L19" s="24">
        <v>1714</v>
      </c>
      <c r="M19" s="21">
        <f t="shared" si="3"/>
        <v>1536.9246666666666</v>
      </c>
      <c r="N19" s="21">
        <f t="shared" si="4"/>
        <v>1726</v>
      </c>
      <c r="O19" s="21">
        <f t="shared" si="4"/>
        <v>1769</v>
      </c>
      <c r="P19" s="21"/>
      <c r="Q19" s="21"/>
      <c r="R19" s="21"/>
      <c r="S19" s="21"/>
    </row>
    <row r="20" spans="1:19" ht="12.75">
      <c r="A20">
        <v>15</v>
      </c>
      <c r="B20" s="30" t="s">
        <v>451</v>
      </c>
      <c r="C20" s="24">
        <v>4379</v>
      </c>
      <c r="D20" s="24">
        <v>4944</v>
      </c>
      <c r="E20" s="24">
        <v>5493</v>
      </c>
      <c r="F20" s="24">
        <v>6756.232</v>
      </c>
      <c r="G20" s="24">
        <v>5509.442</v>
      </c>
      <c r="H20" s="24">
        <v>6608.049</v>
      </c>
      <c r="I20" s="24">
        <v>5767.965</v>
      </c>
      <c r="J20" s="24">
        <v>6615.605</v>
      </c>
      <c r="K20" s="24">
        <v>6457</v>
      </c>
      <c r="L20" s="24">
        <v>6728</v>
      </c>
      <c r="M20" s="21">
        <f t="shared" si="3"/>
        <v>6600.201666666667</v>
      </c>
      <c r="N20" s="21">
        <f t="shared" si="4"/>
        <v>7414</v>
      </c>
      <c r="O20" s="21">
        <f t="shared" si="4"/>
        <v>7595</v>
      </c>
      <c r="P20" s="21"/>
      <c r="Q20" s="21"/>
      <c r="R20" s="21"/>
      <c r="S20" s="21"/>
    </row>
    <row r="21" spans="1:19" ht="12.75">
      <c r="A21">
        <v>16</v>
      </c>
      <c r="B21" t="s">
        <v>452</v>
      </c>
      <c r="C21" s="24">
        <v>13460</v>
      </c>
      <c r="D21" s="24">
        <v>12486</v>
      </c>
      <c r="E21" s="24">
        <v>11418</v>
      </c>
      <c r="F21" s="24">
        <v>12255.782</v>
      </c>
      <c r="G21" s="24">
        <v>11992.054</v>
      </c>
      <c r="H21" s="24">
        <v>11620.719</v>
      </c>
      <c r="I21" s="24">
        <v>12589.179</v>
      </c>
      <c r="J21" s="24">
        <v>14706.118</v>
      </c>
      <c r="K21" s="24">
        <v>12017</v>
      </c>
      <c r="L21" s="24">
        <v>13476</v>
      </c>
      <c r="M21" s="21">
        <f t="shared" si="3"/>
        <v>13399.706</v>
      </c>
      <c r="N21" s="21">
        <f t="shared" si="4"/>
        <v>15052</v>
      </c>
      <c r="O21" s="21">
        <f t="shared" si="4"/>
        <v>15420</v>
      </c>
      <c r="P21" s="21"/>
      <c r="Q21" s="21"/>
      <c r="R21" s="21"/>
      <c r="S21" s="21"/>
    </row>
    <row r="22" spans="1:19" ht="12.75">
      <c r="A22">
        <v>17</v>
      </c>
      <c r="B22" s="30" t="s">
        <v>453</v>
      </c>
      <c r="C22" s="24">
        <v>4058</v>
      </c>
      <c r="D22" s="24">
        <v>4712</v>
      </c>
      <c r="E22" s="24">
        <v>3983</v>
      </c>
      <c r="F22" s="24">
        <v>4464.788</v>
      </c>
      <c r="G22" s="24">
        <v>5124.642</v>
      </c>
      <c r="H22" s="24">
        <v>4782.138</v>
      </c>
      <c r="I22" s="24">
        <v>4891.102</v>
      </c>
      <c r="J22" s="24">
        <v>4652.187</v>
      </c>
      <c r="K22" s="24">
        <v>4914</v>
      </c>
      <c r="L22" s="24">
        <v>4679</v>
      </c>
      <c r="M22" s="21">
        <f t="shared" si="3"/>
        <v>4748.395666666666</v>
      </c>
      <c r="N22" s="21">
        <f t="shared" si="4"/>
        <v>5334</v>
      </c>
      <c r="O22" s="21">
        <f t="shared" si="4"/>
        <v>5464</v>
      </c>
      <c r="P22" s="21"/>
      <c r="Q22" s="21"/>
      <c r="R22" s="21"/>
      <c r="S22" s="21"/>
    </row>
    <row r="23" spans="1:22" ht="12.75">
      <c r="A23">
        <v>18</v>
      </c>
      <c r="B23" s="30" t="s">
        <v>454</v>
      </c>
      <c r="C23" s="24">
        <v>1098</v>
      </c>
      <c r="D23" s="24">
        <v>1375</v>
      </c>
      <c r="E23" s="24">
        <v>1101</v>
      </c>
      <c r="F23" s="24">
        <v>1016.639</v>
      </c>
      <c r="G23" s="24">
        <v>992.636</v>
      </c>
      <c r="H23" s="24">
        <v>1193.323</v>
      </c>
      <c r="I23" s="24">
        <v>1310.203</v>
      </c>
      <c r="J23" s="24">
        <v>1390.401</v>
      </c>
      <c r="K23" s="24">
        <v>1229</v>
      </c>
      <c r="L23" s="24">
        <v>1180</v>
      </c>
      <c r="M23" s="21">
        <f t="shared" si="3"/>
        <v>1266.4669999999999</v>
      </c>
      <c r="N23" s="21">
        <f t="shared" si="4"/>
        <v>1423</v>
      </c>
      <c r="O23" s="21">
        <f t="shared" si="4"/>
        <v>1457</v>
      </c>
      <c r="P23" s="21"/>
      <c r="Q23" s="21"/>
      <c r="R23" s="21"/>
      <c r="S23" s="192"/>
      <c r="T23" s="192"/>
      <c r="U23" s="192"/>
      <c r="V23" s="192"/>
    </row>
    <row r="24" spans="1:24" ht="12.75">
      <c r="A24">
        <v>19</v>
      </c>
      <c r="B24" s="94" t="s">
        <v>455</v>
      </c>
      <c r="C24" s="24">
        <v>8799</v>
      </c>
      <c r="D24" s="24">
        <v>9762</v>
      </c>
      <c r="E24" s="24">
        <v>9895</v>
      </c>
      <c r="F24" s="24">
        <v>10453.388</v>
      </c>
      <c r="G24" s="24">
        <v>10443.794</v>
      </c>
      <c r="H24" s="24">
        <v>10395.355</v>
      </c>
      <c r="I24" s="24">
        <v>11042.754</v>
      </c>
      <c r="J24" s="24">
        <v>10606.935</v>
      </c>
      <c r="K24" s="24">
        <v>10173</v>
      </c>
      <c r="L24" s="24">
        <v>10431</v>
      </c>
      <c r="M24" s="21">
        <f t="shared" si="3"/>
        <v>10403.644999999999</v>
      </c>
      <c r="N24" s="21">
        <f t="shared" si="4"/>
        <v>11687</v>
      </c>
      <c r="O24" s="21">
        <f t="shared" si="4"/>
        <v>11972</v>
      </c>
      <c r="P24" s="21"/>
      <c r="Q24" s="21"/>
      <c r="R24" s="21"/>
      <c r="S24" s="21"/>
      <c r="T24" s="21"/>
      <c r="U24" s="21"/>
      <c r="V24" s="21"/>
      <c r="W24" s="21"/>
      <c r="X24" s="21"/>
    </row>
    <row r="25" spans="1:19" ht="12.75">
      <c r="A25">
        <v>20</v>
      </c>
      <c r="B25" s="94" t="s">
        <v>456</v>
      </c>
      <c r="C25" s="24">
        <v>20730</v>
      </c>
      <c r="D25" s="24">
        <v>23506</v>
      </c>
      <c r="E25" s="24">
        <v>23267</v>
      </c>
      <c r="F25" s="24">
        <v>26284.372</v>
      </c>
      <c r="G25" s="24">
        <v>27073.943</v>
      </c>
      <c r="H25" s="24">
        <v>33078.33</v>
      </c>
      <c r="I25" s="24">
        <v>32070.373</v>
      </c>
      <c r="J25" s="24">
        <v>29971.495</v>
      </c>
      <c r="K25" s="24">
        <v>27901</v>
      </c>
      <c r="L25" s="24">
        <v>32292</v>
      </c>
      <c r="M25" s="21">
        <f t="shared" si="3"/>
        <v>30054.831666666665</v>
      </c>
      <c r="N25" s="21">
        <f t="shared" si="4"/>
        <v>33761</v>
      </c>
      <c r="O25" s="21">
        <f t="shared" si="4"/>
        <v>34586</v>
      </c>
      <c r="P25" s="21"/>
      <c r="Q25" s="21"/>
      <c r="R25" s="21"/>
      <c r="S25" s="21"/>
    </row>
    <row r="26" spans="1:19" ht="12.75">
      <c r="A26">
        <v>21</v>
      </c>
      <c r="B26" s="5" t="s">
        <v>457</v>
      </c>
      <c r="C26" s="24">
        <v>8744</v>
      </c>
      <c r="D26" s="24">
        <v>8655</v>
      </c>
      <c r="E26" s="24">
        <v>8486</v>
      </c>
      <c r="F26" s="24">
        <v>8969.942</v>
      </c>
      <c r="G26" s="24">
        <v>9553.936</v>
      </c>
      <c r="H26" s="24">
        <v>9425.981</v>
      </c>
      <c r="I26" s="24">
        <v>10662.238</v>
      </c>
      <c r="J26" s="24">
        <v>10810.342</v>
      </c>
      <c r="K26" s="24">
        <v>12523</v>
      </c>
      <c r="L26" s="24">
        <v>9111</v>
      </c>
      <c r="M26" s="21">
        <f t="shared" si="3"/>
        <v>10814.780666666667</v>
      </c>
      <c r="N26" s="21">
        <f t="shared" si="4"/>
        <v>12148</v>
      </c>
      <c r="O26" s="21">
        <f t="shared" si="4"/>
        <v>12445</v>
      </c>
      <c r="P26" s="21"/>
      <c r="Q26" s="21"/>
      <c r="R26" s="21"/>
      <c r="S26" s="21"/>
    </row>
    <row r="27" spans="1:19" ht="12.75">
      <c r="A27">
        <v>22</v>
      </c>
      <c r="B27" s="94" t="s">
        <v>458</v>
      </c>
      <c r="C27" s="24">
        <v>8507</v>
      </c>
      <c r="D27" s="24">
        <v>8609</v>
      </c>
      <c r="E27" s="24">
        <v>9199</v>
      </c>
      <c r="F27" s="24">
        <v>11012.116</v>
      </c>
      <c r="G27" s="24">
        <v>11855.739</v>
      </c>
      <c r="H27" s="24">
        <v>12652.049</v>
      </c>
      <c r="I27" s="24">
        <v>12840.923</v>
      </c>
      <c r="J27" s="24">
        <v>11532.103</v>
      </c>
      <c r="K27" s="24">
        <v>11960</v>
      </c>
      <c r="L27" s="24">
        <v>11981</v>
      </c>
      <c r="M27" s="21">
        <f t="shared" si="3"/>
        <v>11824.367666666667</v>
      </c>
      <c r="N27" s="21">
        <f t="shared" si="4"/>
        <v>13283</v>
      </c>
      <c r="O27" s="21">
        <f t="shared" si="4"/>
        <v>13607</v>
      </c>
      <c r="P27" s="21"/>
      <c r="Q27" s="21"/>
      <c r="R27" s="21"/>
      <c r="S27" s="21"/>
    </row>
    <row r="28" spans="1:19" ht="12.75">
      <c r="A28">
        <v>23</v>
      </c>
      <c r="B28" s="94" t="s">
        <v>459</v>
      </c>
      <c r="C28" s="24">
        <v>5878</v>
      </c>
      <c r="D28" s="24">
        <v>7395</v>
      </c>
      <c r="E28" s="24">
        <v>5322</v>
      </c>
      <c r="F28" s="24">
        <v>7282.619</v>
      </c>
      <c r="G28" s="24">
        <v>6318.745</v>
      </c>
      <c r="H28" s="24">
        <v>6751.633</v>
      </c>
      <c r="I28" s="24">
        <v>7079.483</v>
      </c>
      <c r="J28" s="24">
        <v>7546.259</v>
      </c>
      <c r="K28" s="24">
        <v>7810</v>
      </c>
      <c r="L28" s="24">
        <v>7294</v>
      </c>
      <c r="M28" s="21">
        <f t="shared" si="3"/>
        <v>7550.086333333333</v>
      </c>
      <c r="N28" s="21">
        <f t="shared" si="4"/>
        <v>8481</v>
      </c>
      <c r="O28" s="21">
        <f t="shared" si="4"/>
        <v>8688</v>
      </c>
      <c r="P28" s="21"/>
      <c r="Q28" s="21"/>
      <c r="R28" s="21"/>
      <c r="S28" s="21"/>
    </row>
    <row r="29" spans="1:19" ht="12.75">
      <c r="A29">
        <v>24</v>
      </c>
      <c r="B29" s="94" t="s">
        <v>460</v>
      </c>
      <c r="C29" s="24">
        <v>2101</v>
      </c>
      <c r="D29" s="24">
        <v>2245</v>
      </c>
      <c r="E29" s="24">
        <v>2133</v>
      </c>
      <c r="F29" s="24">
        <v>2207.291</v>
      </c>
      <c r="G29" s="24">
        <v>2270.074</v>
      </c>
      <c r="H29" s="24">
        <v>2342.408</v>
      </c>
      <c r="I29" s="24">
        <v>2446.559</v>
      </c>
      <c r="J29" s="24">
        <v>2569.071</v>
      </c>
      <c r="K29" s="24">
        <v>2469</v>
      </c>
      <c r="L29" s="24">
        <v>2588</v>
      </c>
      <c r="M29" s="21">
        <f t="shared" si="3"/>
        <v>2542.0236666666665</v>
      </c>
      <c r="N29" s="21">
        <f t="shared" si="4"/>
        <v>2856</v>
      </c>
      <c r="O29" s="21">
        <f t="shared" si="4"/>
        <v>2925</v>
      </c>
      <c r="P29" s="21"/>
      <c r="Q29" s="21"/>
      <c r="R29" s="21"/>
      <c r="S29" s="21"/>
    </row>
    <row r="30" spans="1:19" ht="12.75">
      <c r="A30">
        <v>25</v>
      </c>
      <c r="B30" s="94" t="s">
        <v>461</v>
      </c>
      <c r="C30" s="24">
        <v>14421</v>
      </c>
      <c r="D30" s="24">
        <v>18611</v>
      </c>
      <c r="E30" s="24">
        <v>20176</v>
      </c>
      <c r="F30" s="24">
        <v>19298.058</v>
      </c>
      <c r="G30" s="24">
        <v>15321.583</v>
      </c>
      <c r="H30" s="24">
        <v>15517.857</v>
      </c>
      <c r="I30" s="24">
        <v>16042.393</v>
      </c>
      <c r="J30" s="24">
        <v>11238.129</v>
      </c>
      <c r="K30" s="24">
        <v>16352</v>
      </c>
      <c r="L30" s="24">
        <v>14392</v>
      </c>
      <c r="M30" s="21">
        <f t="shared" si="3"/>
        <v>13994.043</v>
      </c>
      <c r="N30" s="21">
        <f t="shared" si="4"/>
        <v>15720</v>
      </c>
      <c r="O30" s="21">
        <f t="shared" si="4"/>
        <v>16104</v>
      </c>
      <c r="P30" s="21"/>
      <c r="Q30" s="21"/>
      <c r="R30" s="21"/>
      <c r="S30" s="21"/>
    </row>
    <row r="31" spans="1:19" ht="12.75">
      <c r="A31">
        <v>26</v>
      </c>
      <c r="B31" s="94" t="s">
        <v>462</v>
      </c>
      <c r="C31" s="24">
        <v>8496</v>
      </c>
      <c r="D31" s="24">
        <v>9489</v>
      </c>
      <c r="E31" s="24">
        <v>10404</v>
      </c>
      <c r="F31" s="24">
        <v>10716.415</v>
      </c>
      <c r="G31" s="24">
        <v>11257.038</v>
      </c>
      <c r="H31" s="24">
        <v>13468.704</v>
      </c>
      <c r="I31" s="24">
        <v>13031.973</v>
      </c>
      <c r="J31" s="24">
        <v>6196.854</v>
      </c>
      <c r="K31" s="24">
        <v>14352</v>
      </c>
      <c r="L31" s="24">
        <v>11327</v>
      </c>
      <c r="M31" s="21">
        <f t="shared" si="3"/>
        <v>10625.284666666666</v>
      </c>
      <c r="N31" s="21">
        <f t="shared" si="4"/>
        <v>11936</v>
      </c>
      <c r="O31" s="21">
        <f t="shared" si="4"/>
        <v>12227</v>
      </c>
      <c r="P31" s="21"/>
      <c r="Q31" s="21"/>
      <c r="R31" s="21"/>
      <c r="S31" s="21"/>
    </row>
    <row r="32" spans="1:19" ht="12.75">
      <c r="A32">
        <v>27</v>
      </c>
      <c r="B32" t="s">
        <v>463</v>
      </c>
      <c r="C32" s="24">
        <v>18761</v>
      </c>
      <c r="D32" s="24">
        <v>21185</v>
      </c>
      <c r="E32" s="24">
        <v>20769</v>
      </c>
      <c r="F32" s="24">
        <v>21466.67</v>
      </c>
      <c r="G32" s="24">
        <v>22990.246</v>
      </c>
      <c r="H32" s="24">
        <v>22666.115</v>
      </c>
      <c r="I32" s="24">
        <v>23345.72</v>
      </c>
      <c r="J32" s="24">
        <v>26177.208</v>
      </c>
      <c r="K32" s="24">
        <v>22700</v>
      </c>
      <c r="L32" s="24">
        <v>22157</v>
      </c>
      <c r="M32" s="21">
        <f t="shared" si="3"/>
        <v>23678.069333333333</v>
      </c>
      <c r="N32" s="21">
        <f t="shared" si="4"/>
        <v>26598</v>
      </c>
      <c r="O32" s="21">
        <f t="shared" si="4"/>
        <v>27248</v>
      </c>
      <c r="P32" s="21"/>
      <c r="Q32" s="21"/>
      <c r="R32" s="21"/>
      <c r="S32" s="21"/>
    </row>
    <row r="33" spans="1:19" ht="12.75">
      <c r="A33">
        <v>28</v>
      </c>
      <c r="B33" t="s">
        <v>464</v>
      </c>
      <c r="C33" s="24">
        <v>16964</v>
      </c>
      <c r="D33" s="24">
        <v>18427</v>
      </c>
      <c r="E33" s="24">
        <v>18275</v>
      </c>
      <c r="F33" s="24">
        <v>19375.357</v>
      </c>
      <c r="G33" s="24">
        <v>22148.187</v>
      </c>
      <c r="H33" s="24">
        <v>22006.71</v>
      </c>
      <c r="I33" s="243">
        <v>23761.283</v>
      </c>
      <c r="J33" s="243">
        <v>27201.607</v>
      </c>
      <c r="K33" s="243">
        <v>23120</v>
      </c>
      <c r="L33" s="243">
        <v>23237</v>
      </c>
      <c r="M33" s="22">
        <f t="shared" si="3"/>
        <v>24519.535666666667</v>
      </c>
      <c r="N33" s="22">
        <f t="shared" si="4"/>
        <v>27543</v>
      </c>
      <c r="O33" s="22">
        <f t="shared" si="4"/>
        <v>28216</v>
      </c>
      <c r="P33" s="21"/>
      <c r="Q33" s="21"/>
      <c r="R33" s="21"/>
      <c r="S33" s="21"/>
    </row>
    <row r="34" spans="1:19" ht="12.75">
      <c r="A34">
        <v>29</v>
      </c>
      <c r="B34" s="140" t="s">
        <v>838</v>
      </c>
      <c r="C34" s="21"/>
      <c r="D34" s="21"/>
      <c r="E34" s="21"/>
      <c r="F34" s="21"/>
      <c r="G34" s="21">
        <f aca="true" t="shared" si="5" ref="G34:M34">SUM(G16:G33)</f>
        <v>228518.545</v>
      </c>
      <c r="H34" s="21">
        <f t="shared" si="5"/>
        <v>236103.93499999997</v>
      </c>
      <c r="I34" s="21">
        <f t="shared" si="5"/>
        <v>244890.94700000004</v>
      </c>
      <c r="J34" s="24">
        <v>252835.726</v>
      </c>
      <c r="K34" s="24">
        <v>240335.886</v>
      </c>
      <c r="L34" s="24">
        <v>245326.488</v>
      </c>
      <c r="M34" s="24">
        <f t="shared" si="5"/>
        <v>244359.88533333337</v>
      </c>
      <c r="N34" s="21">
        <f>+'IPR Data'!C6/1000+'IPR Data'!C82</f>
        <v>274495.18707</v>
      </c>
      <c r="O34" s="21">
        <f>+'IPR Data'!D6/1000+'IPR Data'!D82</f>
        <v>281198.26102</v>
      </c>
      <c r="P34" s="21"/>
      <c r="Q34" s="25"/>
      <c r="R34" s="21"/>
      <c r="S34" s="21"/>
    </row>
    <row r="35" spans="13:15" ht="12.75" hidden="1">
      <c r="M35" t="s">
        <v>447</v>
      </c>
      <c r="N35" s="21">
        <f>SUM(N16:N33)</f>
        <v>274495</v>
      </c>
      <c r="O35" s="21">
        <f>SUM(O16:O33)</f>
        <v>281198</v>
      </c>
    </row>
    <row r="36" ht="12.75">
      <c r="J36" s="24"/>
    </row>
    <row r="37" spans="1:2" ht="12.75">
      <c r="A37" s="140" t="s">
        <v>479</v>
      </c>
      <c r="B37" s="35" t="s">
        <v>839</v>
      </c>
    </row>
    <row r="41" ht="12.75">
      <c r="B41" s="187"/>
    </row>
    <row r="42" spans="2:19" ht="12.75">
      <c r="B42" s="187"/>
      <c r="N42" s="4"/>
      <c r="O42" s="4"/>
      <c r="Q42" s="21"/>
      <c r="R42" s="21"/>
      <c r="S42" s="21"/>
    </row>
    <row r="43" spans="2:15" ht="12.75">
      <c r="B43" s="187"/>
      <c r="N43" s="4"/>
      <c r="O43" s="4"/>
    </row>
    <row r="44" spans="14:15" ht="12.75">
      <c r="N44" s="4"/>
      <c r="O44" s="4"/>
    </row>
    <row r="45" spans="14:19" ht="12.75">
      <c r="N45" s="4"/>
      <c r="O45" s="4"/>
      <c r="Q45" s="21"/>
      <c r="R45" s="21"/>
      <c r="S45" s="21"/>
    </row>
    <row r="46" spans="14:19" ht="12.75">
      <c r="N46" s="4"/>
      <c r="O46" s="4"/>
      <c r="Q46" s="21"/>
      <c r="R46" s="21"/>
      <c r="S46" s="21"/>
    </row>
    <row r="47" spans="14:19" ht="12.75">
      <c r="N47" s="4"/>
      <c r="O47" s="4"/>
      <c r="P47" s="21"/>
      <c r="Q47" s="21"/>
      <c r="R47" s="21"/>
      <c r="S47" s="21"/>
    </row>
    <row r="49" spans="14:15" ht="12.75">
      <c r="N49" s="21"/>
      <c r="O49" s="21"/>
    </row>
    <row r="50" spans="14:15" ht="12.75">
      <c r="N50" s="15"/>
      <c r="O50" s="15"/>
    </row>
  </sheetData>
  <mergeCells count="2">
    <mergeCell ref="B1:O1"/>
    <mergeCell ref="B2:O2"/>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2:O60"/>
  <sheetViews>
    <sheetView workbookViewId="0" topLeftCell="B7">
      <selection activeCell="J19" sqref="J19"/>
    </sheetView>
  </sheetViews>
  <sheetFormatPr defaultColWidth="9.140625" defaultRowHeight="12.75"/>
  <cols>
    <col min="1" max="1" width="3.140625" style="5" customWidth="1"/>
    <col min="2" max="2" width="38.421875" style="5" customWidth="1"/>
    <col min="3" max="3" width="11.28125" style="5" bestFit="1" customWidth="1"/>
    <col min="4" max="4" width="9.8515625" style="5" bestFit="1" customWidth="1"/>
    <col min="5" max="5" width="9.28125" style="5" bestFit="1" customWidth="1"/>
    <col min="6" max="7" width="10.28125" style="5" bestFit="1" customWidth="1"/>
    <col min="8" max="8" width="10.57421875" style="5" customWidth="1"/>
    <col min="9" max="9" width="9.28125" style="5" bestFit="1" customWidth="1"/>
    <col min="10" max="10" width="10.421875" style="5" customWidth="1"/>
    <col min="11" max="14" width="9.140625" style="5" customWidth="1"/>
    <col min="15" max="15" width="12.8515625" style="5" bestFit="1" customWidth="1"/>
    <col min="16" max="16384" width="9.140625" style="5" customWidth="1"/>
  </cols>
  <sheetData>
    <row r="1" ht="13.5" thickBot="1"/>
    <row r="2" spans="1:11" ht="12.75">
      <c r="A2" s="495" t="s">
        <v>374</v>
      </c>
      <c r="B2" s="496"/>
      <c r="C2" s="496"/>
      <c r="D2" s="496"/>
      <c r="E2" s="496"/>
      <c r="F2" s="496"/>
      <c r="G2" s="496"/>
      <c r="H2" s="496"/>
      <c r="I2" s="496"/>
      <c r="J2" s="496"/>
      <c r="K2" s="497"/>
    </row>
    <row r="3" spans="1:11" ht="12.75">
      <c r="A3" s="498" t="s">
        <v>375</v>
      </c>
      <c r="B3" s="499"/>
      <c r="C3" s="499"/>
      <c r="D3" s="499"/>
      <c r="E3" s="499"/>
      <c r="F3" s="499"/>
      <c r="G3" s="499"/>
      <c r="H3" s="499"/>
      <c r="I3" s="499"/>
      <c r="J3" s="499"/>
      <c r="K3" s="500"/>
    </row>
    <row r="4" spans="1:11" ht="13.5" thickBot="1">
      <c r="A4" s="501" t="s">
        <v>155</v>
      </c>
      <c r="B4" s="502"/>
      <c r="C4" s="502"/>
      <c r="D4" s="502"/>
      <c r="E4" s="502"/>
      <c r="F4" s="502"/>
      <c r="G4" s="502"/>
      <c r="H4" s="502"/>
      <c r="I4" s="502"/>
      <c r="J4" s="502"/>
      <c r="K4" s="503"/>
    </row>
    <row r="5" spans="1:11" ht="18" customHeight="1" thickBot="1">
      <c r="A5" s="460"/>
      <c r="B5" s="461" t="s">
        <v>156</v>
      </c>
      <c r="C5" s="461" t="s">
        <v>157</v>
      </c>
      <c r="D5" s="461" t="s">
        <v>158</v>
      </c>
      <c r="E5" s="461" t="s">
        <v>159</v>
      </c>
      <c r="F5" s="461" t="s">
        <v>160</v>
      </c>
      <c r="G5" s="461" t="s">
        <v>161</v>
      </c>
      <c r="H5" s="461" t="s">
        <v>249</v>
      </c>
      <c r="I5" s="461" t="s">
        <v>250</v>
      </c>
      <c r="J5" s="461" t="s">
        <v>251</v>
      </c>
      <c r="K5" s="461" t="s">
        <v>252</v>
      </c>
    </row>
    <row r="6" spans="1:14" ht="12.75">
      <c r="A6" s="462"/>
      <c r="B6" s="462"/>
      <c r="C6" s="462"/>
      <c r="D6" s="462"/>
      <c r="E6" s="462"/>
      <c r="F6" s="462"/>
      <c r="G6" s="462"/>
      <c r="H6" s="463"/>
      <c r="I6" s="462"/>
      <c r="J6" s="464"/>
      <c r="K6" s="462"/>
      <c r="N6" s="101"/>
    </row>
    <row r="7" spans="1:11" ht="12.75">
      <c r="A7" s="465"/>
      <c r="B7" s="465"/>
      <c r="C7" s="465"/>
      <c r="D7" s="465"/>
      <c r="E7" s="465"/>
      <c r="F7" s="465"/>
      <c r="G7" s="465"/>
      <c r="H7" s="466"/>
      <c r="I7" s="467" t="s">
        <v>361</v>
      </c>
      <c r="J7" s="180" t="s">
        <v>361</v>
      </c>
      <c r="K7" s="467" t="s">
        <v>361</v>
      </c>
    </row>
    <row r="8" spans="1:14" ht="12.75">
      <c r="A8" s="465"/>
      <c r="B8" s="465"/>
      <c r="C8" s="465"/>
      <c r="D8" s="465"/>
      <c r="E8" s="465"/>
      <c r="F8" s="465"/>
      <c r="G8" s="465"/>
      <c r="H8" s="466"/>
      <c r="I8" s="467" t="s">
        <v>326</v>
      </c>
      <c r="J8" s="180" t="s">
        <v>326</v>
      </c>
      <c r="K8" s="467" t="s">
        <v>326</v>
      </c>
      <c r="N8" s="180"/>
    </row>
    <row r="9" spans="1:14" ht="12.75">
      <c r="A9" s="465"/>
      <c r="B9" s="465"/>
      <c r="C9" s="467" t="s">
        <v>147</v>
      </c>
      <c r="D9" s="465"/>
      <c r="E9" s="104" t="s">
        <v>376</v>
      </c>
      <c r="F9" s="467" t="s">
        <v>147</v>
      </c>
      <c r="G9" s="465"/>
      <c r="H9" s="468" t="s">
        <v>376</v>
      </c>
      <c r="I9" s="465"/>
      <c r="J9" s="3"/>
      <c r="K9" s="467" t="s">
        <v>376</v>
      </c>
      <c r="N9" s="24"/>
    </row>
    <row r="10" spans="1:14" ht="13.5" thickBot="1">
      <c r="A10" s="469"/>
      <c r="B10" s="469"/>
      <c r="C10" s="470">
        <f>+'Income Statement Cash Flows'!E6</f>
        <v>2024</v>
      </c>
      <c r="D10" s="470" t="s">
        <v>377</v>
      </c>
      <c r="E10" s="470" t="s">
        <v>378</v>
      </c>
      <c r="F10" s="470">
        <f>+'Income Statement Cash Flows'!F6</f>
        <v>2025</v>
      </c>
      <c r="G10" s="470" t="s">
        <v>377</v>
      </c>
      <c r="H10" s="471" t="s">
        <v>378</v>
      </c>
      <c r="I10" s="470" t="s">
        <v>147</v>
      </c>
      <c r="J10" s="472" t="s">
        <v>377</v>
      </c>
      <c r="K10" s="470" t="s">
        <v>378</v>
      </c>
      <c r="N10" s="473"/>
    </row>
    <row r="11" spans="1:11" ht="18" customHeight="1" thickBot="1">
      <c r="A11" s="460">
        <v>1</v>
      </c>
      <c r="B11" s="474" t="s">
        <v>328</v>
      </c>
      <c r="C11" s="475">
        <f>D11+E11</f>
        <v>524</v>
      </c>
      <c r="D11" s="475">
        <f>E50</f>
        <v>385</v>
      </c>
      <c r="E11" s="475">
        <f>E51</f>
        <v>139</v>
      </c>
      <c r="F11" s="475">
        <f>G11+H11</f>
        <v>558</v>
      </c>
      <c r="G11" s="475">
        <f>I50</f>
        <v>391</v>
      </c>
      <c r="H11" s="475">
        <f>I51</f>
        <v>167</v>
      </c>
      <c r="I11" s="475">
        <f>J11+K11</f>
        <v>541</v>
      </c>
      <c r="J11" s="475">
        <f aca="true" t="shared" si="0" ref="J11:K14">ROUND((D11+G11)/2,0)</f>
        <v>388</v>
      </c>
      <c r="K11" s="475">
        <f t="shared" si="0"/>
        <v>153</v>
      </c>
    </row>
    <row r="12" spans="1:11" ht="18" customHeight="1" thickBot="1">
      <c r="A12" s="460">
        <v>2</v>
      </c>
      <c r="B12" s="474" t="s">
        <v>44</v>
      </c>
      <c r="C12" s="475">
        <f>D12+E12</f>
        <v>137.21333333333334</v>
      </c>
      <c r="D12" s="475">
        <f>D50</f>
        <v>110.45333333333333</v>
      </c>
      <c r="E12" s="475">
        <f>D51</f>
        <v>26.76</v>
      </c>
      <c r="F12" s="475">
        <f>H52</f>
        <v>137.21333333333334</v>
      </c>
      <c r="G12" s="475">
        <f>H50</f>
        <v>110.45333333333333</v>
      </c>
      <c r="H12" s="475">
        <f>H51</f>
        <v>26.76</v>
      </c>
      <c r="I12" s="475">
        <f>J12+K12</f>
        <v>137</v>
      </c>
      <c r="J12" s="475">
        <f t="shared" si="0"/>
        <v>110</v>
      </c>
      <c r="K12" s="475">
        <f t="shared" si="0"/>
        <v>27</v>
      </c>
    </row>
    <row r="13" spans="1:13" ht="18" customHeight="1" thickBot="1">
      <c r="A13" s="460">
        <v>3</v>
      </c>
      <c r="B13" s="474" t="s">
        <v>51</v>
      </c>
      <c r="C13" s="475">
        <f>ROUND(COSA!C12*C21,0)</f>
        <v>16</v>
      </c>
      <c r="D13" s="475">
        <f>ROUND(D19/C19*C13,0)</f>
        <v>10</v>
      </c>
      <c r="E13" s="475">
        <f>C13-D13</f>
        <v>6</v>
      </c>
      <c r="F13" s="475">
        <f>ROUND(COSA!C58*F21,0)</f>
        <v>1</v>
      </c>
      <c r="G13" s="460">
        <f>ROUND(G19/F19*F13,0)</f>
        <v>1</v>
      </c>
      <c r="H13" s="475">
        <f>F13-G13</f>
        <v>0</v>
      </c>
      <c r="I13" s="475">
        <f>J13+K13</f>
        <v>9</v>
      </c>
      <c r="J13" s="475">
        <f t="shared" si="0"/>
        <v>6</v>
      </c>
      <c r="K13" s="475">
        <f t="shared" si="0"/>
        <v>3</v>
      </c>
      <c r="M13" s="185"/>
    </row>
    <row r="14" spans="1:13" ht="18" customHeight="1" thickBot="1">
      <c r="A14" s="460">
        <v>4</v>
      </c>
      <c r="B14" s="474" t="s">
        <v>379</v>
      </c>
      <c r="C14" s="475">
        <f>ROUND(COSA!D13*C25*C21,0)</f>
        <v>21</v>
      </c>
      <c r="D14" s="460">
        <f>ROUND(D19/C19*C14,0)</f>
        <v>13</v>
      </c>
      <c r="E14" s="475">
        <f>C14-D14</f>
        <v>8</v>
      </c>
      <c r="F14" s="475">
        <f>ROUND(COSA!D59*F25*F21,0)</f>
        <v>16</v>
      </c>
      <c r="G14" s="460">
        <f>ROUND(G19/F19*F14,0)</f>
        <v>10</v>
      </c>
      <c r="H14" s="475">
        <f>F14-G14</f>
        <v>6</v>
      </c>
      <c r="I14" s="475">
        <f>J14+K14</f>
        <v>19</v>
      </c>
      <c r="J14" s="475">
        <f t="shared" si="0"/>
        <v>12</v>
      </c>
      <c r="K14" s="475">
        <f t="shared" si="0"/>
        <v>7</v>
      </c>
      <c r="M14" s="185"/>
    </row>
    <row r="15" spans="1:11" ht="18" customHeight="1" thickBot="1">
      <c r="A15" s="476">
        <v>5</v>
      </c>
      <c r="B15" s="73" t="s">
        <v>380</v>
      </c>
      <c r="C15" s="74">
        <f aca="true" t="shared" si="1" ref="C15:H15">SUM(C11:C14)</f>
        <v>698.2133333333334</v>
      </c>
      <c r="D15" s="74">
        <f t="shared" si="1"/>
        <v>518.4533333333334</v>
      </c>
      <c r="E15" s="74">
        <f t="shared" si="1"/>
        <v>179.76</v>
      </c>
      <c r="F15" s="74">
        <f t="shared" si="1"/>
        <v>712.2133333333334</v>
      </c>
      <c r="G15" s="74">
        <f t="shared" si="1"/>
        <v>512.4533333333334</v>
      </c>
      <c r="H15" s="74">
        <f t="shared" si="1"/>
        <v>199.76</v>
      </c>
      <c r="I15" s="477">
        <f>J15+K15</f>
        <v>706</v>
      </c>
      <c r="J15" s="74">
        <f>SUM(J11:J14)</f>
        <v>516</v>
      </c>
      <c r="K15" s="74">
        <f>SUM(K11:K14)</f>
        <v>190</v>
      </c>
    </row>
    <row r="18" spans="5:8" ht="12.75">
      <c r="E18" s="24"/>
      <c r="H18" s="24"/>
    </row>
    <row r="19" spans="1:10" ht="20.25">
      <c r="A19" s="5">
        <v>6</v>
      </c>
      <c r="B19" s="5" t="s">
        <v>381</v>
      </c>
      <c r="C19" s="24">
        <f>+F52</f>
        <v>5176</v>
      </c>
      <c r="D19" s="24">
        <f>F50</f>
        <v>3257</v>
      </c>
      <c r="E19" s="24">
        <f>F51</f>
        <v>1919</v>
      </c>
      <c r="F19" s="24">
        <f>+J52</f>
        <v>5071</v>
      </c>
      <c r="G19" s="24">
        <f>J50</f>
        <v>3195</v>
      </c>
      <c r="H19" s="24">
        <f>J51</f>
        <v>1876</v>
      </c>
      <c r="J19" s="478"/>
    </row>
    <row r="20" spans="1:10" ht="12.75">
      <c r="A20" s="5">
        <v>7</v>
      </c>
      <c r="B20" s="5" t="s">
        <v>382</v>
      </c>
      <c r="C20" s="24">
        <f>+'synchronous condensor'!C6</f>
        <v>6128241</v>
      </c>
      <c r="F20" s="24">
        <f>+'synchronous condensor'!D6</f>
        <v>6352023</v>
      </c>
      <c r="G20" s="24"/>
      <c r="J20" s="24"/>
    </row>
    <row r="21" spans="1:10" ht="12.75">
      <c r="A21" s="5">
        <v>8</v>
      </c>
      <c r="B21" s="5" t="s">
        <v>383</v>
      </c>
      <c r="C21" s="100">
        <f>C19/C20</f>
        <v>0.0008446143028643945</v>
      </c>
      <c r="F21" s="100">
        <f>F19/F20</f>
        <v>0.0007983283435843982</v>
      </c>
      <c r="G21" s="100"/>
      <c r="J21" s="100"/>
    </row>
    <row r="23" spans="1:6" ht="12.75">
      <c r="A23" s="5">
        <v>9</v>
      </c>
      <c r="B23" s="5" t="s">
        <v>384</v>
      </c>
      <c r="C23" s="24">
        <f>+'Income Statement Cash Flows'!E61</f>
        <v>155157.78690287287</v>
      </c>
      <c r="F23" s="24">
        <f>+'Income Statement Cash Flows'!F61</f>
        <v>155327.1420355099</v>
      </c>
    </row>
    <row r="24" spans="1:6" ht="12.75">
      <c r="A24" s="5">
        <v>10</v>
      </c>
      <c r="B24" s="5" t="s">
        <v>385</v>
      </c>
      <c r="C24" s="24">
        <f>+'Income Statement Cash Flows'!E46</f>
        <v>284157.78690287285</v>
      </c>
      <c r="F24" s="24">
        <f>+'Income Statement Cash Flows'!F46</f>
        <v>284327.1420355099</v>
      </c>
    </row>
    <row r="25" spans="1:6" ht="12.75">
      <c r="A25" s="5">
        <v>11</v>
      </c>
      <c r="B25" s="5" t="s">
        <v>386</v>
      </c>
      <c r="C25" s="103">
        <f>IF(C24=0,1,C23/C24)</f>
        <v>0.5460268697683337</v>
      </c>
      <c r="F25" s="103">
        <f>IF(F24=0,1,F23/F24)</f>
        <v>0.5462972719506002</v>
      </c>
    </row>
    <row r="26" spans="1:6" ht="12.75">
      <c r="A26" s="5">
        <v>12</v>
      </c>
      <c r="B26" s="5" t="s">
        <v>387</v>
      </c>
      <c r="C26" s="24">
        <f>+'Income Statement Cash Flows'!E45</f>
        <v>129000</v>
      </c>
      <c r="F26" s="24">
        <f>+'Income Statement Cash Flows'!F45</f>
        <v>129000</v>
      </c>
    </row>
    <row r="27" spans="1:6" ht="12.75">
      <c r="A27" s="5">
        <v>13</v>
      </c>
      <c r="B27" s="5" t="s">
        <v>388</v>
      </c>
      <c r="C27" s="451">
        <f>1-C25</f>
        <v>0.4539731302316663</v>
      </c>
      <c r="F27" s="451">
        <f>1-F25</f>
        <v>0.4537027280493998</v>
      </c>
    </row>
    <row r="30" spans="3:10" ht="12.75">
      <c r="C30" s="104" t="s">
        <v>156</v>
      </c>
      <c r="D30" s="104" t="s">
        <v>157</v>
      </c>
      <c r="E30" s="104" t="s">
        <v>158</v>
      </c>
      <c r="F30" s="104" t="s">
        <v>159</v>
      </c>
      <c r="G30" s="104" t="s">
        <v>160</v>
      </c>
      <c r="H30" s="104" t="s">
        <v>161</v>
      </c>
      <c r="I30" s="104" t="s">
        <v>249</v>
      </c>
      <c r="J30" s="104" t="s">
        <v>250</v>
      </c>
    </row>
    <row r="31" spans="3:10" ht="12.75">
      <c r="C31" s="104">
        <v>2024</v>
      </c>
      <c r="D31" s="104">
        <f>+C31</f>
        <v>2024</v>
      </c>
      <c r="E31" s="104">
        <f>+D31</f>
        <v>2024</v>
      </c>
      <c r="F31" s="104">
        <f>+E31</f>
        <v>2024</v>
      </c>
      <c r="G31" s="104">
        <v>2025</v>
      </c>
      <c r="H31" s="104">
        <f>+G31</f>
        <v>2025</v>
      </c>
      <c r="I31" s="104">
        <f>+H31</f>
        <v>2025</v>
      </c>
      <c r="J31" s="104">
        <f>+I31</f>
        <v>2025</v>
      </c>
    </row>
    <row r="32" spans="3:10" ht="12.75">
      <c r="C32" s="104" t="s">
        <v>389</v>
      </c>
      <c r="D32" s="104" t="s">
        <v>390</v>
      </c>
      <c r="E32" s="104" t="s">
        <v>328</v>
      </c>
      <c r="F32" s="104" t="s">
        <v>391</v>
      </c>
      <c r="G32" s="104" t="s">
        <v>389</v>
      </c>
      <c r="H32" s="104" t="s">
        <v>390</v>
      </c>
      <c r="I32" s="104" t="s">
        <v>328</v>
      </c>
      <c r="J32" s="104" t="s">
        <v>391</v>
      </c>
    </row>
    <row r="33" spans="3:10" ht="12.75">
      <c r="C33" s="104" t="s">
        <v>258</v>
      </c>
      <c r="D33" s="104" t="s">
        <v>287</v>
      </c>
      <c r="F33" s="104" t="s">
        <v>258</v>
      </c>
      <c r="G33" s="104" t="s">
        <v>258</v>
      </c>
      <c r="H33" s="104" t="s">
        <v>287</v>
      </c>
      <c r="J33" s="104" t="s">
        <v>258</v>
      </c>
    </row>
    <row r="34" spans="2:10" ht="12.75">
      <c r="B34" s="104" t="s">
        <v>3</v>
      </c>
      <c r="C34" s="24"/>
      <c r="D34" s="24"/>
      <c r="F34" s="24"/>
      <c r="G34" s="24"/>
      <c r="H34" s="24"/>
      <c r="J34" s="24"/>
    </row>
    <row r="35" spans="2:10" ht="12.75">
      <c r="B35" s="439" t="s">
        <v>331</v>
      </c>
      <c r="C35" s="24"/>
      <c r="D35" s="24"/>
      <c r="F35" s="24"/>
      <c r="G35" s="24"/>
      <c r="H35" s="24"/>
      <c r="J35" s="24"/>
    </row>
    <row r="36" spans="2:10" ht="12.75">
      <c r="B36" s="5" t="s">
        <v>377</v>
      </c>
      <c r="C36" s="18">
        <v>0</v>
      </c>
      <c r="D36" s="18">
        <f>+D38*C36/C38</f>
        <v>0</v>
      </c>
      <c r="E36" s="18">
        <f>ROUND(C36/C38*E38,0)</f>
        <v>0</v>
      </c>
      <c r="F36" s="18">
        <f>ROUND(C36/C38*F38,0)</f>
        <v>0</v>
      </c>
      <c r="G36" s="18">
        <f>C36</f>
        <v>0</v>
      </c>
      <c r="H36" s="18">
        <f>D36</f>
        <v>0</v>
      </c>
      <c r="I36" s="18">
        <f>ROUND(G36/G38*I38,0)</f>
        <v>0</v>
      </c>
      <c r="J36" s="18"/>
    </row>
    <row r="37" spans="2:10" ht="12.75">
      <c r="B37" s="94" t="s">
        <v>378</v>
      </c>
      <c r="C37" s="18">
        <v>2007</v>
      </c>
      <c r="D37" s="18">
        <f>+D38-D36</f>
        <v>26.76</v>
      </c>
      <c r="E37" s="18">
        <f>E38-E36</f>
        <v>139</v>
      </c>
      <c r="F37" s="18">
        <f>ROUND(C37/C38*F38,0)</f>
        <v>1919</v>
      </c>
      <c r="G37" s="18">
        <v>2007</v>
      </c>
      <c r="H37" s="18">
        <f aca="true" t="shared" si="2" ref="H37">D37</f>
        <v>26.76</v>
      </c>
      <c r="I37" s="18">
        <f>I38-I36</f>
        <v>167</v>
      </c>
      <c r="J37" s="18">
        <f>ROUND(G37/G38*J38,0)-1</f>
        <v>1876</v>
      </c>
    </row>
    <row r="38" spans="2:10" ht="12.75">
      <c r="B38" s="479" t="s">
        <v>284</v>
      </c>
      <c r="C38" s="18">
        <f>SUM(C36:C37)</f>
        <v>2007</v>
      </c>
      <c r="D38" s="18">
        <v>26.76</v>
      </c>
      <c r="E38" s="18">
        <f>+'Corps Rec Functionalization'!E13</f>
        <v>139</v>
      </c>
      <c r="F38" s="186">
        <v>1919</v>
      </c>
      <c r="G38" s="18">
        <f>C38</f>
        <v>2007</v>
      </c>
      <c r="H38" s="18">
        <v>26.76</v>
      </c>
      <c r="I38" s="18">
        <f>+'Corps Rec Functionalization'!H13</f>
        <v>167</v>
      </c>
      <c r="J38" s="18">
        <v>1877</v>
      </c>
    </row>
    <row r="39" spans="2:10" ht="12.75">
      <c r="B39" s="439" t="s">
        <v>334</v>
      </c>
      <c r="C39" s="18"/>
      <c r="D39" s="18"/>
      <c r="E39" s="18"/>
      <c r="F39" s="18"/>
      <c r="G39" s="18"/>
      <c r="H39" s="18"/>
      <c r="I39" s="18"/>
      <c r="J39" s="18"/>
    </row>
    <row r="40" spans="2:10" ht="12.75">
      <c r="B40" s="5" t="s">
        <v>377</v>
      </c>
      <c r="C40" s="18">
        <v>2500</v>
      </c>
      <c r="D40" s="18">
        <v>33.333333333333336</v>
      </c>
      <c r="E40" s="18">
        <f>+'Corps Rec Functionalization'!E19</f>
        <v>104</v>
      </c>
      <c r="F40" s="186">
        <v>836</v>
      </c>
      <c r="G40" s="18">
        <f>C40</f>
        <v>2500</v>
      </c>
      <c r="H40" s="18">
        <v>33.333333333333336</v>
      </c>
      <c r="I40" s="18">
        <f>+'Corps Rec Functionalization'!H19</f>
        <v>106</v>
      </c>
      <c r="J40" s="18">
        <v>826</v>
      </c>
    </row>
    <row r="41" spans="2:10" ht="12.75">
      <c r="B41" s="439" t="s">
        <v>335</v>
      </c>
      <c r="C41" s="18"/>
      <c r="D41" s="18"/>
      <c r="E41" s="18"/>
      <c r="F41" s="18"/>
      <c r="G41" s="18"/>
      <c r="H41" s="18"/>
      <c r="I41" s="18"/>
      <c r="J41" s="18"/>
    </row>
    <row r="42" spans="2:10" ht="12.75">
      <c r="B42" s="5" t="s">
        <v>377</v>
      </c>
      <c r="C42" s="18">
        <v>3084</v>
      </c>
      <c r="D42" s="18">
        <v>41.12</v>
      </c>
      <c r="E42" s="18">
        <f>ROUND(C42/C44*E44,0)</f>
        <v>218</v>
      </c>
      <c r="F42" s="18">
        <f>ROUND(C42/C44*F44,0)</f>
        <v>777</v>
      </c>
      <c r="G42" s="18">
        <f aca="true" t="shared" si="3" ref="G42:H44">C42</f>
        <v>3084</v>
      </c>
      <c r="H42" s="18">
        <v>41.12</v>
      </c>
      <c r="I42" s="18">
        <f>ROUND(G42/G44*I44,0)</f>
        <v>222</v>
      </c>
      <c r="J42" s="18">
        <f>ROUND(G42/G44*J44,0)</f>
        <v>761</v>
      </c>
    </row>
    <row r="43" spans="2:10" ht="12.75">
      <c r="B43" s="94" t="s">
        <v>378</v>
      </c>
      <c r="C43" s="18">
        <v>0</v>
      </c>
      <c r="D43" s="18">
        <v>0</v>
      </c>
      <c r="E43" s="18">
        <f>E44-E42</f>
        <v>0</v>
      </c>
      <c r="F43" s="18">
        <f>ROUND(C43/C44*F44,0)</f>
        <v>0</v>
      </c>
      <c r="G43" s="18">
        <f t="shared" si="3"/>
        <v>0</v>
      </c>
      <c r="H43" s="18">
        <f t="shared" si="3"/>
        <v>0</v>
      </c>
      <c r="I43" s="18">
        <f>I44-I42</f>
        <v>0</v>
      </c>
      <c r="J43" s="18">
        <f>ROUND(G43/G44*J44,0)</f>
        <v>0</v>
      </c>
    </row>
    <row r="44" spans="2:15" ht="12.75">
      <c r="B44" s="479" t="s">
        <v>284</v>
      </c>
      <c r="C44" s="18">
        <f>SUM(C42:C43)</f>
        <v>3084</v>
      </c>
      <c r="D44" s="18">
        <f>+D43+D42</f>
        <v>41.12</v>
      </c>
      <c r="E44" s="18">
        <f>+'Corps Rec Functionalization'!E23</f>
        <v>218</v>
      </c>
      <c r="F44" s="18">
        <v>777</v>
      </c>
      <c r="G44" s="18">
        <f t="shared" si="3"/>
        <v>3084</v>
      </c>
      <c r="H44" s="18">
        <f>D44</f>
        <v>41.12</v>
      </c>
      <c r="I44" s="18">
        <f>+'Corps Rec Functionalization'!H23</f>
        <v>222</v>
      </c>
      <c r="J44" s="18">
        <v>761</v>
      </c>
      <c r="O44" s="18"/>
    </row>
    <row r="45" spans="2:15" ht="12.75">
      <c r="B45" s="104" t="s">
        <v>4</v>
      </c>
      <c r="C45" s="18"/>
      <c r="D45" s="18"/>
      <c r="E45" s="18"/>
      <c r="F45" s="18"/>
      <c r="G45" s="18"/>
      <c r="H45" s="18"/>
      <c r="I45" s="18"/>
      <c r="J45" s="18"/>
      <c r="O45" s="18"/>
    </row>
    <row r="46" spans="2:15" ht="12.75">
      <c r="B46" s="101" t="s">
        <v>340</v>
      </c>
      <c r="C46" s="18"/>
      <c r="D46" s="18"/>
      <c r="E46" s="18"/>
      <c r="F46" s="18"/>
      <c r="G46" s="18"/>
      <c r="H46" s="18"/>
      <c r="I46" s="18"/>
      <c r="J46" s="18"/>
      <c r="O46" s="18"/>
    </row>
    <row r="47" spans="2:15" ht="12.75">
      <c r="B47" s="5" t="s">
        <v>377</v>
      </c>
      <c r="C47" s="18">
        <v>2700</v>
      </c>
      <c r="D47" s="18">
        <v>36</v>
      </c>
      <c r="E47" s="18">
        <f>+'Corps Rec Functionalization'!E39</f>
        <v>63</v>
      </c>
      <c r="F47" s="18">
        <v>1644</v>
      </c>
      <c r="G47" s="18">
        <v>2007</v>
      </c>
      <c r="H47" s="18">
        <v>36</v>
      </c>
      <c r="I47" s="18">
        <f>+'Corps Rec Functionalization'!H39</f>
        <v>63</v>
      </c>
      <c r="J47" s="18">
        <v>1608</v>
      </c>
      <c r="O47" s="18"/>
    </row>
    <row r="48" spans="3:15" ht="12.75">
      <c r="C48" s="18"/>
      <c r="D48" s="18"/>
      <c r="E48" s="18"/>
      <c r="F48" s="18"/>
      <c r="G48" s="18"/>
      <c r="H48" s="18"/>
      <c r="I48" s="18"/>
      <c r="J48" s="18"/>
      <c r="O48" s="18"/>
    </row>
    <row r="49" spans="2:15" ht="12.75">
      <c r="B49" s="101" t="s">
        <v>392</v>
      </c>
      <c r="C49" s="18"/>
      <c r="D49" s="18"/>
      <c r="E49" s="18"/>
      <c r="F49" s="18"/>
      <c r="G49" s="18"/>
      <c r="H49" s="18"/>
      <c r="I49" s="18"/>
      <c r="J49" s="18"/>
      <c r="O49" s="18"/>
    </row>
    <row r="50" spans="2:10" ht="12.75">
      <c r="B50" s="5" t="s">
        <v>377</v>
      </c>
      <c r="C50" s="18">
        <f aca="true" t="shared" si="4" ref="C50:J50">C36+C40+C42+C47</f>
        <v>8284</v>
      </c>
      <c r="D50" s="18">
        <f t="shared" si="4"/>
        <v>110.45333333333333</v>
      </c>
      <c r="E50" s="18">
        <f>E36+E40+E42+E47</f>
        <v>385</v>
      </c>
      <c r="F50" s="18">
        <f t="shared" si="4"/>
        <v>3257</v>
      </c>
      <c r="G50" s="18">
        <f t="shared" si="4"/>
        <v>7591</v>
      </c>
      <c r="H50" s="18">
        <f t="shared" si="4"/>
        <v>110.45333333333333</v>
      </c>
      <c r="I50" s="18">
        <f t="shared" si="4"/>
        <v>391</v>
      </c>
      <c r="J50" s="18">
        <f t="shared" si="4"/>
        <v>3195</v>
      </c>
    </row>
    <row r="51" spans="2:10" ht="12.75">
      <c r="B51" s="94" t="s">
        <v>378</v>
      </c>
      <c r="C51" s="18">
        <f aca="true" t="shared" si="5" ref="C51:J51">C37+C43</f>
        <v>2007</v>
      </c>
      <c r="D51" s="18">
        <f>D37+D43</f>
        <v>26.76</v>
      </c>
      <c r="E51" s="18">
        <f>E37+E43</f>
        <v>139</v>
      </c>
      <c r="F51" s="18">
        <f t="shared" si="5"/>
        <v>1919</v>
      </c>
      <c r="G51" s="18">
        <f t="shared" si="5"/>
        <v>2007</v>
      </c>
      <c r="H51" s="18">
        <f t="shared" si="5"/>
        <v>26.76</v>
      </c>
      <c r="I51" s="18">
        <f t="shared" si="5"/>
        <v>167</v>
      </c>
      <c r="J51" s="18">
        <f t="shared" si="5"/>
        <v>1876</v>
      </c>
    </row>
    <row r="52" spans="2:10" ht="12.75">
      <c r="B52" s="479" t="s">
        <v>284</v>
      </c>
      <c r="C52" s="18">
        <f aca="true" t="shared" si="6" ref="C52:J52">SUM(C50:C51)</f>
        <v>10291</v>
      </c>
      <c r="D52" s="18">
        <f t="shared" si="6"/>
        <v>137.21333333333334</v>
      </c>
      <c r="E52" s="18">
        <f t="shared" si="6"/>
        <v>524</v>
      </c>
      <c r="F52" s="18">
        <f t="shared" si="6"/>
        <v>5176</v>
      </c>
      <c r="G52" s="18">
        <f t="shared" si="6"/>
        <v>9598</v>
      </c>
      <c r="H52" s="18">
        <f t="shared" si="6"/>
        <v>137.21333333333334</v>
      </c>
      <c r="I52" s="18">
        <f t="shared" si="6"/>
        <v>558</v>
      </c>
      <c r="J52" s="18">
        <f t="shared" si="6"/>
        <v>5071</v>
      </c>
    </row>
    <row r="53" spans="3:9" ht="12.75">
      <c r="C53" s="24"/>
      <c r="D53" s="24"/>
      <c r="E53" s="24"/>
      <c r="F53" s="24"/>
      <c r="G53" s="24"/>
      <c r="H53" s="24"/>
      <c r="I53" s="24"/>
    </row>
    <row r="54" spans="3:9" ht="12.75">
      <c r="C54" s="24"/>
      <c r="D54" s="24"/>
      <c r="E54" s="24"/>
      <c r="F54" s="24"/>
      <c r="G54" s="24"/>
      <c r="H54" s="24"/>
      <c r="I54" s="24"/>
    </row>
    <row r="55" spans="3:9" ht="12.75">
      <c r="C55" s="24"/>
      <c r="D55" s="24"/>
      <c r="E55" s="24"/>
      <c r="F55" s="24"/>
      <c r="G55" s="24"/>
      <c r="H55" s="24"/>
      <c r="I55" s="24"/>
    </row>
    <row r="56" spans="3:9" ht="12.75">
      <c r="C56" s="24"/>
      <c r="D56" s="24"/>
      <c r="E56" s="24"/>
      <c r="F56" s="24"/>
      <c r="G56" s="24"/>
      <c r="H56" s="24"/>
      <c r="I56" s="24"/>
    </row>
    <row r="57" spans="3:9" ht="12.75">
      <c r="C57" s="24"/>
      <c r="D57" s="24"/>
      <c r="E57" s="24"/>
      <c r="F57" s="24"/>
      <c r="G57" s="24"/>
      <c r="H57" s="24"/>
      <c r="I57" s="24"/>
    </row>
    <row r="58" spans="3:9" ht="12.75">
      <c r="C58" s="24"/>
      <c r="D58" s="24"/>
      <c r="E58" s="24"/>
      <c r="F58" s="24"/>
      <c r="G58" s="24"/>
      <c r="H58" s="24"/>
      <c r="I58" s="24"/>
    </row>
    <row r="59" spans="3:9" ht="12.75">
      <c r="C59" s="24"/>
      <c r="D59" s="24"/>
      <c r="E59" s="24"/>
      <c r="F59" s="24"/>
      <c r="G59" s="24"/>
      <c r="H59" s="24"/>
      <c r="I59" s="24"/>
    </row>
    <row r="60" spans="3:9" ht="12.75">
      <c r="C60" s="24"/>
      <c r="D60" s="24"/>
      <c r="E60" s="24"/>
      <c r="F60" s="24"/>
      <c r="G60" s="24"/>
      <c r="H60" s="24"/>
      <c r="I60" s="24"/>
    </row>
  </sheetData>
  <mergeCells count="3">
    <mergeCell ref="A2:K2"/>
    <mergeCell ref="A3:K3"/>
    <mergeCell ref="A4:K4"/>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sheetPr>
  <dimension ref="A1:AU14"/>
  <sheetViews>
    <sheetView workbookViewId="0" topLeftCell="A1">
      <selection activeCell="B41" sqref="B41"/>
    </sheetView>
  </sheetViews>
  <sheetFormatPr defaultColWidth="9.140625" defaultRowHeight="12.75"/>
  <cols>
    <col min="1" max="1" width="4.28125" style="0" customWidth="1"/>
    <col min="2" max="2" width="36.421875" style="0" customWidth="1"/>
    <col min="3" max="3" width="11.7109375" style="0" customWidth="1"/>
    <col min="4" max="4" width="11.57421875" style="0" customWidth="1"/>
    <col min="5" max="5" width="7.8515625" style="0" customWidth="1"/>
    <col min="6" max="6" width="8.7109375" style="0" customWidth="1"/>
    <col min="7" max="7" width="3.8515625" style="0" customWidth="1"/>
    <col min="10" max="10" width="10.140625" style="0" customWidth="1"/>
    <col min="11" max="11" width="10.7109375" style="0" customWidth="1"/>
    <col min="12" max="30" width="9.140625" style="0" hidden="1" customWidth="1"/>
    <col min="31" max="31" width="9.140625" style="0" customWidth="1"/>
  </cols>
  <sheetData>
    <row r="1" spans="1:17" ht="12.75">
      <c r="A1" s="504" t="s">
        <v>354</v>
      </c>
      <c r="B1" s="504"/>
      <c r="C1" s="504"/>
      <c r="D1" s="504"/>
      <c r="H1" s="491" t="s">
        <v>355</v>
      </c>
      <c r="I1" s="491"/>
      <c r="J1" s="491"/>
      <c r="K1" s="491"/>
      <c r="L1" s="491"/>
      <c r="M1" s="491"/>
      <c r="N1" s="491"/>
      <c r="O1" s="491"/>
      <c r="P1" s="491"/>
      <c r="Q1" s="491"/>
    </row>
    <row r="2" spans="1:17" ht="12.75">
      <c r="A2" s="505" t="s">
        <v>246</v>
      </c>
      <c r="B2" s="505"/>
      <c r="C2" s="505"/>
      <c r="D2" s="505"/>
      <c r="E2" s="69"/>
      <c r="H2" s="491" t="s">
        <v>356</v>
      </c>
      <c r="I2" s="491"/>
      <c r="J2" s="491"/>
      <c r="K2" s="491"/>
      <c r="L2" s="491"/>
      <c r="M2" s="491"/>
      <c r="N2" s="491"/>
      <c r="O2" s="491"/>
      <c r="P2" s="491"/>
      <c r="Q2" s="491"/>
    </row>
    <row r="3" spans="1:17" ht="12.75">
      <c r="A3" s="218"/>
      <c r="B3" s="218"/>
      <c r="C3" s="218"/>
      <c r="D3" s="218"/>
      <c r="H3" s="491" t="s">
        <v>351</v>
      </c>
      <c r="I3" s="491"/>
      <c r="J3" s="491"/>
      <c r="K3" s="491"/>
      <c r="L3" s="491"/>
      <c r="M3" s="491"/>
      <c r="N3" s="491"/>
      <c r="O3" s="491"/>
      <c r="P3" s="491"/>
      <c r="Q3" s="491"/>
    </row>
    <row r="4" spans="1:4" ht="12.75">
      <c r="A4" s="218"/>
      <c r="B4" s="218"/>
      <c r="C4" s="219" t="e">
        <f>+#REF!</f>
        <v>#REF!</v>
      </c>
      <c r="D4" s="262" t="e">
        <f>+#REF!</f>
        <v>#REF!</v>
      </c>
    </row>
    <row r="5" spans="1:10" ht="12.75">
      <c r="A5" s="218">
        <v>1</v>
      </c>
      <c r="B5" s="220" t="s">
        <v>357</v>
      </c>
      <c r="C5" s="221">
        <f>AVERAGE(AI12:AJ12)</f>
        <v>5185.5</v>
      </c>
      <c r="D5" s="221">
        <f>AVERAGE(AJ12:AK12)</f>
        <v>5082.5</v>
      </c>
      <c r="E5" s="36"/>
      <c r="J5" s="39" t="s">
        <v>358</v>
      </c>
    </row>
    <row r="6" spans="1:31" ht="12.75">
      <c r="A6" s="218">
        <v>2</v>
      </c>
      <c r="B6" s="218" t="s">
        <v>359</v>
      </c>
      <c r="C6" s="221">
        <v>6128241</v>
      </c>
      <c r="D6" s="221">
        <v>6352023</v>
      </c>
      <c r="E6" s="36"/>
      <c r="J6" s="39" t="s">
        <v>360</v>
      </c>
      <c r="K6" s="39" t="s">
        <v>361</v>
      </c>
      <c r="L6" s="491" t="s">
        <v>362</v>
      </c>
      <c r="M6" s="491"/>
      <c r="N6" s="491"/>
      <c r="O6" s="491"/>
      <c r="P6" s="491"/>
      <c r="Q6" s="491"/>
      <c r="AE6" s="20" t="s">
        <v>726</v>
      </c>
    </row>
    <row r="7" spans="1:47" ht="12.75">
      <c r="A7" s="218">
        <v>3</v>
      </c>
      <c r="B7" s="222" t="s">
        <v>363</v>
      </c>
      <c r="C7" s="223">
        <f>C5/C6</f>
        <v>0.0008461645029952315</v>
      </c>
      <c r="D7" s="223">
        <f>D5/D6</f>
        <v>0.0008001387904294428</v>
      </c>
      <c r="E7" s="14"/>
      <c r="H7" s="39" t="s">
        <v>364</v>
      </c>
      <c r="I7" s="39" t="s">
        <v>365</v>
      </c>
      <c r="J7" s="70">
        <v>1999</v>
      </c>
      <c r="K7" s="39" t="s">
        <v>366</v>
      </c>
      <c r="L7" s="39">
        <v>2000</v>
      </c>
      <c r="M7" s="39">
        <f>L7+1</f>
        <v>2001</v>
      </c>
      <c r="N7" s="39">
        <f aca="true" t="shared" si="0" ref="N7:W7">M7+1</f>
        <v>2002</v>
      </c>
      <c r="O7" s="39">
        <f t="shared" si="0"/>
        <v>2003</v>
      </c>
      <c r="P7" s="39">
        <f t="shared" si="0"/>
        <v>2004</v>
      </c>
      <c r="Q7" s="39">
        <f t="shared" si="0"/>
        <v>2005</v>
      </c>
      <c r="R7" s="39">
        <f t="shared" si="0"/>
        <v>2006</v>
      </c>
      <c r="S7" s="39">
        <f t="shared" si="0"/>
        <v>2007</v>
      </c>
      <c r="T7" s="39">
        <f t="shared" si="0"/>
        <v>2008</v>
      </c>
      <c r="U7" s="39">
        <f t="shared" si="0"/>
        <v>2009</v>
      </c>
      <c r="V7" s="39">
        <f t="shared" si="0"/>
        <v>2010</v>
      </c>
      <c r="W7" s="39">
        <f t="shared" si="0"/>
        <v>2011</v>
      </c>
      <c r="X7" s="39">
        <f aca="true" t="shared" si="1" ref="X7:AC7">W7+1</f>
        <v>2012</v>
      </c>
      <c r="Y7" s="39">
        <f t="shared" si="1"/>
        <v>2013</v>
      </c>
      <c r="Z7" s="39">
        <f t="shared" si="1"/>
        <v>2014</v>
      </c>
      <c r="AA7" s="39">
        <f t="shared" si="1"/>
        <v>2015</v>
      </c>
      <c r="AB7" s="95">
        <f t="shared" si="1"/>
        <v>2016</v>
      </c>
      <c r="AC7" s="95">
        <f t="shared" si="1"/>
        <v>2017</v>
      </c>
      <c r="AD7" s="127">
        <f aca="true" t="shared" si="2" ref="AD7">AC7+1</f>
        <v>2018</v>
      </c>
      <c r="AE7" s="127">
        <f aca="true" t="shared" si="3" ref="AE7">AD7+1</f>
        <v>2019</v>
      </c>
      <c r="AF7" s="127">
        <f aca="true" t="shared" si="4" ref="AF7">AE7+1</f>
        <v>2020</v>
      </c>
      <c r="AG7" s="127">
        <f aca="true" t="shared" si="5" ref="AG7">AF7+1</f>
        <v>2021</v>
      </c>
      <c r="AH7" s="127">
        <f aca="true" t="shared" si="6" ref="AH7">AG7+1</f>
        <v>2022</v>
      </c>
      <c r="AI7" s="127">
        <f aca="true" t="shared" si="7" ref="AI7">AH7+1</f>
        <v>2023</v>
      </c>
      <c r="AJ7" s="127">
        <f aca="true" t="shared" si="8" ref="AJ7">AI7+1</f>
        <v>2024</v>
      </c>
      <c r="AK7" s="127">
        <f aca="true" t="shared" si="9" ref="AK7">AJ7+1</f>
        <v>2025</v>
      </c>
      <c r="AL7" s="193">
        <f aca="true" t="shared" si="10" ref="AL7">AK7+1</f>
        <v>2026</v>
      </c>
      <c r="AM7" s="193">
        <f aca="true" t="shared" si="11" ref="AM7">AL7+1</f>
        <v>2027</v>
      </c>
      <c r="AN7" s="193">
        <f aca="true" t="shared" si="12" ref="AN7">AM7+1</f>
        <v>2028</v>
      </c>
      <c r="AO7" s="193">
        <f aca="true" t="shared" si="13" ref="AO7">AN7+1</f>
        <v>2029</v>
      </c>
      <c r="AP7" s="193">
        <f aca="true" t="shared" si="14" ref="AP7">AO7+1</f>
        <v>2030</v>
      </c>
      <c r="AQ7" s="193">
        <f aca="true" t="shared" si="15" ref="AQ7">AP7+1</f>
        <v>2031</v>
      </c>
      <c r="AR7" s="193">
        <f aca="true" t="shared" si="16" ref="AR7">AQ7+1</f>
        <v>2032</v>
      </c>
      <c r="AS7" s="193">
        <f aca="true" t="shared" si="17" ref="AS7">AR7+1</f>
        <v>2033</v>
      </c>
      <c r="AT7" s="193">
        <f aca="true" t="shared" si="18" ref="AT7">AS7+1</f>
        <v>2034</v>
      </c>
      <c r="AU7" s="193">
        <f aca="true" t="shared" si="19" ref="AU7">AT7+1</f>
        <v>2035</v>
      </c>
    </row>
    <row r="8" spans="1:47" ht="12.75">
      <c r="A8" s="218">
        <v>4</v>
      </c>
      <c r="B8" s="224" t="s">
        <v>367</v>
      </c>
      <c r="C8" s="221">
        <f>+COSA!C12</f>
        <v>18935.075140471068</v>
      </c>
      <c r="D8" s="221">
        <f>+COSA!C58</f>
        <v>1843.8479972827918</v>
      </c>
      <c r="E8" s="36"/>
      <c r="G8">
        <v>1</v>
      </c>
      <c r="H8" s="71">
        <v>75</v>
      </c>
      <c r="I8" t="s">
        <v>352</v>
      </c>
      <c r="J8" s="4">
        <f>3776+ROUND(3776/(3776+3583)*350,0)</f>
        <v>3956</v>
      </c>
      <c r="K8" s="4">
        <f>ROUND(J8/H8,0)</f>
        <v>53</v>
      </c>
      <c r="L8" s="4">
        <f>K8</f>
        <v>53</v>
      </c>
      <c r="M8" s="4">
        <f>L8+$K8</f>
        <v>106</v>
      </c>
      <c r="N8" s="4">
        <f aca="true" t="shared" si="20" ref="N8:AA9">M8+$K8</f>
        <v>159</v>
      </c>
      <c r="O8" s="4">
        <f t="shared" si="20"/>
        <v>212</v>
      </c>
      <c r="P8" s="4">
        <f t="shared" si="20"/>
        <v>265</v>
      </c>
      <c r="Q8" s="4">
        <f t="shared" si="20"/>
        <v>318</v>
      </c>
      <c r="R8" s="4">
        <f t="shared" si="20"/>
        <v>371</v>
      </c>
      <c r="S8" s="4">
        <f t="shared" si="20"/>
        <v>424</v>
      </c>
      <c r="T8" s="4">
        <f t="shared" si="20"/>
        <v>477</v>
      </c>
      <c r="U8" s="4">
        <f t="shared" si="20"/>
        <v>530</v>
      </c>
      <c r="V8" s="4">
        <f t="shared" si="20"/>
        <v>583</v>
      </c>
      <c r="W8" s="4">
        <f t="shared" si="20"/>
        <v>636</v>
      </c>
      <c r="X8" s="4">
        <f>W8+$K8</f>
        <v>689</v>
      </c>
      <c r="Y8" s="4">
        <f t="shared" si="20"/>
        <v>742</v>
      </c>
      <c r="Z8" s="4">
        <f t="shared" si="20"/>
        <v>795</v>
      </c>
      <c r="AA8" s="4">
        <f>Z8+$K8</f>
        <v>848</v>
      </c>
      <c r="AB8" s="4">
        <f>AA8+$K8</f>
        <v>901</v>
      </c>
      <c r="AC8" s="4">
        <f aca="true" t="shared" si="21" ref="AB8:AC9">AB8+$K8</f>
        <v>954</v>
      </c>
      <c r="AD8" s="4">
        <f aca="true" t="shared" si="22" ref="AD8">AC8+$K8</f>
        <v>1007</v>
      </c>
      <c r="AE8" s="4">
        <f>AD8+$K8</f>
        <v>1060</v>
      </c>
      <c r="AF8" s="4">
        <f>AE8+$K8</f>
        <v>1113</v>
      </c>
      <c r="AG8" s="4">
        <f aca="true" t="shared" si="23" ref="AG8">AF8+$K8</f>
        <v>1166</v>
      </c>
      <c r="AH8" s="4">
        <f aca="true" t="shared" si="24" ref="AH8">AG8+$K8</f>
        <v>1219</v>
      </c>
      <c r="AI8" s="4">
        <f aca="true" t="shared" si="25" ref="AI8">AH8+$K8</f>
        <v>1272</v>
      </c>
      <c r="AJ8" s="4">
        <f aca="true" t="shared" si="26" ref="AJ8">AI8+$K8</f>
        <v>1325</v>
      </c>
      <c r="AK8" s="4">
        <f aca="true" t="shared" si="27" ref="AK8">AJ8+$K8</f>
        <v>1378</v>
      </c>
      <c r="AL8" s="4">
        <f aca="true" t="shared" si="28" ref="AL8:AL9">AK8+$K8</f>
        <v>1431</v>
      </c>
      <c r="AM8" s="4">
        <f aca="true" t="shared" si="29" ref="AM8:AM9">AL8+$K8</f>
        <v>1484</v>
      </c>
      <c r="AN8" s="4">
        <f aca="true" t="shared" si="30" ref="AN8:AN9">AM8+$K8</f>
        <v>1537</v>
      </c>
      <c r="AO8" s="4">
        <f aca="true" t="shared" si="31" ref="AO8:AO9">AN8+$K8</f>
        <v>1590</v>
      </c>
      <c r="AP8" s="4">
        <f aca="true" t="shared" si="32" ref="AP8:AP9">AO8+$K8</f>
        <v>1643</v>
      </c>
      <c r="AQ8" s="4">
        <f aca="true" t="shared" si="33" ref="AQ8:AQ9">AP8+$K8</f>
        <v>1696</v>
      </c>
      <c r="AR8" s="4">
        <f aca="true" t="shared" si="34" ref="AR8:AR9">AQ8+$K8</f>
        <v>1749</v>
      </c>
      <c r="AS8" s="4">
        <f aca="true" t="shared" si="35" ref="AS8:AS9">AR8+$K8</f>
        <v>1802</v>
      </c>
      <c r="AT8" s="4">
        <f aca="true" t="shared" si="36" ref="AT8:AT9">AS8+$K8</f>
        <v>1855</v>
      </c>
      <c r="AU8" s="4">
        <f aca="true" t="shared" si="37" ref="AU8:AU9">AT8+$K8</f>
        <v>1908</v>
      </c>
    </row>
    <row r="9" spans="1:47" ht="12.75">
      <c r="A9" s="218">
        <v>5</v>
      </c>
      <c r="B9" s="222" t="s">
        <v>368</v>
      </c>
      <c r="C9" s="221">
        <f>ROUND(C8*C$7,0)</f>
        <v>16</v>
      </c>
      <c r="D9" s="221">
        <f>ROUND(D8*D$7,0)</f>
        <v>1</v>
      </c>
      <c r="E9" s="36"/>
      <c r="G9">
        <v>2</v>
      </c>
      <c r="H9" s="71">
        <v>75</v>
      </c>
      <c r="I9" t="s">
        <v>353</v>
      </c>
      <c r="J9" s="4">
        <f>7709-J8</f>
        <v>3753</v>
      </c>
      <c r="K9" s="4">
        <f>ROUND(J9/H9,0)</f>
        <v>50</v>
      </c>
      <c r="L9" s="4">
        <f>K9</f>
        <v>50</v>
      </c>
      <c r="M9" s="4">
        <f>L9+$K9</f>
        <v>100</v>
      </c>
      <c r="N9" s="4">
        <f t="shared" si="20"/>
        <v>150</v>
      </c>
      <c r="O9" s="4">
        <f t="shared" si="20"/>
        <v>200</v>
      </c>
      <c r="P9" s="4">
        <f t="shared" si="20"/>
        <v>250</v>
      </c>
      <c r="Q9" s="4">
        <f t="shared" si="20"/>
        <v>300</v>
      </c>
      <c r="R9" s="4">
        <f t="shared" si="20"/>
        <v>350</v>
      </c>
      <c r="S9" s="4">
        <f t="shared" si="20"/>
        <v>400</v>
      </c>
      <c r="T9" s="4">
        <f t="shared" si="20"/>
        <v>450</v>
      </c>
      <c r="U9" s="4">
        <f t="shared" si="20"/>
        <v>500</v>
      </c>
      <c r="V9" s="4">
        <f t="shared" si="20"/>
        <v>550</v>
      </c>
      <c r="W9" s="4">
        <f t="shared" si="20"/>
        <v>600</v>
      </c>
      <c r="X9" s="4">
        <f>W9+$K9</f>
        <v>650</v>
      </c>
      <c r="Y9" s="4">
        <f t="shared" si="20"/>
        <v>700</v>
      </c>
      <c r="Z9" s="4">
        <f t="shared" si="20"/>
        <v>750</v>
      </c>
      <c r="AA9" s="4">
        <f t="shared" si="20"/>
        <v>800</v>
      </c>
      <c r="AB9" s="4">
        <f t="shared" si="21"/>
        <v>850</v>
      </c>
      <c r="AC9" s="4">
        <f t="shared" si="21"/>
        <v>900</v>
      </c>
      <c r="AD9" s="4">
        <f aca="true" t="shared" si="38" ref="AD9">AC9+$K9</f>
        <v>950</v>
      </c>
      <c r="AE9" s="4">
        <f>AD9+$K9</f>
        <v>1000</v>
      </c>
      <c r="AF9" s="4">
        <f aca="true" t="shared" si="39" ref="AF9">AE9+$K9</f>
        <v>1050</v>
      </c>
      <c r="AG9" s="4">
        <f aca="true" t="shared" si="40" ref="AG9">AF9+$K9</f>
        <v>1100</v>
      </c>
      <c r="AH9" s="4">
        <f aca="true" t="shared" si="41" ref="AH9">AG9+$K9</f>
        <v>1150</v>
      </c>
      <c r="AI9" s="4">
        <f aca="true" t="shared" si="42" ref="AI9">AH9+$K9</f>
        <v>1200</v>
      </c>
      <c r="AJ9" s="4">
        <f aca="true" t="shared" si="43" ref="AJ9">AI9+$K9</f>
        <v>1250</v>
      </c>
      <c r="AK9" s="4">
        <f aca="true" t="shared" si="44" ref="AK9">AJ9+$K9</f>
        <v>1300</v>
      </c>
      <c r="AL9" s="4">
        <f t="shared" si="28"/>
        <v>1350</v>
      </c>
      <c r="AM9" s="4">
        <f t="shared" si="29"/>
        <v>1400</v>
      </c>
      <c r="AN9" s="4">
        <f t="shared" si="30"/>
        <v>1450</v>
      </c>
      <c r="AO9" s="4">
        <f t="shared" si="31"/>
        <v>1500</v>
      </c>
      <c r="AP9" s="4">
        <f t="shared" si="32"/>
        <v>1550</v>
      </c>
      <c r="AQ9" s="4">
        <f t="shared" si="33"/>
        <v>1600</v>
      </c>
      <c r="AR9" s="4">
        <f t="shared" si="34"/>
        <v>1650</v>
      </c>
      <c r="AS9" s="4">
        <f t="shared" si="35"/>
        <v>1700</v>
      </c>
      <c r="AT9" s="4">
        <f t="shared" si="36"/>
        <v>1750</v>
      </c>
      <c r="AU9" s="4">
        <f t="shared" si="37"/>
        <v>1800</v>
      </c>
    </row>
    <row r="10" spans="1:47" ht="12.75">
      <c r="A10" s="218">
        <v>6</v>
      </c>
      <c r="B10" s="224" t="s">
        <v>369</v>
      </c>
      <c r="C10" s="221">
        <f>COSA!D12*'Corps Rec Transmission'!C25</f>
        <v>124635.4309096928</v>
      </c>
      <c r="D10" s="221">
        <f>+COSA!D58*'Corps Rec Transmission'!F25</f>
        <v>132736.11094853672</v>
      </c>
      <c r="E10" s="36"/>
      <c r="G10">
        <v>3</v>
      </c>
      <c r="J10" s="12">
        <f>SUM(J8:J9)</f>
        <v>7709</v>
      </c>
      <c r="K10" s="72">
        <f>SUM(K8:K9)</f>
        <v>103</v>
      </c>
      <c r="L10" s="4">
        <f>SUM(L8:L9)</f>
        <v>103</v>
      </c>
      <c r="M10" s="4">
        <f>SUM(M8:M9)</f>
        <v>206</v>
      </c>
      <c r="N10" s="4">
        <f aca="true" t="shared" si="45" ref="N10:W10">SUM(N8:N9)</f>
        <v>309</v>
      </c>
      <c r="O10" s="4">
        <f t="shared" si="45"/>
        <v>412</v>
      </c>
      <c r="P10" s="4">
        <f t="shared" si="45"/>
        <v>515</v>
      </c>
      <c r="Q10" s="4">
        <f t="shared" si="45"/>
        <v>618</v>
      </c>
      <c r="R10" s="4">
        <f t="shared" si="45"/>
        <v>721</v>
      </c>
      <c r="S10" s="4">
        <f t="shared" si="45"/>
        <v>824</v>
      </c>
      <c r="T10" s="4">
        <f t="shared" si="45"/>
        <v>927</v>
      </c>
      <c r="U10" s="4">
        <f t="shared" si="45"/>
        <v>1030</v>
      </c>
      <c r="V10" s="4">
        <f t="shared" si="45"/>
        <v>1133</v>
      </c>
      <c r="W10" s="4">
        <f t="shared" si="45"/>
        <v>1236</v>
      </c>
      <c r="X10" s="4">
        <f>SUM(X8:X9)</f>
        <v>1339</v>
      </c>
      <c r="Y10" s="4">
        <f>SUM(Y8:Y9)</f>
        <v>1442</v>
      </c>
      <c r="Z10" s="4">
        <f>SUM(Z8:Z9)</f>
        <v>1545</v>
      </c>
      <c r="AA10" s="4">
        <f>SUM(AA8:AA9)</f>
        <v>1648</v>
      </c>
      <c r="AB10" s="4">
        <f aca="true" t="shared" si="46" ref="AB10:AC10">SUM(AB8:AB9)</f>
        <v>1751</v>
      </c>
      <c r="AC10" s="4">
        <f t="shared" si="46"/>
        <v>1854</v>
      </c>
      <c r="AD10" s="4">
        <f aca="true" t="shared" si="47" ref="AD10:AK10">SUM(AD8:AD9)</f>
        <v>1957</v>
      </c>
      <c r="AE10" s="4">
        <f t="shared" si="47"/>
        <v>2060</v>
      </c>
      <c r="AF10" s="4">
        <f t="shared" si="47"/>
        <v>2163</v>
      </c>
      <c r="AG10" s="4">
        <f t="shared" si="47"/>
        <v>2266</v>
      </c>
      <c r="AH10" s="4">
        <f t="shared" si="47"/>
        <v>2369</v>
      </c>
      <c r="AI10" s="4">
        <f t="shared" si="47"/>
        <v>2472</v>
      </c>
      <c r="AJ10" s="4">
        <f t="shared" si="47"/>
        <v>2575</v>
      </c>
      <c r="AK10" s="4">
        <f t="shared" si="47"/>
        <v>2678</v>
      </c>
      <c r="AL10" s="4">
        <f aca="true" t="shared" si="48" ref="AL10:AU10">SUM(AL8:AL9)</f>
        <v>2781</v>
      </c>
      <c r="AM10" s="4">
        <f>SUM(AM8:AM9)</f>
        <v>2884</v>
      </c>
      <c r="AN10" s="4">
        <f t="shared" si="48"/>
        <v>2987</v>
      </c>
      <c r="AO10" s="4">
        <f t="shared" si="48"/>
        <v>3090</v>
      </c>
      <c r="AP10" s="4">
        <f t="shared" si="48"/>
        <v>3193</v>
      </c>
      <c r="AQ10" s="4">
        <f t="shared" si="48"/>
        <v>3296</v>
      </c>
      <c r="AR10" s="4">
        <f t="shared" si="48"/>
        <v>3399</v>
      </c>
      <c r="AS10" s="4">
        <f t="shared" si="48"/>
        <v>3502</v>
      </c>
      <c r="AT10" s="4">
        <f t="shared" si="48"/>
        <v>3605</v>
      </c>
      <c r="AU10" s="4">
        <f t="shared" si="48"/>
        <v>3708</v>
      </c>
    </row>
    <row r="11" spans="1:5" ht="12.75">
      <c r="A11" s="218">
        <v>7</v>
      </c>
      <c r="B11" s="222" t="s">
        <v>370</v>
      </c>
      <c r="C11" s="221">
        <f>ROUND(C10*C$7,0)</f>
        <v>105</v>
      </c>
      <c r="D11" s="221">
        <f>ROUND(D10*D$7,0)</f>
        <v>106</v>
      </c>
      <c r="E11" s="36"/>
    </row>
    <row r="12" spans="1:47" ht="12.75">
      <c r="A12" s="218">
        <v>8</v>
      </c>
      <c r="B12" s="222" t="s">
        <v>371</v>
      </c>
      <c r="C12" s="221">
        <f>K10</f>
        <v>103</v>
      </c>
      <c r="D12" s="221">
        <f>C12</f>
        <v>103</v>
      </c>
      <c r="E12" s="36"/>
      <c r="G12">
        <v>4</v>
      </c>
      <c r="J12" s="20" t="s">
        <v>372</v>
      </c>
      <c r="L12" s="12">
        <f>$J$10-L10</f>
        <v>7606</v>
      </c>
      <c r="M12" s="12">
        <f>$J$10-M10</f>
        <v>7503</v>
      </c>
      <c r="N12" s="12">
        <f aca="true" t="shared" si="49" ref="N12:W12">$J$10-N10</f>
        <v>7400</v>
      </c>
      <c r="O12" s="12">
        <f t="shared" si="49"/>
        <v>7297</v>
      </c>
      <c r="P12" s="12">
        <f t="shared" si="49"/>
        <v>7194</v>
      </c>
      <c r="Q12" s="12">
        <f t="shared" si="49"/>
        <v>7091</v>
      </c>
      <c r="R12" s="12">
        <f t="shared" si="49"/>
        <v>6988</v>
      </c>
      <c r="S12" s="12">
        <f t="shared" si="49"/>
        <v>6885</v>
      </c>
      <c r="T12" s="12">
        <f t="shared" si="49"/>
        <v>6782</v>
      </c>
      <c r="U12" s="12">
        <f>$J$10-U10</f>
        <v>6679</v>
      </c>
      <c r="V12" s="12">
        <f t="shared" si="49"/>
        <v>6576</v>
      </c>
      <c r="W12" s="12">
        <f t="shared" si="49"/>
        <v>6473</v>
      </c>
      <c r="X12" s="12">
        <f>$J$10-X10</f>
        <v>6370</v>
      </c>
      <c r="Y12" s="12">
        <f>$J$10-Y10</f>
        <v>6267</v>
      </c>
      <c r="Z12" s="12">
        <f>$J$10-Z10</f>
        <v>6164</v>
      </c>
      <c r="AA12" s="12">
        <f>$J$10-AA10</f>
        <v>6061</v>
      </c>
      <c r="AB12" s="12">
        <f>$J$10-AB10</f>
        <v>5958</v>
      </c>
      <c r="AC12" s="12">
        <f aca="true" t="shared" si="50" ref="AC12:AK12">$J$10-AC10</f>
        <v>5855</v>
      </c>
      <c r="AD12" s="12">
        <f t="shared" si="50"/>
        <v>5752</v>
      </c>
      <c r="AE12" s="12">
        <f t="shared" si="50"/>
        <v>5649</v>
      </c>
      <c r="AF12" s="12">
        <f t="shared" si="50"/>
        <v>5546</v>
      </c>
      <c r="AG12" s="12">
        <f t="shared" si="50"/>
        <v>5443</v>
      </c>
      <c r="AH12" s="12">
        <f t="shared" si="50"/>
        <v>5340</v>
      </c>
      <c r="AI12" s="12">
        <f t="shared" si="50"/>
        <v>5237</v>
      </c>
      <c r="AJ12" s="12">
        <f t="shared" si="50"/>
        <v>5134</v>
      </c>
      <c r="AK12" s="12">
        <f t="shared" si="50"/>
        <v>5031</v>
      </c>
      <c r="AL12" s="12">
        <f aca="true" t="shared" si="51" ref="AL12:AU12">$J$10-AL10</f>
        <v>4928</v>
      </c>
      <c r="AM12" s="12">
        <f t="shared" si="51"/>
        <v>4825</v>
      </c>
      <c r="AN12" s="12">
        <f t="shared" si="51"/>
        <v>4722</v>
      </c>
      <c r="AO12" s="12">
        <f t="shared" si="51"/>
        <v>4619</v>
      </c>
      <c r="AP12" s="12">
        <f t="shared" si="51"/>
        <v>4516</v>
      </c>
      <c r="AQ12" s="12">
        <f t="shared" si="51"/>
        <v>4413</v>
      </c>
      <c r="AR12" s="12">
        <f t="shared" si="51"/>
        <v>4310</v>
      </c>
      <c r="AS12" s="12">
        <f t="shared" si="51"/>
        <v>4207</v>
      </c>
      <c r="AT12" s="12">
        <f t="shared" si="51"/>
        <v>4104</v>
      </c>
      <c r="AU12" s="12">
        <f t="shared" si="51"/>
        <v>4001</v>
      </c>
    </row>
    <row r="13" spans="1:20" ht="12.75">
      <c r="A13" s="220">
        <v>9</v>
      </c>
      <c r="B13" s="222" t="s">
        <v>373</v>
      </c>
      <c r="C13" s="225">
        <f>C12+C11+C9</f>
        <v>224</v>
      </c>
      <c r="D13" s="225">
        <f>D12+D11+D9</f>
        <v>210</v>
      </c>
      <c r="E13" s="72"/>
      <c r="J13" s="20"/>
      <c r="M13" s="4"/>
      <c r="N13" s="4"/>
      <c r="O13" s="4"/>
      <c r="P13" s="4"/>
      <c r="Q13" s="4"/>
      <c r="R13" s="4"/>
      <c r="S13" s="4"/>
      <c r="T13" s="4"/>
    </row>
    <row r="14" spans="1:4" ht="12.75">
      <c r="A14" s="218"/>
      <c r="B14" s="218"/>
      <c r="C14" s="218"/>
      <c r="D14" s="218"/>
    </row>
  </sheetData>
  <mergeCells count="6">
    <mergeCell ref="H1:Q1"/>
    <mergeCell ref="H2:Q2"/>
    <mergeCell ref="H3:Q3"/>
    <mergeCell ref="L6:Q6"/>
    <mergeCell ref="A1:D1"/>
    <mergeCell ref="A2:D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AK154"/>
  <sheetViews>
    <sheetView showGridLines="0" zoomScale="85" zoomScaleNormal="85" workbookViewId="0" topLeftCell="A93">
      <selection activeCell="A11" sqref="A11:N135"/>
    </sheetView>
  </sheetViews>
  <sheetFormatPr defaultColWidth="11.00390625" defaultRowHeight="12.75"/>
  <cols>
    <col min="1" max="1" width="7.57421875" style="318" customWidth="1"/>
    <col min="2" max="2" width="16.8515625" style="292" customWidth="1"/>
    <col min="3" max="3" width="16.421875" style="292" hidden="1" customWidth="1"/>
    <col min="4" max="4" width="16.00390625" style="292" hidden="1" customWidth="1"/>
    <col min="5" max="5" width="18.7109375" style="292" hidden="1" customWidth="1"/>
    <col min="6" max="6" width="19.00390625" style="292" hidden="1" customWidth="1"/>
    <col min="7" max="7" width="17.421875" style="292" hidden="1" customWidth="1"/>
    <col min="8" max="8" width="16.28125" style="292" hidden="1" customWidth="1"/>
    <col min="9" max="9" width="14.140625" style="292" customWidth="1"/>
    <col min="10" max="10" width="15.8515625" style="292" customWidth="1"/>
    <col min="11" max="11" width="19.140625" style="292" bestFit="1" customWidth="1"/>
    <col min="12" max="12" width="19.421875" style="297" customWidth="1"/>
    <col min="13" max="13" width="15.57421875" style="297" customWidth="1"/>
    <col min="14" max="14" width="14.140625" style="297" customWidth="1"/>
    <col min="15" max="15" width="11.00390625" style="297" customWidth="1"/>
    <col min="16" max="17" width="25.00390625" style="297" customWidth="1"/>
    <col min="18" max="18" width="1.8515625" style="292" customWidth="1"/>
    <col min="19" max="19" width="17.8515625" style="292" customWidth="1"/>
    <col min="20" max="20" width="1.8515625" style="292" customWidth="1"/>
    <col min="21" max="21" width="19.00390625" style="292" customWidth="1"/>
    <col min="22" max="22" width="1.8515625" style="292" customWidth="1"/>
    <col min="23" max="23" width="16.7109375" style="292" customWidth="1"/>
    <col min="24" max="24" width="1.8515625" style="292" customWidth="1"/>
    <col min="25" max="25" width="16.7109375" style="292" customWidth="1"/>
    <col min="26" max="26" width="1.8515625" style="292" customWidth="1"/>
    <col min="27" max="27" width="16.7109375" style="292" customWidth="1"/>
    <col min="28" max="28" width="1.8515625" style="292" customWidth="1"/>
    <col min="29" max="29" width="16.7109375" style="292" customWidth="1"/>
    <col min="30" max="30" width="1.8515625" style="292" customWidth="1"/>
    <col min="31" max="31" width="17.8515625" style="292" customWidth="1"/>
    <col min="32" max="32" width="5.28125" style="292" customWidth="1"/>
    <col min="33" max="33" width="16.7109375" style="292" customWidth="1"/>
    <col min="34" max="34" width="5.28125" style="292" customWidth="1"/>
    <col min="35" max="35" width="14.421875" style="292" customWidth="1"/>
    <col min="36" max="36" width="1.8515625" style="292" customWidth="1"/>
    <col min="37" max="37" width="16.7109375" style="292" customWidth="1"/>
    <col min="38" max="247" width="11.00390625" style="292" customWidth="1"/>
    <col min="248" max="248" width="7.57421875" style="292" customWidth="1"/>
    <col min="249" max="249" width="15.57421875" style="292" customWidth="1"/>
    <col min="250" max="250" width="20.140625" style="292" customWidth="1"/>
    <col min="251" max="251" width="2.28125" style="292" customWidth="1"/>
    <col min="252" max="252" width="17.421875" style="292" customWidth="1"/>
    <col min="253" max="253" width="1.8515625" style="292" customWidth="1"/>
    <col min="254" max="254" width="18.7109375" style="292" customWidth="1"/>
    <col min="255" max="255" width="1.8515625" style="292" customWidth="1"/>
    <col min="256" max="256" width="23.00390625" style="292" customWidth="1"/>
    <col min="257" max="257" width="1.8515625" style="292" customWidth="1"/>
    <col min="258" max="258" width="17.421875" style="292" customWidth="1"/>
    <col min="259" max="259" width="3.00390625" style="292" customWidth="1"/>
    <col min="260" max="260" width="16.28125" style="292" customWidth="1"/>
    <col min="261" max="261" width="3.00390625" style="292" customWidth="1"/>
    <col min="262" max="262" width="14.140625" style="292" customWidth="1"/>
    <col min="263" max="263" width="2.00390625" style="292" customWidth="1"/>
    <col min="264" max="264" width="15.8515625" style="292" customWidth="1"/>
    <col min="265" max="265" width="3.140625" style="292" customWidth="1"/>
    <col min="266" max="266" width="17.8515625" style="292" customWidth="1"/>
    <col min="267" max="267" width="2.57421875" style="292" customWidth="1"/>
    <col min="268" max="268" width="15.57421875" style="292" customWidth="1"/>
    <col min="269" max="269" width="1.8515625" style="292" customWidth="1"/>
    <col min="270" max="270" width="14.140625" style="292" customWidth="1"/>
    <col min="271" max="271" width="11.00390625" style="292" customWidth="1"/>
    <col min="272" max="273" width="25.00390625" style="292" customWidth="1"/>
    <col min="274" max="274" width="1.8515625" style="292" customWidth="1"/>
    <col min="275" max="275" width="17.8515625" style="292" customWidth="1"/>
    <col min="276" max="276" width="1.8515625" style="292" customWidth="1"/>
    <col min="277" max="277" width="19.00390625" style="292" customWidth="1"/>
    <col min="278" max="278" width="1.8515625" style="292" customWidth="1"/>
    <col min="279" max="279" width="16.7109375" style="292" customWidth="1"/>
    <col min="280" max="280" width="1.8515625" style="292" customWidth="1"/>
    <col min="281" max="281" width="16.7109375" style="292" customWidth="1"/>
    <col min="282" max="282" width="1.8515625" style="292" customWidth="1"/>
    <col min="283" max="283" width="16.7109375" style="292" customWidth="1"/>
    <col min="284" max="284" width="1.8515625" style="292" customWidth="1"/>
    <col min="285" max="285" width="16.7109375" style="292" customWidth="1"/>
    <col min="286" max="286" width="1.8515625" style="292" customWidth="1"/>
    <col min="287" max="287" width="17.8515625" style="292" customWidth="1"/>
    <col min="288" max="288" width="5.28125" style="292" customWidth="1"/>
    <col min="289" max="289" width="16.7109375" style="292" customWidth="1"/>
    <col min="290" max="290" width="5.28125" style="292" customWidth="1"/>
    <col min="291" max="291" width="14.421875" style="292" customWidth="1"/>
    <col min="292" max="292" width="1.8515625" style="292" customWidth="1"/>
    <col min="293" max="293" width="16.7109375" style="292" customWidth="1"/>
    <col min="294" max="503" width="11.00390625" style="292" customWidth="1"/>
    <col min="504" max="504" width="7.57421875" style="292" customWidth="1"/>
    <col min="505" max="505" width="15.57421875" style="292" customWidth="1"/>
    <col min="506" max="506" width="20.140625" style="292" customWidth="1"/>
    <col min="507" max="507" width="2.28125" style="292" customWidth="1"/>
    <col min="508" max="508" width="17.421875" style="292" customWidth="1"/>
    <col min="509" max="509" width="1.8515625" style="292" customWidth="1"/>
    <col min="510" max="510" width="18.7109375" style="292" customWidth="1"/>
    <col min="511" max="511" width="1.8515625" style="292" customWidth="1"/>
    <col min="512" max="512" width="23.00390625" style="292" customWidth="1"/>
    <col min="513" max="513" width="1.8515625" style="292" customWidth="1"/>
    <col min="514" max="514" width="17.421875" style="292" customWidth="1"/>
    <col min="515" max="515" width="3.00390625" style="292" customWidth="1"/>
    <col min="516" max="516" width="16.28125" style="292" customWidth="1"/>
    <col min="517" max="517" width="3.00390625" style="292" customWidth="1"/>
    <col min="518" max="518" width="14.140625" style="292" customWidth="1"/>
    <col min="519" max="519" width="2.00390625" style="292" customWidth="1"/>
    <col min="520" max="520" width="15.8515625" style="292" customWidth="1"/>
    <col min="521" max="521" width="3.140625" style="292" customWidth="1"/>
    <col min="522" max="522" width="17.8515625" style="292" customWidth="1"/>
    <col min="523" max="523" width="2.57421875" style="292" customWidth="1"/>
    <col min="524" max="524" width="15.57421875" style="292" customWidth="1"/>
    <col min="525" max="525" width="1.8515625" style="292" customWidth="1"/>
    <col min="526" max="526" width="14.140625" style="292" customWidth="1"/>
    <col min="527" max="527" width="11.00390625" style="292" customWidth="1"/>
    <col min="528" max="529" width="25.00390625" style="292" customWidth="1"/>
    <col min="530" max="530" width="1.8515625" style="292" customWidth="1"/>
    <col min="531" max="531" width="17.8515625" style="292" customWidth="1"/>
    <col min="532" max="532" width="1.8515625" style="292" customWidth="1"/>
    <col min="533" max="533" width="19.00390625" style="292" customWidth="1"/>
    <col min="534" max="534" width="1.8515625" style="292" customWidth="1"/>
    <col min="535" max="535" width="16.7109375" style="292" customWidth="1"/>
    <col min="536" max="536" width="1.8515625" style="292" customWidth="1"/>
    <col min="537" max="537" width="16.7109375" style="292" customWidth="1"/>
    <col min="538" max="538" width="1.8515625" style="292" customWidth="1"/>
    <col min="539" max="539" width="16.7109375" style="292" customWidth="1"/>
    <col min="540" max="540" width="1.8515625" style="292" customWidth="1"/>
    <col min="541" max="541" width="16.7109375" style="292" customWidth="1"/>
    <col min="542" max="542" width="1.8515625" style="292" customWidth="1"/>
    <col min="543" max="543" width="17.8515625" style="292" customWidth="1"/>
    <col min="544" max="544" width="5.28125" style="292" customWidth="1"/>
    <col min="545" max="545" width="16.7109375" style="292" customWidth="1"/>
    <col min="546" max="546" width="5.28125" style="292" customWidth="1"/>
    <col min="547" max="547" width="14.421875" style="292" customWidth="1"/>
    <col min="548" max="548" width="1.8515625" style="292" customWidth="1"/>
    <col min="549" max="549" width="16.7109375" style="292" customWidth="1"/>
    <col min="550" max="759" width="11.00390625" style="292" customWidth="1"/>
    <col min="760" max="760" width="7.57421875" style="292" customWidth="1"/>
    <col min="761" max="761" width="15.57421875" style="292" customWidth="1"/>
    <col min="762" max="762" width="20.140625" style="292" customWidth="1"/>
    <col min="763" max="763" width="2.28125" style="292" customWidth="1"/>
    <col min="764" max="764" width="17.421875" style="292" customWidth="1"/>
    <col min="765" max="765" width="1.8515625" style="292" customWidth="1"/>
    <col min="766" max="766" width="18.7109375" style="292" customWidth="1"/>
    <col min="767" max="767" width="1.8515625" style="292" customWidth="1"/>
    <col min="768" max="768" width="23.00390625" style="292" customWidth="1"/>
    <col min="769" max="769" width="1.8515625" style="292" customWidth="1"/>
    <col min="770" max="770" width="17.421875" style="292" customWidth="1"/>
    <col min="771" max="771" width="3.00390625" style="292" customWidth="1"/>
    <col min="772" max="772" width="16.28125" style="292" customWidth="1"/>
    <col min="773" max="773" width="3.00390625" style="292" customWidth="1"/>
    <col min="774" max="774" width="14.140625" style="292" customWidth="1"/>
    <col min="775" max="775" width="2.00390625" style="292" customWidth="1"/>
    <col min="776" max="776" width="15.8515625" style="292" customWidth="1"/>
    <col min="777" max="777" width="3.140625" style="292" customWidth="1"/>
    <col min="778" max="778" width="17.8515625" style="292" customWidth="1"/>
    <col min="779" max="779" width="2.57421875" style="292" customWidth="1"/>
    <col min="780" max="780" width="15.57421875" style="292" customWidth="1"/>
    <col min="781" max="781" width="1.8515625" style="292" customWidth="1"/>
    <col min="782" max="782" width="14.140625" style="292" customWidth="1"/>
    <col min="783" max="783" width="11.00390625" style="292" customWidth="1"/>
    <col min="784" max="785" width="25.00390625" style="292" customWidth="1"/>
    <col min="786" max="786" width="1.8515625" style="292" customWidth="1"/>
    <col min="787" max="787" width="17.8515625" style="292" customWidth="1"/>
    <col min="788" max="788" width="1.8515625" style="292" customWidth="1"/>
    <col min="789" max="789" width="19.00390625" style="292" customWidth="1"/>
    <col min="790" max="790" width="1.8515625" style="292" customWidth="1"/>
    <col min="791" max="791" width="16.7109375" style="292" customWidth="1"/>
    <col min="792" max="792" width="1.8515625" style="292" customWidth="1"/>
    <col min="793" max="793" width="16.7109375" style="292" customWidth="1"/>
    <col min="794" max="794" width="1.8515625" style="292" customWidth="1"/>
    <col min="795" max="795" width="16.7109375" style="292" customWidth="1"/>
    <col min="796" max="796" width="1.8515625" style="292" customWidth="1"/>
    <col min="797" max="797" width="16.7109375" style="292" customWidth="1"/>
    <col min="798" max="798" width="1.8515625" style="292" customWidth="1"/>
    <col min="799" max="799" width="17.8515625" style="292" customWidth="1"/>
    <col min="800" max="800" width="5.28125" style="292" customWidth="1"/>
    <col min="801" max="801" width="16.7109375" style="292" customWidth="1"/>
    <col min="802" max="802" width="5.28125" style="292" customWidth="1"/>
    <col min="803" max="803" width="14.421875" style="292" customWidth="1"/>
    <col min="804" max="804" width="1.8515625" style="292" customWidth="1"/>
    <col min="805" max="805" width="16.7109375" style="292" customWidth="1"/>
    <col min="806" max="1015" width="11.00390625" style="292" customWidth="1"/>
    <col min="1016" max="1016" width="7.57421875" style="292" customWidth="1"/>
    <col min="1017" max="1017" width="15.57421875" style="292" customWidth="1"/>
    <col min="1018" max="1018" width="20.140625" style="292" customWidth="1"/>
    <col min="1019" max="1019" width="2.28125" style="292" customWidth="1"/>
    <col min="1020" max="1020" width="17.421875" style="292" customWidth="1"/>
    <col min="1021" max="1021" width="1.8515625" style="292" customWidth="1"/>
    <col min="1022" max="1022" width="18.7109375" style="292" customWidth="1"/>
    <col min="1023" max="1023" width="1.8515625" style="292" customWidth="1"/>
    <col min="1024" max="1024" width="23.00390625" style="292" customWidth="1"/>
    <col min="1025" max="1025" width="1.8515625" style="292" customWidth="1"/>
    <col min="1026" max="1026" width="17.421875" style="292" customWidth="1"/>
    <col min="1027" max="1027" width="3.00390625" style="292" customWidth="1"/>
    <col min="1028" max="1028" width="16.28125" style="292" customWidth="1"/>
    <col min="1029" max="1029" width="3.00390625" style="292" customWidth="1"/>
    <col min="1030" max="1030" width="14.140625" style="292" customWidth="1"/>
    <col min="1031" max="1031" width="2.00390625" style="292" customWidth="1"/>
    <col min="1032" max="1032" width="15.8515625" style="292" customWidth="1"/>
    <col min="1033" max="1033" width="3.140625" style="292" customWidth="1"/>
    <col min="1034" max="1034" width="17.8515625" style="292" customWidth="1"/>
    <col min="1035" max="1035" width="2.57421875" style="292" customWidth="1"/>
    <col min="1036" max="1036" width="15.57421875" style="292" customWidth="1"/>
    <col min="1037" max="1037" width="1.8515625" style="292" customWidth="1"/>
    <col min="1038" max="1038" width="14.140625" style="292" customWidth="1"/>
    <col min="1039" max="1039" width="11.00390625" style="292" customWidth="1"/>
    <col min="1040" max="1041" width="25.00390625" style="292" customWidth="1"/>
    <col min="1042" max="1042" width="1.8515625" style="292" customWidth="1"/>
    <col min="1043" max="1043" width="17.8515625" style="292" customWidth="1"/>
    <col min="1044" max="1044" width="1.8515625" style="292" customWidth="1"/>
    <col min="1045" max="1045" width="19.00390625" style="292" customWidth="1"/>
    <col min="1046" max="1046" width="1.8515625" style="292" customWidth="1"/>
    <col min="1047" max="1047" width="16.7109375" style="292" customWidth="1"/>
    <col min="1048" max="1048" width="1.8515625" style="292" customWidth="1"/>
    <col min="1049" max="1049" width="16.7109375" style="292" customWidth="1"/>
    <col min="1050" max="1050" width="1.8515625" style="292" customWidth="1"/>
    <col min="1051" max="1051" width="16.7109375" style="292" customWidth="1"/>
    <col min="1052" max="1052" width="1.8515625" style="292" customWidth="1"/>
    <col min="1053" max="1053" width="16.7109375" style="292" customWidth="1"/>
    <col min="1054" max="1054" width="1.8515625" style="292" customWidth="1"/>
    <col min="1055" max="1055" width="17.8515625" style="292" customWidth="1"/>
    <col min="1056" max="1056" width="5.28125" style="292" customWidth="1"/>
    <col min="1057" max="1057" width="16.7109375" style="292" customWidth="1"/>
    <col min="1058" max="1058" width="5.28125" style="292" customWidth="1"/>
    <col min="1059" max="1059" width="14.421875" style="292" customWidth="1"/>
    <col min="1060" max="1060" width="1.8515625" style="292" customWidth="1"/>
    <col min="1061" max="1061" width="16.7109375" style="292" customWidth="1"/>
    <col min="1062" max="1271" width="11.00390625" style="292" customWidth="1"/>
    <col min="1272" max="1272" width="7.57421875" style="292" customWidth="1"/>
    <col min="1273" max="1273" width="15.57421875" style="292" customWidth="1"/>
    <col min="1274" max="1274" width="20.140625" style="292" customWidth="1"/>
    <col min="1275" max="1275" width="2.28125" style="292" customWidth="1"/>
    <col min="1276" max="1276" width="17.421875" style="292" customWidth="1"/>
    <col min="1277" max="1277" width="1.8515625" style="292" customWidth="1"/>
    <col min="1278" max="1278" width="18.7109375" style="292" customWidth="1"/>
    <col min="1279" max="1279" width="1.8515625" style="292" customWidth="1"/>
    <col min="1280" max="1280" width="23.00390625" style="292" customWidth="1"/>
    <col min="1281" max="1281" width="1.8515625" style="292" customWidth="1"/>
    <col min="1282" max="1282" width="17.421875" style="292" customWidth="1"/>
    <col min="1283" max="1283" width="3.00390625" style="292" customWidth="1"/>
    <col min="1284" max="1284" width="16.28125" style="292" customWidth="1"/>
    <col min="1285" max="1285" width="3.00390625" style="292" customWidth="1"/>
    <col min="1286" max="1286" width="14.140625" style="292" customWidth="1"/>
    <col min="1287" max="1287" width="2.00390625" style="292" customWidth="1"/>
    <col min="1288" max="1288" width="15.8515625" style="292" customWidth="1"/>
    <col min="1289" max="1289" width="3.140625" style="292" customWidth="1"/>
    <col min="1290" max="1290" width="17.8515625" style="292" customWidth="1"/>
    <col min="1291" max="1291" width="2.57421875" style="292" customWidth="1"/>
    <col min="1292" max="1292" width="15.57421875" style="292" customWidth="1"/>
    <col min="1293" max="1293" width="1.8515625" style="292" customWidth="1"/>
    <col min="1294" max="1294" width="14.140625" style="292" customWidth="1"/>
    <col min="1295" max="1295" width="11.00390625" style="292" customWidth="1"/>
    <col min="1296" max="1297" width="25.00390625" style="292" customWidth="1"/>
    <col min="1298" max="1298" width="1.8515625" style="292" customWidth="1"/>
    <col min="1299" max="1299" width="17.8515625" style="292" customWidth="1"/>
    <col min="1300" max="1300" width="1.8515625" style="292" customWidth="1"/>
    <col min="1301" max="1301" width="19.00390625" style="292" customWidth="1"/>
    <col min="1302" max="1302" width="1.8515625" style="292" customWidth="1"/>
    <col min="1303" max="1303" width="16.7109375" style="292" customWidth="1"/>
    <col min="1304" max="1304" width="1.8515625" style="292" customWidth="1"/>
    <col min="1305" max="1305" width="16.7109375" style="292" customWidth="1"/>
    <col min="1306" max="1306" width="1.8515625" style="292" customWidth="1"/>
    <col min="1307" max="1307" width="16.7109375" style="292" customWidth="1"/>
    <col min="1308" max="1308" width="1.8515625" style="292" customWidth="1"/>
    <col min="1309" max="1309" width="16.7109375" style="292" customWidth="1"/>
    <col min="1310" max="1310" width="1.8515625" style="292" customWidth="1"/>
    <col min="1311" max="1311" width="17.8515625" style="292" customWidth="1"/>
    <col min="1312" max="1312" width="5.28125" style="292" customWidth="1"/>
    <col min="1313" max="1313" width="16.7109375" style="292" customWidth="1"/>
    <col min="1314" max="1314" width="5.28125" style="292" customWidth="1"/>
    <col min="1315" max="1315" width="14.421875" style="292" customWidth="1"/>
    <col min="1316" max="1316" width="1.8515625" style="292" customWidth="1"/>
    <col min="1317" max="1317" width="16.7109375" style="292" customWidth="1"/>
    <col min="1318" max="1527" width="11.00390625" style="292" customWidth="1"/>
    <col min="1528" max="1528" width="7.57421875" style="292" customWidth="1"/>
    <col min="1529" max="1529" width="15.57421875" style="292" customWidth="1"/>
    <col min="1530" max="1530" width="20.140625" style="292" customWidth="1"/>
    <col min="1531" max="1531" width="2.28125" style="292" customWidth="1"/>
    <col min="1532" max="1532" width="17.421875" style="292" customWidth="1"/>
    <col min="1533" max="1533" width="1.8515625" style="292" customWidth="1"/>
    <col min="1534" max="1534" width="18.7109375" style="292" customWidth="1"/>
    <col min="1535" max="1535" width="1.8515625" style="292" customWidth="1"/>
    <col min="1536" max="1536" width="23.00390625" style="292" customWidth="1"/>
    <col min="1537" max="1537" width="1.8515625" style="292" customWidth="1"/>
    <col min="1538" max="1538" width="17.421875" style="292" customWidth="1"/>
    <col min="1539" max="1539" width="3.00390625" style="292" customWidth="1"/>
    <col min="1540" max="1540" width="16.28125" style="292" customWidth="1"/>
    <col min="1541" max="1541" width="3.00390625" style="292" customWidth="1"/>
    <col min="1542" max="1542" width="14.140625" style="292" customWidth="1"/>
    <col min="1543" max="1543" width="2.00390625" style="292" customWidth="1"/>
    <col min="1544" max="1544" width="15.8515625" style="292" customWidth="1"/>
    <col min="1545" max="1545" width="3.140625" style="292" customWidth="1"/>
    <col min="1546" max="1546" width="17.8515625" style="292" customWidth="1"/>
    <col min="1547" max="1547" width="2.57421875" style="292" customWidth="1"/>
    <col min="1548" max="1548" width="15.57421875" style="292" customWidth="1"/>
    <col min="1549" max="1549" width="1.8515625" style="292" customWidth="1"/>
    <col min="1550" max="1550" width="14.140625" style="292" customWidth="1"/>
    <col min="1551" max="1551" width="11.00390625" style="292" customWidth="1"/>
    <col min="1552" max="1553" width="25.00390625" style="292" customWidth="1"/>
    <col min="1554" max="1554" width="1.8515625" style="292" customWidth="1"/>
    <col min="1555" max="1555" width="17.8515625" style="292" customWidth="1"/>
    <col min="1556" max="1556" width="1.8515625" style="292" customWidth="1"/>
    <col min="1557" max="1557" width="19.00390625" style="292" customWidth="1"/>
    <col min="1558" max="1558" width="1.8515625" style="292" customWidth="1"/>
    <col min="1559" max="1559" width="16.7109375" style="292" customWidth="1"/>
    <col min="1560" max="1560" width="1.8515625" style="292" customWidth="1"/>
    <col min="1561" max="1561" width="16.7109375" style="292" customWidth="1"/>
    <col min="1562" max="1562" width="1.8515625" style="292" customWidth="1"/>
    <col min="1563" max="1563" width="16.7109375" style="292" customWidth="1"/>
    <col min="1564" max="1564" width="1.8515625" style="292" customWidth="1"/>
    <col min="1565" max="1565" width="16.7109375" style="292" customWidth="1"/>
    <col min="1566" max="1566" width="1.8515625" style="292" customWidth="1"/>
    <col min="1567" max="1567" width="17.8515625" style="292" customWidth="1"/>
    <col min="1568" max="1568" width="5.28125" style="292" customWidth="1"/>
    <col min="1569" max="1569" width="16.7109375" style="292" customWidth="1"/>
    <col min="1570" max="1570" width="5.28125" style="292" customWidth="1"/>
    <col min="1571" max="1571" width="14.421875" style="292" customWidth="1"/>
    <col min="1572" max="1572" width="1.8515625" style="292" customWidth="1"/>
    <col min="1573" max="1573" width="16.7109375" style="292" customWidth="1"/>
    <col min="1574" max="1783" width="11.00390625" style="292" customWidth="1"/>
    <col min="1784" max="1784" width="7.57421875" style="292" customWidth="1"/>
    <col min="1785" max="1785" width="15.57421875" style="292" customWidth="1"/>
    <col min="1786" max="1786" width="20.140625" style="292" customWidth="1"/>
    <col min="1787" max="1787" width="2.28125" style="292" customWidth="1"/>
    <col min="1788" max="1788" width="17.421875" style="292" customWidth="1"/>
    <col min="1789" max="1789" width="1.8515625" style="292" customWidth="1"/>
    <col min="1790" max="1790" width="18.7109375" style="292" customWidth="1"/>
    <col min="1791" max="1791" width="1.8515625" style="292" customWidth="1"/>
    <col min="1792" max="1792" width="23.00390625" style="292" customWidth="1"/>
    <col min="1793" max="1793" width="1.8515625" style="292" customWidth="1"/>
    <col min="1794" max="1794" width="17.421875" style="292" customWidth="1"/>
    <col min="1795" max="1795" width="3.00390625" style="292" customWidth="1"/>
    <col min="1796" max="1796" width="16.28125" style="292" customWidth="1"/>
    <col min="1797" max="1797" width="3.00390625" style="292" customWidth="1"/>
    <col min="1798" max="1798" width="14.140625" style="292" customWidth="1"/>
    <col min="1799" max="1799" width="2.00390625" style="292" customWidth="1"/>
    <col min="1800" max="1800" width="15.8515625" style="292" customWidth="1"/>
    <col min="1801" max="1801" width="3.140625" style="292" customWidth="1"/>
    <col min="1802" max="1802" width="17.8515625" style="292" customWidth="1"/>
    <col min="1803" max="1803" width="2.57421875" style="292" customWidth="1"/>
    <col min="1804" max="1804" width="15.57421875" style="292" customWidth="1"/>
    <col min="1805" max="1805" width="1.8515625" style="292" customWidth="1"/>
    <col min="1806" max="1806" width="14.140625" style="292" customWidth="1"/>
    <col min="1807" max="1807" width="11.00390625" style="292" customWidth="1"/>
    <col min="1808" max="1809" width="25.00390625" style="292" customWidth="1"/>
    <col min="1810" max="1810" width="1.8515625" style="292" customWidth="1"/>
    <col min="1811" max="1811" width="17.8515625" style="292" customWidth="1"/>
    <col min="1812" max="1812" width="1.8515625" style="292" customWidth="1"/>
    <col min="1813" max="1813" width="19.00390625" style="292" customWidth="1"/>
    <col min="1814" max="1814" width="1.8515625" style="292" customWidth="1"/>
    <col min="1815" max="1815" width="16.7109375" style="292" customWidth="1"/>
    <col min="1816" max="1816" width="1.8515625" style="292" customWidth="1"/>
    <col min="1817" max="1817" width="16.7109375" style="292" customWidth="1"/>
    <col min="1818" max="1818" width="1.8515625" style="292" customWidth="1"/>
    <col min="1819" max="1819" width="16.7109375" style="292" customWidth="1"/>
    <col min="1820" max="1820" width="1.8515625" style="292" customWidth="1"/>
    <col min="1821" max="1821" width="16.7109375" style="292" customWidth="1"/>
    <col min="1822" max="1822" width="1.8515625" style="292" customWidth="1"/>
    <col min="1823" max="1823" width="17.8515625" style="292" customWidth="1"/>
    <col min="1824" max="1824" width="5.28125" style="292" customWidth="1"/>
    <col min="1825" max="1825" width="16.7109375" style="292" customWidth="1"/>
    <col min="1826" max="1826" width="5.28125" style="292" customWidth="1"/>
    <col min="1827" max="1827" width="14.421875" style="292" customWidth="1"/>
    <col min="1828" max="1828" width="1.8515625" style="292" customWidth="1"/>
    <col min="1829" max="1829" width="16.7109375" style="292" customWidth="1"/>
    <col min="1830" max="2039" width="11.00390625" style="292" customWidth="1"/>
    <col min="2040" max="2040" width="7.57421875" style="292" customWidth="1"/>
    <col min="2041" max="2041" width="15.57421875" style="292" customWidth="1"/>
    <col min="2042" max="2042" width="20.140625" style="292" customWidth="1"/>
    <col min="2043" max="2043" width="2.28125" style="292" customWidth="1"/>
    <col min="2044" max="2044" width="17.421875" style="292" customWidth="1"/>
    <col min="2045" max="2045" width="1.8515625" style="292" customWidth="1"/>
    <col min="2046" max="2046" width="18.7109375" style="292" customWidth="1"/>
    <col min="2047" max="2047" width="1.8515625" style="292" customWidth="1"/>
    <col min="2048" max="2048" width="23.00390625" style="292" customWidth="1"/>
    <col min="2049" max="2049" width="1.8515625" style="292" customWidth="1"/>
    <col min="2050" max="2050" width="17.421875" style="292" customWidth="1"/>
    <col min="2051" max="2051" width="3.00390625" style="292" customWidth="1"/>
    <col min="2052" max="2052" width="16.28125" style="292" customWidth="1"/>
    <col min="2053" max="2053" width="3.00390625" style="292" customWidth="1"/>
    <col min="2054" max="2054" width="14.140625" style="292" customWidth="1"/>
    <col min="2055" max="2055" width="2.00390625" style="292" customWidth="1"/>
    <col min="2056" max="2056" width="15.8515625" style="292" customWidth="1"/>
    <col min="2057" max="2057" width="3.140625" style="292" customWidth="1"/>
    <col min="2058" max="2058" width="17.8515625" style="292" customWidth="1"/>
    <col min="2059" max="2059" width="2.57421875" style="292" customWidth="1"/>
    <col min="2060" max="2060" width="15.57421875" style="292" customWidth="1"/>
    <col min="2061" max="2061" width="1.8515625" style="292" customWidth="1"/>
    <col min="2062" max="2062" width="14.140625" style="292" customWidth="1"/>
    <col min="2063" max="2063" width="11.00390625" style="292" customWidth="1"/>
    <col min="2064" max="2065" width="25.00390625" style="292" customWidth="1"/>
    <col min="2066" max="2066" width="1.8515625" style="292" customWidth="1"/>
    <col min="2067" max="2067" width="17.8515625" style="292" customWidth="1"/>
    <col min="2068" max="2068" width="1.8515625" style="292" customWidth="1"/>
    <col min="2069" max="2069" width="19.00390625" style="292" customWidth="1"/>
    <col min="2070" max="2070" width="1.8515625" style="292" customWidth="1"/>
    <col min="2071" max="2071" width="16.7109375" style="292" customWidth="1"/>
    <col min="2072" max="2072" width="1.8515625" style="292" customWidth="1"/>
    <col min="2073" max="2073" width="16.7109375" style="292" customWidth="1"/>
    <col min="2074" max="2074" width="1.8515625" style="292" customWidth="1"/>
    <col min="2075" max="2075" width="16.7109375" style="292" customWidth="1"/>
    <col min="2076" max="2076" width="1.8515625" style="292" customWidth="1"/>
    <col min="2077" max="2077" width="16.7109375" style="292" customWidth="1"/>
    <col min="2078" max="2078" width="1.8515625" style="292" customWidth="1"/>
    <col min="2079" max="2079" width="17.8515625" style="292" customWidth="1"/>
    <col min="2080" max="2080" width="5.28125" style="292" customWidth="1"/>
    <col min="2081" max="2081" width="16.7109375" style="292" customWidth="1"/>
    <col min="2082" max="2082" width="5.28125" style="292" customWidth="1"/>
    <col min="2083" max="2083" width="14.421875" style="292" customWidth="1"/>
    <col min="2084" max="2084" width="1.8515625" style="292" customWidth="1"/>
    <col min="2085" max="2085" width="16.7109375" style="292" customWidth="1"/>
    <col min="2086" max="2295" width="11.00390625" style="292" customWidth="1"/>
    <col min="2296" max="2296" width="7.57421875" style="292" customWidth="1"/>
    <col min="2297" max="2297" width="15.57421875" style="292" customWidth="1"/>
    <col min="2298" max="2298" width="20.140625" style="292" customWidth="1"/>
    <col min="2299" max="2299" width="2.28125" style="292" customWidth="1"/>
    <col min="2300" max="2300" width="17.421875" style="292" customWidth="1"/>
    <col min="2301" max="2301" width="1.8515625" style="292" customWidth="1"/>
    <col min="2302" max="2302" width="18.7109375" style="292" customWidth="1"/>
    <col min="2303" max="2303" width="1.8515625" style="292" customWidth="1"/>
    <col min="2304" max="2304" width="23.00390625" style="292" customWidth="1"/>
    <col min="2305" max="2305" width="1.8515625" style="292" customWidth="1"/>
    <col min="2306" max="2306" width="17.421875" style="292" customWidth="1"/>
    <col min="2307" max="2307" width="3.00390625" style="292" customWidth="1"/>
    <col min="2308" max="2308" width="16.28125" style="292" customWidth="1"/>
    <col min="2309" max="2309" width="3.00390625" style="292" customWidth="1"/>
    <col min="2310" max="2310" width="14.140625" style="292" customWidth="1"/>
    <col min="2311" max="2311" width="2.00390625" style="292" customWidth="1"/>
    <col min="2312" max="2312" width="15.8515625" style="292" customWidth="1"/>
    <col min="2313" max="2313" width="3.140625" style="292" customWidth="1"/>
    <col min="2314" max="2314" width="17.8515625" style="292" customWidth="1"/>
    <col min="2315" max="2315" width="2.57421875" style="292" customWidth="1"/>
    <col min="2316" max="2316" width="15.57421875" style="292" customWidth="1"/>
    <col min="2317" max="2317" width="1.8515625" style="292" customWidth="1"/>
    <col min="2318" max="2318" width="14.140625" style="292" customWidth="1"/>
    <col min="2319" max="2319" width="11.00390625" style="292" customWidth="1"/>
    <col min="2320" max="2321" width="25.00390625" style="292" customWidth="1"/>
    <col min="2322" max="2322" width="1.8515625" style="292" customWidth="1"/>
    <col min="2323" max="2323" width="17.8515625" style="292" customWidth="1"/>
    <col min="2324" max="2324" width="1.8515625" style="292" customWidth="1"/>
    <col min="2325" max="2325" width="19.00390625" style="292" customWidth="1"/>
    <col min="2326" max="2326" width="1.8515625" style="292" customWidth="1"/>
    <col min="2327" max="2327" width="16.7109375" style="292" customWidth="1"/>
    <col min="2328" max="2328" width="1.8515625" style="292" customWidth="1"/>
    <col min="2329" max="2329" width="16.7109375" style="292" customWidth="1"/>
    <col min="2330" max="2330" width="1.8515625" style="292" customWidth="1"/>
    <col min="2331" max="2331" width="16.7109375" style="292" customWidth="1"/>
    <col min="2332" max="2332" width="1.8515625" style="292" customWidth="1"/>
    <col min="2333" max="2333" width="16.7109375" style="292" customWidth="1"/>
    <col min="2334" max="2334" width="1.8515625" style="292" customWidth="1"/>
    <col min="2335" max="2335" width="17.8515625" style="292" customWidth="1"/>
    <col min="2336" max="2336" width="5.28125" style="292" customWidth="1"/>
    <col min="2337" max="2337" width="16.7109375" style="292" customWidth="1"/>
    <col min="2338" max="2338" width="5.28125" style="292" customWidth="1"/>
    <col min="2339" max="2339" width="14.421875" style="292" customWidth="1"/>
    <col min="2340" max="2340" width="1.8515625" style="292" customWidth="1"/>
    <col min="2341" max="2341" width="16.7109375" style="292" customWidth="1"/>
    <col min="2342" max="2551" width="11.00390625" style="292" customWidth="1"/>
    <col min="2552" max="2552" width="7.57421875" style="292" customWidth="1"/>
    <col min="2553" max="2553" width="15.57421875" style="292" customWidth="1"/>
    <col min="2554" max="2554" width="20.140625" style="292" customWidth="1"/>
    <col min="2555" max="2555" width="2.28125" style="292" customWidth="1"/>
    <col min="2556" max="2556" width="17.421875" style="292" customWidth="1"/>
    <col min="2557" max="2557" width="1.8515625" style="292" customWidth="1"/>
    <col min="2558" max="2558" width="18.7109375" style="292" customWidth="1"/>
    <col min="2559" max="2559" width="1.8515625" style="292" customWidth="1"/>
    <col min="2560" max="2560" width="23.00390625" style="292" customWidth="1"/>
    <col min="2561" max="2561" width="1.8515625" style="292" customWidth="1"/>
    <col min="2562" max="2562" width="17.421875" style="292" customWidth="1"/>
    <col min="2563" max="2563" width="3.00390625" style="292" customWidth="1"/>
    <col min="2564" max="2564" width="16.28125" style="292" customWidth="1"/>
    <col min="2565" max="2565" width="3.00390625" style="292" customWidth="1"/>
    <col min="2566" max="2566" width="14.140625" style="292" customWidth="1"/>
    <col min="2567" max="2567" width="2.00390625" style="292" customWidth="1"/>
    <col min="2568" max="2568" width="15.8515625" style="292" customWidth="1"/>
    <col min="2569" max="2569" width="3.140625" style="292" customWidth="1"/>
    <col min="2570" max="2570" width="17.8515625" style="292" customWidth="1"/>
    <col min="2571" max="2571" width="2.57421875" style="292" customWidth="1"/>
    <col min="2572" max="2572" width="15.57421875" style="292" customWidth="1"/>
    <col min="2573" max="2573" width="1.8515625" style="292" customWidth="1"/>
    <col min="2574" max="2574" width="14.140625" style="292" customWidth="1"/>
    <col min="2575" max="2575" width="11.00390625" style="292" customWidth="1"/>
    <col min="2576" max="2577" width="25.00390625" style="292" customWidth="1"/>
    <col min="2578" max="2578" width="1.8515625" style="292" customWidth="1"/>
    <col min="2579" max="2579" width="17.8515625" style="292" customWidth="1"/>
    <col min="2580" max="2580" width="1.8515625" style="292" customWidth="1"/>
    <col min="2581" max="2581" width="19.00390625" style="292" customWidth="1"/>
    <col min="2582" max="2582" width="1.8515625" style="292" customWidth="1"/>
    <col min="2583" max="2583" width="16.7109375" style="292" customWidth="1"/>
    <col min="2584" max="2584" width="1.8515625" style="292" customWidth="1"/>
    <col min="2585" max="2585" width="16.7109375" style="292" customWidth="1"/>
    <col min="2586" max="2586" width="1.8515625" style="292" customWidth="1"/>
    <col min="2587" max="2587" width="16.7109375" style="292" customWidth="1"/>
    <col min="2588" max="2588" width="1.8515625" style="292" customWidth="1"/>
    <col min="2589" max="2589" width="16.7109375" style="292" customWidth="1"/>
    <col min="2590" max="2590" width="1.8515625" style="292" customWidth="1"/>
    <col min="2591" max="2591" width="17.8515625" style="292" customWidth="1"/>
    <col min="2592" max="2592" width="5.28125" style="292" customWidth="1"/>
    <col min="2593" max="2593" width="16.7109375" style="292" customWidth="1"/>
    <col min="2594" max="2594" width="5.28125" style="292" customWidth="1"/>
    <col min="2595" max="2595" width="14.421875" style="292" customWidth="1"/>
    <col min="2596" max="2596" width="1.8515625" style="292" customWidth="1"/>
    <col min="2597" max="2597" width="16.7109375" style="292" customWidth="1"/>
    <col min="2598" max="2807" width="11.00390625" style="292" customWidth="1"/>
    <col min="2808" max="2808" width="7.57421875" style="292" customWidth="1"/>
    <col min="2809" max="2809" width="15.57421875" style="292" customWidth="1"/>
    <col min="2810" max="2810" width="20.140625" style="292" customWidth="1"/>
    <col min="2811" max="2811" width="2.28125" style="292" customWidth="1"/>
    <col min="2812" max="2812" width="17.421875" style="292" customWidth="1"/>
    <col min="2813" max="2813" width="1.8515625" style="292" customWidth="1"/>
    <col min="2814" max="2814" width="18.7109375" style="292" customWidth="1"/>
    <col min="2815" max="2815" width="1.8515625" style="292" customWidth="1"/>
    <col min="2816" max="2816" width="23.00390625" style="292" customWidth="1"/>
    <col min="2817" max="2817" width="1.8515625" style="292" customWidth="1"/>
    <col min="2818" max="2818" width="17.421875" style="292" customWidth="1"/>
    <col min="2819" max="2819" width="3.00390625" style="292" customWidth="1"/>
    <col min="2820" max="2820" width="16.28125" style="292" customWidth="1"/>
    <col min="2821" max="2821" width="3.00390625" style="292" customWidth="1"/>
    <col min="2822" max="2822" width="14.140625" style="292" customWidth="1"/>
    <col min="2823" max="2823" width="2.00390625" style="292" customWidth="1"/>
    <col min="2824" max="2824" width="15.8515625" style="292" customWidth="1"/>
    <col min="2825" max="2825" width="3.140625" style="292" customWidth="1"/>
    <col min="2826" max="2826" width="17.8515625" style="292" customWidth="1"/>
    <col min="2827" max="2827" width="2.57421875" style="292" customWidth="1"/>
    <col min="2828" max="2828" width="15.57421875" style="292" customWidth="1"/>
    <col min="2829" max="2829" width="1.8515625" style="292" customWidth="1"/>
    <col min="2830" max="2830" width="14.140625" style="292" customWidth="1"/>
    <col min="2831" max="2831" width="11.00390625" style="292" customWidth="1"/>
    <col min="2832" max="2833" width="25.00390625" style="292" customWidth="1"/>
    <col min="2834" max="2834" width="1.8515625" style="292" customWidth="1"/>
    <col min="2835" max="2835" width="17.8515625" style="292" customWidth="1"/>
    <col min="2836" max="2836" width="1.8515625" style="292" customWidth="1"/>
    <col min="2837" max="2837" width="19.00390625" style="292" customWidth="1"/>
    <col min="2838" max="2838" width="1.8515625" style="292" customWidth="1"/>
    <col min="2839" max="2839" width="16.7109375" style="292" customWidth="1"/>
    <col min="2840" max="2840" width="1.8515625" style="292" customWidth="1"/>
    <col min="2841" max="2841" width="16.7109375" style="292" customWidth="1"/>
    <col min="2842" max="2842" width="1.8515625" style="292" customWidth="1"/>
    <col min="2843" max="2843" width="16.7109375" style="292" customWidth="1"/>
    <col min="2844" max="2844" width="1.8515625" style="292" customWidth="1"/>
    <col min="2845" max="2845" width="16.7109375" style="292" customWidth="1"/>
    <col min="2846" max="2846" width="1.8515625" style="292" customWidth="1"/>
    <col min="2847" max="2847" width="17.8515625" style="292" customWidth="1"/>
    <col min="2848" max="2848" width="5.28125" style="292" customWidth="1"/>
    <col min="2849" max="2849" width="16.7109375" style="292" customWidth="1"/>
    <col min="2850" max="2850" width="5.28125" style="292" customWidth="1"/>
    <col min="2851" max="2851" width="14.421875" style="292" customWidth="1"/>
    <col min="2852" max="2852" width="1.8515625" style="292" customWidth="1"/>
    <col min="2853" max="2853" width="16.7109375" style="292" customWidth="1"/>
    <col min="2854" max="3063" width="11.00390625" style="292" customWidth="1"/>
    <col min="3064" max="3064" width="7.57421875" style="292" customWidth="1"/>
    <col min="3065" max="3065" width="15.57421875" style="292" customWidth="1"/>
    <col min="3066" max="3066" width="20.140625" style="292" customWidth="1"/>
    <col min="3067" max="3067" width="2.28125" style="292" customWidth="1"/>
    <col min="3068" max="3068" width="17.421875" style="292" customWidth="1"/>
    <col min="3069" max="3069" width="1.8515625" style="292" customWidth="1"/>
    <col min="3070" max="3070" width="18.7109375" style="292" customWidth="1"/>
    <col min="3071" max="3071" width="1.8515625" style="292" customWidth="1"/>
    <col min="3072" max="3072" width="23.00390625" style="292" customWidth="1"/>
    <col min="3073" max="3073" width="1.8515625" style="292" customWidth="1"/>
    <col min="3074" max="3074" width="17.421875" style="292" customWidth="1"/>
    <col min="3075" max="3075" width="3.00390625" style="292" customWidth="1"/>
    <col min="3076" max="3076" width="16.28125" style="292" customWidth="1"/>
    <col min="3077" max="3077" width="3.00390625" style="292" customWidth="1"/>
    <col min="3078" max="3078" width="14.140625" style="292" customWidth="1"/>
    <col min="3079" max="3079" width="2.00390625" style="292" customWidth="1"/>
    <col min="3080" max="3080" width="15.8515625" style="292" customWidth="1"/>
    <col min="3081" max="3081" width="3.140625" style="292" customWidth="1"/>
    <col min="3082" max="3082" width="17.8515625" style="292" customWidth="1"/>
    <col min="3083" max="3083" width="2.57421875" style="292" customWidth="1"/>
    <col min="3084" max="3084" width="15.57421875" style="292" customWidth="1"/>
    <col min="3085" max="3085" width="1.8515625" style="292" customWidth="1"/>
    <col min="3086" max="3086" width="14.140625" style="292" customWidth="1"/>
    <col min="3087" max="3087" width="11.00390625" style="292" customWidth="1"/>
    <col min="3088" max="3089" width="25.00390625" style="292" customWidth="1"/>
    <col min="3090" max="3090" width="1.8515625" style="292" customWidth="1"/>
    <col min="3091" max="3091" width="17.8515625" style="292" customWidth="1"/>
    <col min="3092" max="3092" width="1.8515625" style="292" customWidth="1"/>
    <col min="3093" max="3093" width="19.00390625" style="292" customWidth="1"/>
    <col min="3094" max="3094" width="1.8515625" style="292" customWidth="1"/>
    <col min="3095" max="3095" width="16.7109375" style="292" customWidth="1"/>
    <col min="3096" max="3096" width="1.8515625" style="292" customWidth="1"/>
    <col min="3097" max="3097" width="16.7109375" style="292" customWidth="1"/>
    <col min="3098" max="3098" width="1.8515625" style="292" customWidth="1"/>
    <col min="3099" max="3099" width="16.7109375" style="292" customWidth="1"/>
    <col min="3100" max="3100" width="1.8515625" style="292" customWidth="1"/>
    <col min="3101" max="3101" width="16.7109375" style="292" customWidth="1"/>
    <col min="3102" max="3102" width="1.8515625" style="292" customWidth="1"/>
    <col min="3103" max="3103" width="17.8515625" style="292" customWidth="1"/>
    <col min="3104" max="3104" width="5.28125" style="292" customWidth="1"/>
    <col min="3105" max="3105" width="16.7109375" style="292" customWidth="1"/>
    <col min="3106" max="3106" width="5.28125" style="292" customWidth="1"/>
    <col min="3107" max="3107" width="14.421875" style="292" customWidth="1"/>
    <col min="3108" max="3108" width="1.8515625" style="292" customWidth="1"/>
    <col min="3109" max="3109" width="16.7109375" style="292" customWidth="1"/>
    <col min="3110" max="3319" width="11.00390625" style="292" customWidth="1"/>
    <col min="3320" max="3320" width="7.57421875" style="292" customWidth="1"/>
    <col min="3321" max="3321" width="15.57421875" style="292" customWidth="1"/>
    <col min="3322" max="3322" width="20.140625" style="292" customWidth="1"/>
    <col min="3323" max="3323" width="2.28125" style="292" customWidth="1"/>
    <col min="3324" max="3324" width="17.421875" style="292" customWidth="1"/>
    <col min="3325" max="3325" width="1.8515625" style="292" customWidth="1"/>
    <col min="3326" max="3326" width="18.7109375" style="292" customWidth="1"/>
    <col min="3327" max="3327" width="1.8515625" style="292" customWidth="1"/>
    <col min="3328" max="3328" width="23.00390625" style="292" customWidth="1"/>
    <col min="3329" max="3329" width="1.8515625" style="292" customWidth="1"/>
    <col min="3330" max="3330" width="17.421875" style="292" customWidth="1"/>
    <col min="3331" max="3331" width="3.00390625" style="292" customWidth="1"/>
    <col min="3332" max="3332" width="16.28125" style="292" customWidth="1"/>
    <col min="3333" max="3333" width="3.00390625" style="292" customWidth="1"/>
    <col min="3334" max="3334" width="14.140625" style="292" customWidth="1"/>
    <col min="3335" max="3335" width="2.00390625" style="292" customWidth="1"/>
    <col min="3336" max="3336" width="15.8515625" style="292" customWidth="1"/>
    <col min="3337" max="3337" width="3.140625" style="292" customWidth="1"/>
    <col min="3338" max="3338" width="17.8515625" style="292" customWidth="1"/>
    <col min="3339" max="3339" width="2.57421875" style="292" customWidth="1"/>
    <col min="3340" max="3340" width="15.57421875" style="292" customWidth="1"/>
    <col min="3341" max="3341" width="1.8515625" style="292" customWidth="1"/>
    <col min="3342" max="3342" width="14.140625" style="292" customWidth="1"/>
    <col min="3343" max="3343" width="11.00390625" style="292" customWidth="1"/>
    <col min="3344" max="3345" width="25.00390625" style="292" customWidth="1"/>
    <col min="3346" max="3346" width="1.8515625" style="292" customWidth="1"/>
    <col min="3347" max="3347" width="17.8515625" style="292" customWidth="1"/>
    <col min="3348" max="3348" width="1.8515625" style="292" customWidth="1"/>
    <col min="3349" max="3349" width="19.00390625" style="292" customWidth="1"/>
    <col min="3350" max="3350" width="1.8515625" style="292" customWidth="1"/>
    <col min="3351" max="3351" width="16.7109375" style="292" customWidth="1"/>
    <col min="3352" max="3352" width="1.8515625" style="292" customWidth="1"/>
    <col min="3353" max="3353" width="16.7109375" style="292" customWidth="1"/>
    <col min="3354" max="3354" width="1.8515625" style="292" customWidth="1"/>
    <col min="3355" max="3355" width="16.7109375" style="292" customWidth="1"/>
    <col min="3356" max="3356" width="1.8515625" style="292" customWidth="1"/>
    <col min="3357" max="3357" width="16.7109375" style="292" customWidth="1"/>
    <col min="3358" max="3358" width="1.8515625" style="292" customWidth="1"/>
    <col min="3359" max="3359" width="17.8515625" style="292" customWidth="1"/>
    <col min="3360" max="3360" width="5.28125" style="292" customWidth="1"/>
    <col min="3361" max="3361" width="16.7109375" style="292" customWidth="1"/>
    <col min="3362" max="3362" width="5.28125" style="292" customWidth="1"/>
    <col min="3363" max="3363" width="14.421875" style="292" customWidth="1"/>
    <col min="3364" max="3364" width="1.8515625" style="292" customWidth="1"/>
    <col min="3365" max="3365" width="16.7109375" style="292" customWidth="1"/>
    <col min="3366" max="3575" width="11.00390625" style="292" customWidth="1"/>
    <col min="3576" max="3576" width="7.57421875" style="292" customWidth="1"/>
    <col min="3577" max="3577" width="15.57421875" style="292" customWidth="1"/>
    <col min="3578" max="3578" width="20.140625" style="292" customWidth="1"/>
    <col min="3579" max="3579" width="2.28125" style="292" customWidth="1"/>
    <col min="3580" max="3580" width="17.421875" style="292" customWidth="1"/>
    <col min="3581" max="3581" width="1.8515625" style="292" customWidth="1"/>
    <col min="3582" max="3582" width="18.7109375" style="292" customWidth="1"/>
    <col min="3583" max="3583" width="1.8515625" style="292" customWidth="1"/>
    <col min="3584" max="3584" width="23.00390625" style="292" customWidth="1"/>
    <col min="3585" max="3585" width="1.8515625" style="292" customWidth="1"/>
    <col min="3586" max="3586" width="17.421875" style="292" customWidth="1"/>
    <col min="3587" max="3587" width="3.00390625" style="292" customWidth="1"/>
    <col min="3588" max="3588" width="16.28125" style="292" customWidth="1"/>
    <col min="3589" max="3589" width="3.00390625" style="292" customWidth="1"/>
    <col min="3590" max="3590" width="14.140625" style="292" customWidth="1"/>
    <col min="3591" max="3591" width="2.00390625" style="292" customWidth="1"/>
    <col min="3592" max="3592" width="15.8515625" style="292" customWidth="1"/>
    <col min="3593" max="3593" width="3.140625" style="292" customWidth="1"/>
    <col min="3594" max="3594" width="17.8515625" style="292" customWidth="1"/>
    <col min="3595" max="3595" width="2.57421875" style="292" customWidth="1"/>
    <col min="3596" max="3596" width="15.57421875" style="292" customWidth="1"/>
    <col min="3597" max="3597" width="1.8515625" style="292" customWidth="1"/>
    <col min="3598" max="3598" width="14.140625" style="292" customWidth="1"/>
    <col min="3599" max="3599" width="11.00390625" style="292" customWidth="1"/>
    <col min="3600" max="3601" width="25.00390625" style="292" customWidth="1"/>
    <col min="3602" max="3602" width="1.8515625" style="292" customWidth="1"/>
    <col min="3603" max="3603" width="17.8515625" style="292" customWidth="1"/>
    <col min="3604" max="3604" width="1.8515625" style="292" customWidth="1"/>
    <col min="3605" max="3605" width="19.00390625" style="292" customWidth="1"/>
    <col min="3606" max="3606" width="1.8515625" style="292" customWidth="1"/>
    <col min="3607" max="3607" width="16.7109375" style="292" customWidth="1"/>
    <col min="3608" max="3608" width="1.8515625" style="292" customWidth="1"/>
    <col min="3609" max="3609" width="16.7109375" style="292" customWidth="1"/>
    <col min="3610" max="3610" width="1.8515625" style="292" customWidth="1"/>
    <col min="3611" max="3611" width="16.7109375" style="292" customWidth="1"/>
    <col min="3612" max="3612" width="1.8515625" style="292" customWidth="1"/>
    <col min="3613" max="3613" width="16.7109375" style="292" customWidth="1"/>
    <col min="3614" max="3614" width="1.8515625" style="292" customWidth="1"/>
    <col min="3615" max="3615" width="17.8515625" style="292" customWidth="1"/>
    <col min="3616" max="3616" width="5.28125" style="292" customWidth="1"/>
    <col min="3617" max="3617" width="16.7109375" style="292" customWidth="1"/>
    <col min="3618" max="3618" width="5.28125" style="292" customWidth="1"/>
    <col min="3619" max="3619" width="14.421875" style="292" customWidth="1"/>
    <col min="3620" max="3620" width="1.8515625" style="292" customWidth="1"/>
    <col min="3621" max="3621" width="16.7109375" style="292" customWidth="1"/>
    <col min="3622" max="3831" width="11.00390625" style="292" customWidth="1"/>
    <col min="3832" max="3832" width="7.57421875" style="292" customWidth="1"/>
    <col min="3833" max="3833" width="15.57421875" style="292" customWidth="1"/>
    <col min="3834" max="3834" width="20.140625" style="292" customWidth="1"/>
    <col min="3835" max="3835" width="2.28125" style="292" customWidth="1"/>
    <col min="3836" max="3836" width="17.421875" style="292" customWidth="1"/>
    <col min="3837" max="3837" width="1.8515625" style="292" customWidth="1"/>
    <col min="3838" max="3838" width="18.7109375" style="292" customWidth="1"/>
    <col min="3839" max="3839" width="1.8515625" style="292" customWidth="1"/>
    <col min="3840" max="3840" width="23.00390625" style="292" customWidth="1"/>
    <col min="3841" max="3841" width="1.8515625" style="292" customWidth="1"/>
    <col min="3842" max="3842" width="17.421875" style="292" customWidth="1"/>
    <col min="3843" max="3843" width="3.00390625" style="292" customWidth="1"/>
    <col min="3844" max="3844" width="16.28125" style="292" customWidth="1"/>
    <col min="3845" max="3845" width="3.00390625" style="292" customWidth="1"/>
    <col min="3846" max="3846" width="14.140625" style="292" customWidth="1"/>
    <col min="3847" max="3847" width="2.00390625" style="292" customWidth="1"/>
    <col min="3848" max="3848" width="15.8515625" style="292" customWidth="1"/>
    <col min="3849" max="3849" width="3.140625" style="292" customWidth="1"/>
    <col min="3850" max="3850" width="17.8515625" style="292" customWidth="1"/>
    <col min="3851" max="3851" width="2.57421875" style="292" customWidth="1"/>
    <col min="3852" max="3852" width="15.57421875" style="292" customWidth="1"/>
    <col min="3853" max="3853" width="1.8515625" style="292" customWidth="1"/>
    <col min="3854" max="3854" width="14.140625" style="292" customWidth="1"/>
    <col min="3855" max="3855" width="11.00390625" style="292" customWidth="1"/>
    <col min="3856" max="3857" width="25.00390625" style="292" customWidth="1"/>
    <col min="3858" max="3858" width="1.8515625" style="292" customWidth="1"/>
    <col min="3859" max="3859" width="17.8515625" style="292" customWidth="1"/>
    <col min="3860" max="3860" width="1.8515625" style="292" customWidth="1"/>
    <col min="3861" max="3861" width="19.00390625" style="292" customWidth="1"/>
    <col min="3862" max="3862" width="1.8515625" style="292" customWidth="1"/>
    <col min="3863" max="3863" width="16.7109375" style="292" customWidth="1"/>
    <col min="3864" max="3864" width="1.8515625" style="292" customWidth="1"/>
    <col min="3865" max="3865" width="16.7109375" style="292" customWidth="1"/>
    <col min="3866" max="3866" width="1.8515625" style="292" customWidth="1"/>
    <col min="3867" max="3867" width="16.7109375" style="292" customWidth="1"/>
    <col min="3868" max="3868" width="1.8515625" style="292" customWidth="1"/>
    <col min="3869" max="3869" width="16.7109375" style="292" customWidth="1"/>
    <col min="3870" max="3870" width="1.8515625" style="292" customWidth="1"/>
    <col min="3871" max="3871" width="17.8515625" style="292" customWidth="1"/>
    <col min="3872" max="3872" width="5.28125" style="292" customWidth="1"/>
    <col min="3873" max="3873" width="16.7109375" style="292" customWidth="1"/>
    <col min="3874" max="3874" width="5.28125" style="292" customWidth="1"/>
    <col min="3875" max="3875" width="14.421875" style="292" customWidth="1"/>
    <col min="3876" max="3876" width="1.8515625" style="292" customWidth="1"/>
    <col min="3877" max="3877" width="16.7109375" style="292" customWidth="1"/>
    <col min="3878" max="4087" width="11.00390625" style="292" customWidth="1"/>
    <col min="4088" max="4088" width="7.57421875" style="292" customWidth="1"/>
    <col min="4089" max="4089" width="15.57421875" style="292" customWidth="1"/>
    <col min="4090" max="4090" width="20.140625" style="292" customWidth="1"/>
    <col min="4091" max="4091" width="2.28125" style="292" customWidth="1"/>
    <col min="4092" max="4092" width="17.421875" style="292" customWidth="1"/>
    <col min="4093" max="4093" width="1.8515625" style="292" customWidth="1"/>
    <col min="4094" max="4094" width="18.7109375" style="292" customWidth="1"/>
    <col min="4095" max="4095" width="1.8515625" style="292" customWidth="1"/>
    <col min="4096" max="4096" width="23.00390625" style="292" customWidth="1"/>
    <col min="4097" max="4097" width="1.8515625" style="292" customWidth="1"/>
    <col min="4098" max="4098" width="17.421875" style="292" customWidth="1"/>
    <col min="4099" max="4099" width="3.00390625" style="292" customWidth="1"/>
    <col min="4100" max="4100" width="16.28125" style="292" customWidth="1"/>
    <col min="4101" max="4101" width="3.00390625" style="292" customWidth="1"/>
    <col min="4102" max="4102" width="14.140625" style="292" customWidth="1"/>
    <col min="4103" max="4103" width="2.00390625" style="292" customWidth="1"/>
    <col min="4104" max="4104" width="15.8515625" style="292" customWidth="1"/>
    <col min="4105" max="4105" width="3.140625" style="292" customWidth="1"/>
    <col min="4106" max="4106" width="17.8515625" style="292" customWidth="1"/>
    <col min="4107" max="4107" width="2.57421875" style="292" customWidth="1"/>
    <col min="4108" max="4108" width="15.57421875" style="292" customWidth="1"/>
    <col min="4109" max="4109" width="1.8515625" style="292" customWidth="1"/>
    <col min="4110" max="4110" width="14.140625" style="292" customWidth="1"/>
    <col min="4111" max="4111" width="11.00390625" style="292" customWidth="1"/>
    <col min="4112" max="4113" width="25.00390625" style="292" customWidth="1"/>
    <col min="4114" max="4114" width="1.8515625" style="292" customWidth="1"/>
    <col min="4115" max="4115" width="17.8515625" style="292" customWidth="1"/>
    <col min="4116" max="4116" width="1.8515625" style="292" customWidth="1"/>
    <col min="4117" max="4117" width="19.00390625" style="292" customWidth="1"/>
    <col min="4118" max="4118" width="1.8515625" style="292" customWidth="1"/>
    <col min="4119" max="4119" width="16.7109375" style="292" customWidth="1"/>
    <col min="4120" max="4120" width="1.8515625" style="292" customWidth="1"/>
    <col min="4121" max="4121" width="16.7109375" style="292" customWidth="1"/>
    <col min="4122" max="4122" width="1.8515625" style="292" customWidth="1"/>
    <col min="4123" max="4123" width="16.7109375" style="292" customWidth="1"/>
    <col min="4124" max="4124" width="1.8515625" style="292" customWidth="1"/>
    <col min="4125" max="4125" width="16.7109375" style="292" customWidth="1"/>
    <col min="4126" max="4126" width="1.8515625" style="292" customWidth="1"/>
    <col min="4127" max="4127" width="17.8515625" style="292" customWidth="1"/>
    <col min="4128" max="4128" width="5.28125" style="292" customWidth="1"/>
    <col min="4129" max="4129" width="16.7109375" style="292" customWidth="1"/>
    <col min="4130" max="4130" width="5.28125" style="292" customWidth="1"/>
    <col min="4131" max="4131" width="14.421875" style="292" customWidth="1"/>
    <col min="4132" max="4132" width="1.8515625" style="292" customWidth="1"/>
    <col min="4133" max="4133" width="16.7109375" style="292" customWidth="1"/>
    <col min="4134" max="4343" width="11.00390625" style="292" customWidth="1"/>
    <col min="4344" max="4344" width="7.57421875" style="292" customWidth="1"/>
    <col min="4345" max="4345" width="15.57421875" style="292" customWidth="1"/>
    <col min="4346" max="4346" width="20.140625" style="292" customWidth="1"/>
    <col min="4347" max="4347" width="2.28125" style="292" customWidth="1"/>
    <col min="4348" max="4348" width="17.421875" style="292" customWidth="1"/>
    <col min="4349" max="4349" width="1.8515625" style="292" customWidth="1"/>
    <col min="4350" max="4350" width="18.7109375" style="292" customWidth="1"/>
    <col min="4351" max="4351" width="1.8515625" style="292" customWidth="1"/>
    <col min="4352" max="4352" width="23.00390625" style="292" customWidth="1"/>
    <col min="4353" max="4353" width="1.8515625" style="292" customWidth="1"/>
    <col min="4354" max="4354" width="17.421875" style="292" customWidth="1"/>
    <col min="4355" max="4355" width="3.00390625" style="292" customWidth="1"/>
    <col min="4356" max="4356" width="16.28125" style="292" customWidth="1"/>
    <col min="4357" max="4357" width="3.00390625" style="292" customWidth="1"/>
    <col min="4358" max="4358" width="14.140625" style="292" customWidth="1"/>
    <col min="4359" max="4359" width="2.00390625" style="292" customWidth="1"/>
    <col min="4360" max="4360" width="15.8515625" style="292" customWidth="1"/>
    <col min="4361" max="4361" width="3.140625" style="292" customWidth="1"/>
    <col min="4362" max="4362" width="17.8515625" style="292" customWidth="1"/>
    <col min="4363" max="4363" width="2.57421875" style="292" customWidth="1"/>
    <col min="4364" max="4364" width="15.57421875" style="292" customWidth="1"/>
    <col min="4365" max="4365" width="1.8515625" style="292" customWidth="1"/>
    <col min="4366" max="4366" width="14.140625" style="292" customWidth="1"/>
    <col min="4367" max="4367" width="11.00390625" style="292" customWidth="1"/>
    <col min="4368" max="4369" width="25.00390625" style="292" customWidth="1"/>
    <col min="4370" max="4370" width="1.8515625" style="292" customWidth="1"/>
    <col min="4371" max="4371" width="17.8515625" style="292" customWidth="1"/>
    <col min="4372" max="4372" width="1.8515625" style="292" customWidth="1"/>
    <col min="4373" max="4373" width="19.00390625" style="292" customWidth="1"/>
    <col min="4374" max="4374" width="1.8515625" style="292" customWidth="1"/>
    <col min="4375" max="4375" width="16.7109375" style="292" customWidth="1"/>
    <col min="4376" max="4376" width="1.8515625" style="292" customWidth="1"/>
    <col min="4377" max="4377" width="16.7109375" style="292" customWidth="1"/>
    <col min="4378" max="4378" width="1.8515625" style="292" customWidth="1"/>
    <col min="4379" max="4379" width="16.7109375" style="292" customWidth="1"/>
    <col min="4380" max="4380" width="1.8515625" style="292" customWidth="1"/>
    <col min="4381" max="4381" width="16.7109375" style="292" customWidth="1"/>
    <col min="4382" max="4382" width="1.8515625" style="292" customWidth="1"/>
    <col min="4383" max="4383" width="17.8515625" style="292" customWidth="1"/>
    <col min="4384" max="4384" width="5.28125" style="292" customWidth="1"/>
    <col min="4385" max="4385" width="16.7109375" style="292" customWidth="1"/>
    <col min="4386" max="4386" width="5.28125" style="292" customWidth="1"/>
    <col min="4387" max="4387" width="14.421875" style="292" customWidth="1"/>
    <col min="4388" max="4388" width="1.8515625" style="292" customWidth="1"/>
    <col min="4389" max="4389" width="16.7109375" style="292" customWidth="1"/>
    <col min="4390" max="4599" width="11.00390625" style="292" customWidth="1"/>
    <col min="4600" max="4600" width="7.57421875" style="292" customWidth="1"/>
    <col min="4601" max="4601" width="15.57421875" style="292" customWidth="1"/>
    <col min="4602" max="4602" width="20.140625" style="292" customWidth="1"/>
    <col min="4603" max="4603" width="2.28125" style="292" customWidth="1"/>
    <col min="4604" max="4604" width="17.421875" style="292" customWidth="1"/>
    <col min="4605" max="4605" width="1.8515625" style="292" customWidth="1"/>
    <col min="4606" max="4606" width="18.7109375" style="292" customWidth="1"/>
    <col min="4607" max="4607" width="1.8515625" style="292" customWidth="1"/>
    <col min="4608" max="4608" width="23.00390625" style="292" customWidth="1"/>
    <col min="4609" max="4609" width="1.8515625" style="292" customWidth="1"/>
    <col min="4610" max="4610" width="17.421875" style="292" customWidth="1"/>
    <col min="4611" max="4611" width="3.00390625" style="292" customWidth="1"/>
    <col min="4612" max="4612" width="16.28125" style="292" customWidth="1"/>
    <col min="4613" max="4613" width="3.00390625" style="292" customWidth="1"/>
    <col min="4614" max="4614" width="14.140625" style="292" customWidth="1"/>
    <col min="4615" max="4615" width="2.00390625" style="292" customWidth="1"/>
    <col min="4616" max="4616" width="15.8515625" style="292" customWidth="1"/>
    <col min="4617" max="4617" width="3.140625" style="292" customWidth="1"/>
    <col min="4618" max="4618" width="17.8515625" style="292" customWidth="1"/>
    <col min="4619" max="4619" width="2.57421875" style="292" customWidth="1"/>
    <col min="4620" max="4620" width="15.57421875" style="292" customWidth="1"/>
    <col min="4621" max="4621" width="1.8515625" style="292" customWidth="1"/>
    <col min="4622" max="4622" width="14.140625" style="292" customWidth="1"/>
    <col min="4623" max="4623" width="11.00390625" style="292" customWidth="1"/>
    <col min="4624" max="4625" width="25.00390625" style="292" customWidth="1"/>
    <col min="4626" max="4626" width="1.8515625" style="292" customWidth="1"/>
    <col min="4627" max="4627" width="17.8515625" style="292" customWidth="1"/>
    <col min="4628" max="4628" width="1.8515625" style="292" customWidth="1"/>
    <col min="4629" max="4629" width="19.00390625" style="292" customWidth="1"/>
    <col min="4630" max="4630" width="1.8515625" style="292" customWidth="1"/>
    <col min="4631" max="4631" width="16.7109375" style="292" customWidth="1"/>
    <col min="4632" max="4632" width="1.8515625" style="292" customWidth="1"/>
    <col min="4633" max="4633" width="16.7109375" style="292" customWidth="1"/>
    <col min="4634" max="4634" width="1.8515625" style="292" customWidth="1"/>
    <col min="4635" max="4635" width="16.7109375" style="292" customWidth="1"/>
    <col min="4636" max="4636" width="1.8515625" style="292" customWidth="1"/>
    <col min="4637" max="4637" width="16.7109375" style="292" customWidth="1"/>
    <col min="4638" max="4638" width="1.8515625" style="292" customWidth="1"/>
    <col min="4639" max="4639" width="17.8515625" style="292" customWidth="1"/>
    <col min="4640" max="4640" width="5.28125" style="292" customWidth="1"/>
    <col min="4641" max="4641" width="16.7109375" style="292" customWidth="1"/>
    <col min="4642" max="4642" width="5.28125" style="292" customWidth="1"/>
    <col min="4643" max="4643" width="14.421875" style="292" customWidth="1"/>
    <col min="4644" max="4644" width="1.8515625" style="292" customWidth="1"/>
    <col min="4645" max="4645" width="16.7109375" style="292" customWidth="1"/>
    <col min="4646" max="4855" width="11.00390625" style="292" customWidth="1"/>
    <col min="4856" max="4856" width="7.57421875" style="292" customWidth="1"/>
    <col min="4857" max="4857" width="15.57421875" style="292" customWidth="1"/>
    <col min="4858" max="4858" width="20.140625" style="292" customWidth="1"/>
    <col min="4859" max="4859" width="2.28125" style="292" customWidth="1"/>
    <col min="4860" max="4860" width="17.421875" style="292" customWidth="1"/>
    <col min="4861" max="4861" width="1.8515625" style="292" customWidth="1"/>
    <col min="4862" max="4862" width="18.7109375" style="292" customWidth="1"/>
    <col min="4863" max="4863" width="1.8515625" style="292" customWidth="1"/>
    <col min="4864" max="4864" width="23.00390625" style="292" customWidth="1"/>
    <col min="4865" max="4865" width="1.8515625" style="292" customWidth="1"/>
    <col min="4866" max="4866" width="17.421875" style="292" customWidth="1"/>
    <col min="4867" max="4867" width="3.00390625" style="292" customWidth="1"/>
    <col min="4868" max="4868" width="16.28125" style="292" customWidth="1"/>
    <col min="4869" max="4869" width="3.00390625" style="292" customWidth="1"/>
    <col min="4870" max="4870" width="14.140625" style="292" customWidth="1"/>
    <col min="4871" max="4871" width="2.00390625" style="292" customWidth="1"/>
    <col min="4872" max="4872" width="15.8515625" style="292" customWidth="1"/>
    <col min="4873" max="4873" width="3.140625" style="292" customWidth="1"/>
    <col min="4874" max="4874" width="17.8515625" style="292" customWidth="1"/>
    <col min="4875" max="4875" width="2.57421875" style="292" customWidth="1"/>
    <col min="4876" max="4876" width="15.57421875" style="292" customWidth="1"/>
    <col min="4877" max="4877" width="1.8515625" style="292" customWidth="1"/>
    <col min="4878" max="4878" width="14.140625" style="292" customWidth="1"/>
    <col min="4879" max="4879" width="11.00390625" style="292" customWidth="1"/>
    <col min="4880" max="4881" width="25.00390625" style="292" customWidth="1"/>
    <col min="4882" max="4882" width="1.8515625" style="292" customWidth="1"/>
    <col min="4883" max="4883" width="17.8515625" style="292" customWidth="1"/>
    <col min="4884" max="4884" width="1.8515625" style="292" customWidth="1"/>
    <col min="4885" max="4885" width="19.00390625" style="292" customWidth="1"/>
    <col min="4886" max="4886" width="1.8515625" style="292" customWidth="1"/>
    <col min="4887" max="4887" width="16.7109375" style="292" customWidth="1"/>
    <col min="4888" max="4888" width="1.8515625" style="292" customWidth="1"/>
    <col min="4889" max="4889" width="16.7109375" style="292" customWidth="1"/>
    <col min="4890" max="4890" width="1.8515625" style="292" customWidth="1"/>
    <col min="4891" max="4891" width="16.7109375" style="292" customWidth="1"/>
    <col min="4892" max="4892" width="1.8515625" style="292" customWidth="1"/>
    <col min="4893" max="4893" width="16.7109375" style="292" customWidth="1"/>
    <col min="4894" max="4894" width="1.8515625" style="292" customWidth="1"/>
    <col min="4895" max="4895" width="17.8515625" style="292" customWidth="1"/>
    <col min="4896" max="4896" width="5.28125" style="292" customWidth="1"/>
    <col min="4897" max="4897" width="16.7109375" style="292" customWidth="1"/>
    <col min="4898" max="4898" width="5.28125" style="292" customWidth="1"/>
    <col min="4899" max="4899" width="14.421875" style="292" customWidth="1"/>
    <col min="4900" max="4900" width="1.8515625" style="292" customWidth="1"/>
    <col min="4901" max="4901" width="16.7109375" style="292" customWidth="1"/>
    <col min="4902" max="5111" width="11.00390625" style="292" customWidth="1"/>
    <col min="5112" max="5112" width="7.57421875" style="292" customWidth="1"/>
    <col min="5113" max="5113" width="15.57421875" style="292" customWidth="1"/>
    <col min="5114" max="5114" width="20.140625" style="292" customWidth="1"/>
    <col min="5115" max="5115" width="2.28125" style="292" customWidth="1"/>
    <col min="5116" max="5116" width="17.421875" style="292" customWidth="1"/>
    <col min="5117" max="5117" width="1.8515625" style="292" customWidth="1"/>
    <col min="5118" max="5118" width="18.7109375" style="292" customWidth="1"/>
    <col min="5119" max="5119" width="1.8515625" style="292" customWidth="1"/>
    <col min="5120" max="5120" width="23.00390625" style="292" customWidth="1"/>
    <col min="5121" max="5121" width="1.8515625" style="292" customWidth="1"/>
    <col min="5122" max="5122" width="17.421875" style="292" customWidth="1"/>
    <col min="5123" max="5123" width="3.00390625" style="292" customWidth="1"/>
    <col min="5124" max="5124" width="16.28125" style="292" customWidth="1"/>
    <col min="5125" max="5125" width="3.00390625" style="292" customWidth="1"/>
    <col min="5126" max="5126" width="14.140625" style="292" customWidth="1"/>
    <col min="5127" max="5127" width="2.00390625" style="292" customWidth="1"/>
    <col min="5128" max="5128" width="15.8515625" style="292" customWidth="1"/>
    <col min="5129" max="5129" width="3.140625" style="292" customWidth="1"/>
    <col min="5130" max="5130" width="17.8515625" style="292" customWidth="1"/>
    <col min="5131" max="5131" width="2.57421875" style="292" customWidth="1"/>
    <col min="5132" max="5132" width="15.57421875" style="292" customWidth="1"/>
    <col min="5133" max="5133" width="1.8515625" style="292" customWidth="1"/>
    <col min="5134" max="5134" width="14.140625" style="292" customWidth="1"/>
    <col min="5135" max="5135" width="11.00390625" style="292" customWidth="1"/>
    <col min="5136" max="5137" width="25.00390625" style="292" customWidth="1"/>
    <col min="5138" max="5138" width="1.8515625" style="292" customWidth="1"/>
    <col min="5139" max="5139" width="17.8515625" style="292" customWidth="1"/>
    <col min="5140" max="5140" width="1.8515625" style="292" customWidth="1"/>
    <col min="5141" max="5141" width="19.00390625" style="292" customWidth="1"/>
    <col min="5142" max="5142" width="1.8515625" style="292" customWidth="1"/>
    <col min="5143" max="5143" width="16.7109375" style="292" customWidth="1"/>
    <col min="5144" max="5144" width="1.8515625" style="292" customWidth="1"/>
    <col min="5145" max="5145" width="16.7109375" style="292" customWidth="1"/>
    <col min="5146" max="5146" width="1.8515625" style="292" customWidth="1"/>
    <col min="5147" max="5147" width="16.7109375" style="292" customWidth="1"/>
    <col min="5148" max="5148" width="1.8515625" style="292" customWidth="1"/>
    <col min="5149" max="5149" width="16.7109375" style="292" customWidth="1"/>
    <col min="5150" max="5150" width="1.8515625" style="292" customWidth="1"/>
    <col min="5151" max="5151" width="17.8515625" style="292" customWidth="1"/>
    <col min="5152" max="5152" width="5.28125" style="292" customWidth="1"/>
    <col min="5153" max="5153" width="16.7109375" style="292" customWidth="1"/>
    <col min="5154" max="5154" width="5.28125" style="292" customWidth="1"/>
    <col min="5155" max="5155" width="14.421875" style="292" customWidth="1"/>
    <col min="5156" max="5156" width="1.8515625" style="292" customWidth="1"/>
    <col min="5157" max="5157" width="16.7109375" style="292" customWidth="1"/>
    <col min="5158" max="5367" width="11.00390625" style="292" customWidth="1"/>
    <col min="5368" max="5368" width="7.57421875" style="292" customWidth="1"/>
    <col min="5369" max="5369" width="15.57421875" style="292" customWidth="1"/>
    <col min="5370" max="5370" width="20.140625" style="292" customWidth="1"/>
    <col min="5371" max="5371" width="2.28125" style="292" customWidth="1"/>
    <col min="5372" max="5372" width="17.421875" style="292" customWidth="1"/>
    <col min="5373" max="5373" width="1.8515625" style="292" customWidth="1"/>
    <col min="5374" max="5374" width="18.7109375" style="292" customWidth="1"/>
    <col min="5375" max="5375" width="1.8515625" style="292" customWidth="1"/>
    <col min="5376" max="5376" width="23.00390625" style="292" customWidth="1"/>
    <col min="5377" max="5377" width="1.8515625" style="292" customWidth="1"/>
    <col min="5378" max="5378" width="17.421875" style="292" customWidth="1"/>
    <col min="5379" max="5379" width="3.00390625" style="292" customWidth="1"/>
    <col min="5380" max="5380" width="16.28125" style="292" customWidth="1"/>
    <col min="5381" max="5381" width="3.00390625" style="292" customWidth="1"/>
    <col min="5382" max="5382" width="14.140625" style="292" customWidth="1"/>
    <col min="5383" max="5383" width="2.00390625" style="292" customWidth="1"/>
    <col min="5384" max="5384" width="15.8515625" style="292" customWidth="1"/>
    <col min="5385" max="5385" width="3.140625" style="292" customWidth="1"/>
    <col min="5386" max="5386" width="17.8515625" style="292" customWidth="1"/>
    <col min="5387" max="5387" width="2.57421875" style="292" customWidth="1"/>
    <col min="5388" max="5388" width="15.57421875" style="292" customWidth="1"/>
    <col min="5389" max="5389" width="1.8515625" style="292" customWidth="1"/>
    <col min="5390" max="5390" width="14.140625" style="292" customWidth="1"/>
    <col min="5391" max="5391" width="11.00390625" style="292" customWidth="1"/>
    <col min="5392" max="5393" width="25.00390625" style="292" customWidth="1"/>
    <col min="5394" max="5394" width="1.8515625" style="292" customWidth="1"/>
    <col min="5395" max="5395" width="17.8515625" style="292" customWidth="1"/>
    <col min="5396" max="5396" width="1.8515625" style="292" customWidth="1"/>
    <col min="5397" max="5397" width="19.00390625" style="292" customWidth="1"/>
    <col min="5398" max="5398" width="1.8515625" style="292" customWidth="1"/>
    <col min="5399" max="5399" width="16.7109375" style="292" customWidth="1"/>
    <col min="5400" max="5400" width="1.8515625" style="292" customWidth="1"/>
    <col min="5401" max="5401" width="16.7109375" style="292" customWidth="1"/>
    <col min="5402" max="5402" width="1.8515625" style="292" customWidth="1"/>
    <col min="5403" max="5403" width="16.7109375" style="292" customWidth="1"/>
    <col min="5404" max="5404" width="1.8515625" style="292" customWidth="1"/>
    <col min="5405" max="5405" width="16.7109375" style="292" customWidth="1"/>
    <col min="5406" max="5406" width="1.8515625" style="292" customWidth="1"/>
    <col min="5407" max="5407" width="17.8515625" style="292" customWidth="1"/>
    <col min="5408" max="5408" width="5.28125" style="292" customWidth="1"/>
    <col min="5409" max="5409" width="16.7109375" style="292" customWidth="1"/>
    <col min="5410" max="5410" width="5.28125" style="292" customWidth="1"/>
    <col min="5411" max="5411" width="14.421875" style="292" customWidth="1"/>
    <col min="5412" max="5412" width="1.8515625" style="292" customWidth="1"/>
    <col min="5413" max="5413" width="16.7109375" style="292" customWidth="1"/>
    <col min="5414" max="5623" width="11.00390625" style="292" customWidth="1"/>
    <col min="5624" max="5624" width="7.57421875" style="292" customWidth="1"/>
    <col min="5625" max="5625" width="15.57421875" style="292" customWidth="1"/>
    <col min="5626" max="5626" width="20.140625" style="292" customWidth="1"/>
    <col min="5627" max="5627" width="2.28125" style="292" customWidth="1"/>
    <col min="5628" max="5628" width="17.421875" style="292" customWidth="1"/>
    <col min="5629" max="5629" width="1.8515625" style="292" customWidth="1"/>
    <col min="5630" max="5630" width="18.7109375" style="292" customWidth="1"/>
    <col min="5631" max="5631" width="1.8515625" style="292" customWidth="1"/>
    <col min="5632" max="5632" width="23.00390625" style="292" customWidth="1"/>
    <col min="5633" max="5633" width="1.8515625" style="292" customWidth="1"/>
    <col min="5634" max="5634" width="17.421875" style="292" customWidth="1"/>
    <col min="5635" max="5635" width="3.00390625" style="292" customWidth="1"/>
    <col min="5636" max="5636" width="16.28125" style="292" customWidth="1"/>
    <col min="5637" max="5637" width="3.00390625" style="292" customWidth="1"/>
    <col min="5638" max="5638" width="14.140625" style="292" customWidth="1"/>
    <col min="5639" max="5639" width="2.00390625" style="292" customWidth="1"/>
    <col min="5640" max="5640" width="15.8515625" style="292" customWidth="1"/>
    <col min="5641" max="5641" width="3.140625" style="292" customWidth="1"/>
    <col min="5642" max="5642" width="17.8515625" style="292" customWidth="1"/>
    <col min="5643" max="5643" width="2.57421875" style="292" customWidth="1"/>
    <col min="5644" max="5644" width="15.57421875" style="292" customWidth="1"/>
    <col min="5645" max="5645" width="1.8515625" style="292" customWidth="1"/>
    <col min="5646" max="5646" width="14.140625" style="292" customWidth="1"/>
    <col min="5647" max="5647" width="11.00390625" style="292" customWidth="1"/>
    <col min="5648" max="5649" width="25.00390625" style="292" customWidth="1"/>
    <col min="5650" max="5650" width="1.8515625" style="292" customWidth="1"/>
    <col min="5651" max="5651" width="17.8515625" style="292" customWidth="1"/>
    <col min="5652" max="5652" width="1.8515625" style="292" customWidth="1"/>
    <col min="5653" max="5653" width="19.00390625" style="292" customWidth="1"/>
    <col min="5654" max="5654" width="1.8515625" style="292" customWidth="1"/>
    <col min="5655" max="5655" width="16.7109375" style="292" customWidth="1"/>
    <col min="5656" max="5656" width="1.8515625" style="292" customWidth="1"/>
    <col min="5657" max="5657" width="16.7109375" style="292" customWidth="1"/>
    <col min="5658" max="5658" width="1.8515625" style="292" customWidth="1"/>
    <col min="5659" max="5659" width="16.7109375" style="292" customWidth="1"/>
    <col min="5660" max="5660" width="1.8515625" style="292" customWidth="1"/>
    <col min="5661" max="5661" width="16.7109375" style="292" customWidth="1"/>
    <col min="5662" max="5662" width="1.8515625" style="292" customWidth="1"/>
    <col min="5663" max="5663" width="17.8515625" style="292" customWidth="1"/>
    <col min="5664" max="5664" width="5.28125" style="292" customWidth="1"/>
    <col min="5665" max="5665" width="16.7109375" style="292" customWidth="1"/>
    <col min="5666" max="5666" width="5.28125" style="292" customWidth="1"/>
    <col min="5667" max="5667" width="14.421875" style="292" customWidth="1"/>
    <col min="5668" max="5668" width="1.8515625" style="292" customWidth="1"/>
    <col min="5669" max="5669" width="16.7109375" style="292" customWidth="1"/>
    <col min="5670" max="5879" width="11.00390625" style="292" customWidth="1"/>
    <col min="5880" max="5880" width="7.57421875" style="292" customWidth="1"/>
    <col min="5881" max="5881" width="15.57421875" style="292" customWidth="1"/>
    <col min="5882" max="5882" width="20.140625" style="292" customWidth="1"/>
    <col min="5883" max="5883" width="2.28125" style="292" customWidth="1"/>
    <col min="5884" max="5884" width="17.421875" style="292" customWidth="1"/>
    <col min="5885" max="5885" width="1.8515625" style="292" customWidth="1"/>
    <col min="5886" max="5886" width="18.7109375" style="292" customWidth="1"/>
    <col min="5887" max="5887" width="1.8515625" style="292" customWidth="1"/>
    <col min="5888" max="5888" width="23.00390625" style="292" customWidth="1"/>
    <col min="5889" max="5889" width="1.8515625" style="292" customWidth="1"/>
    <col min="5890" max="5890" width="17.421875" style="292" customWidth="1"/>
    <col min="5891" max="5891" width="3.00390625" style="292" customWidth="1"/>
    <col min="5892" max="5892" width="16.28125" style="292" customWidth="1"/>
    <col min="5893" max="5893" width="3.00390625" style="292" customWidth="1"/>
    <col min="5894" max="5894" width="14.140625" style="292" customWidth="1"/>
    <col min="5895" max="5895" width="2.00390625" style="292" customWidth="1"/>
    <col min="5896" max="5896" width="15.8515625" style="292" customWidth="1"/>
    <col min="5897" max="5897" width="3.140625" style="292" customWidth="1"/>
    <col min="5898" max="5898" width="17.8515625" style="292" customWidth="1"/>
    <col min="5899" max="5899" width="2.57421875" style="292" customWidth="1"/>
    <col min="5900" max="5900" width="15.57421875" style="292" customWidth="1"/>
    <col min="5901" max="5901" width="1.8515625" style="292" customWidth="1"/>
    <col min="5902" max="5902" width="14.140625" style="292" customWidth="1"/>
    <col min="5903" max="5903" width="11.00390625" style="292" customWidth="1"/>
    <col min="5904" max="5905" width="25.00390625" style="292" customWidth="1"/>
    <col min="5906" max="5906" width="1.8515625" style="292" customWidth="1"/>
    <col min="5907" max="5907" width="17.8515625" style="292" customWidth="1"/>
    <col min="5908" max="5908" width="1.8515625" style="292" customWidth="1"/>
    <col min="5909" max="5909" width="19.00390625" style="292" customWidth="1"/>
    <col min="5910" max="5910" width="1.8515625" style="292" customWidth="1"/>
    <col min="5911" max="5911" width="16.7109375" style="292" customWidth="1"/>
    <col min="5912" max="5912" width="1.8515625" style="292" customWidth="1"/>
    <col min="5913" max="5913" width="16.7109375" style="292" customWidth="1"/>
    <col min="5914" max="5914" width="1.8515625" style="292" customWidth="1"/>
    <col min="5915" max="5915" width="16.7109375" style="292" customWidth="1"/>
    <col min="5916" max="5916" width="1.8515625" style="292" customWidth="1"/>
    <col min="5917" max="5917" width="16.7109375" style="292" customWidth="1"/>
    <col min="5918" max="5918" width="1.8515625" style="292" customWidth="1"/>
    <col min="5919" max="5919" width="17.8515625" style="292" customWidth="1"/>
    <col min="5920" max="5920" width="5.28125" style="292" customWidth="1"/>
    <col min="5921" max="5921" width="16.7109375" style="292" customWidth="1"/>
    <col min="5922" max="5922" width="5.28125" style="292" customWidth="1"/>
    <col min="5923" max="5923" width="14.421875" style="292" customWidth="1"/>
    <col min="5924" max="5924" width="1.8515625" style="292" customWidth="1"/>
    <col min="5925" max="5925" width="16.7109375" style="292" customWidth="1"/>
    <col min="5926" max="6135" width="11.00390625" style="292" customWidth="1"/>
    <col min="6136" max="6136" width="7.57421875" style="292" customWidth="1"/>
    <col min="6137" max="6137" width="15.57421875" style="292" customWidth="1"/>
    <col min="6138" max="6138" width="20.140625" style="292" customWidth="1"/>
    <col min="6139" max="6139" width="2.28125" style="292" customWidth="1"/>
    <col min="6140" max="6140" width="17.421875" style="292" customWidth="1"/>
    <col min="6141" max="6141" width="1.8515625" style="292" customWidth="1"/>
    <col min="6142" max="6142" width="18.7109375" style="292" customWidth="1"/>
    <col min="6143" max="6143" width="1.8515625" style="292" customWidth="1"/>
    <col min="6144" max="6144" width="23.00390625" style="292" customWidth="1"/>
    <col min="6145" max="6145" width="1.8515625" style="292" customWidth="1"/>
    <col min="6146" max="6146" width="17.421875" style="292" customWidth="1"/>
    <col min="6147" max="6147" width="3.00390625" style="292" customWidth="1"/>
    <col min="6148" max="6148" width="16.28125" style="292" customWidth="1"/>
    <col min="6149" max="6149" width="3.00390625" style="292" customWidth="1"/>
    <col min="6150" max="6150" width="14.140625" style="292" customWidth="1"/>
    <col min="6151" max="6151" width="2.00390625" style="292" customWidth="1"/>
    <col min="6152" max="6152" width="15.8515625" style="292" customWidth="1"/>
    <col min="6153" max="6153" width="3.140625" style="292" customWidth="1"/>
    <col min="6154" max="6154" width="17.8515625" style="292" customWidth="1"/>
    <col min="6155" max="6155" width="2.57421875" style="292" customWidth="1"/>
    <col min="6156" max="6156" width="15.57421875" style="292" customWidth="1"/>
    <col min="6157" max="6157" width="1.8515625" style="292" customWidth="1"/>
    <col min="6158" max="6158" width="14.140625" style="292" customWidth="1"/>
    <col min="6159" max="6159" width="11.00390625" style="292" customWidth="1"/>
    <col min="6160" max="6161" width="25.00390625" style="292" customWidth="1"/>
    <col min="6162" max="6162" width="1.8515625" style="292" customWidth="1"/>
    <col min="6163" max="6163" width="17.8515625" style="292" customWidth="1"/>
    <col min="6164" max="6164" width="1.8515625" style="292" customWidth="1"/>
    <col min="6165" max="6165" width="19.00390625" style="292" customWidth="1"/>
    <col min="6166" max="6166" width="1.8515625" style="292" customWidth="1"/>
    <col min="6167" max="6167" width="16.7109375" style="292" customWidth="1"/>
    <col min="6168" max="6168" width="1.8515625" style="292" customWidth="1"/>
    <col min="6169" max="6169" width="16.7109375" style="292" customWidth="1"/>
    <col min="6170" max="6170" width="1.8515625" style="292" customWidth="1"/>
    <col min="6171" max="6171" width="16.7109375" style="292" customWidth="1"/>
    <col min="6172" max="6172" width="1.8515625" style="292" customWidth="1"/>
    <col min="6173" max="6173" width="16.7109375" style="292" customWidth="1"/>
    <col min="6174" max="6174" width="1.8515625" style="292" customWidth="1"/>
    <col min="6175" max="6175" width="17.8515625" style="292" customWidth="1"/>
    <col min="6176" max="6176" width="5.28125" style="292" customWidth="1"/>
    <col min="6177" max="6177" width="16.7109375" style="292" customWidth="1"/>
    <col min="6178" max="6178" width="5.28125" style="292" customWidth="1"/>
    <col min="6179" max="6179" width="14.421875" style="292" customWidth="1"/>
    <col min="6180" max="6180" width="1.8515625" style="292" customWidth="1"/>
    <col min="6181" max="6181" width="16.7109375" style="292" customWidth="1"/>
    <col min="6182" max="6391" width="11.00390625" style="292" customWidth="1"/>
    <col min="6392" max="6392" width="7.57421875" style="292" customWidth="1"/>
    <col min="6393" max="6393" width="15.57421875" style="292" customWidth="1"/>
    <col min="6394" max="6394" width="20.140625" style="292" customWidth="1"/>
    <col min="6395" max="6395" width="2.28125" style="292" customWidth="1"/>
    <col min="6396" max="6396" width="17.421875" style="292" customWidth="1"/>
    <col min="6397" max="6397" width="1.8515625" style="292" customWidth="1"/>
    <col min="6398" max="6398" width="18.7109375" style="292" customWidth="1"/>
    <col min="6399" max="6399" width="1.8515625" style="292" customWidth="1"/>
    <col min="6400" max="6400" width="23.00390625" style="292" customWidth="1"/>
    <col min="6401" max="6401" width="1.8515625" style="292" customWidth="1"/>
    <col min="6402" max="6402" width="17.421875" style="292" customWidth="1"/>
    <col min="6403" max="6403" width="3.00390625" style="292" customWidth="1"/>
    <col min="6404" max="6404" width="16.28125" style="292" customWidth="1"/>
    <col min="6405" max="6405" width="3.00390625" style="292" customWidth="1"/>
    <col min="6406" max="6406" width="14.140625" style="292" customWidth="1"/>
    <col min="6407" max="6407" width="2.00390625" style="292" customWidth="1"/>
    <col min="6408" max="6408" width="15.8515625" style="292" customWidth="1"/>
    <col min="6409" max="6409" width="3.140625" style="292" customWidth="1"/>
    <col min="6410" max="6410" width="17.8515625" style="292" customWidth="1"/>
    <col min="6411" max="6411" width="2.57421875" style="292" customWidth="1"/>
    <col min="6412" max="6412" width="15.57421875" style="292" customWidth="1"/>
    <col min="6413" max="6413" width="1.8515625" style="292" customWidth="1"/>
    <col min="6414" max="6414" width="14.140625" style="292" customWidth="1"/>
    <col min="6415" max="6415" width="11.00390625" style="292" customWidth="1"/>
    <col min="6416" max="6417" width="25.00390625" style="292" customWidth="1"/>
    <col min="6418" max="6418" width="1.8515625" style="292" customWidth="1"/>
    <col min="6419" max="6419" width="17.8515625" style="292" customWidth="1"/>
    <col min="6420" max="6420" width="1.8515625" style="292" customWidth="1"/>
    <col min="6421" max="6421" width="19.00390625" style="292" customWidth="1"/>
    <col min="6422" max="6422" width="1.8515625" style="292" customWidth="1"/>
    <col min="6423" max="6423" width="16.7109375" style="292" customWidth="1"/>
    <col min="6424" max="6424" width="1.8515625" style="292" customWidth="1"/>
    <col min="6425" max="6425" width="16.7109375" style="292" customWidth="1"/>
    <col min="6426" max="6426" width="1.8515625" style="292" customWidth="1"/>
    <col min="6427" max="6427" width="16.7109375" style="292" customWidth="1"/>
    <col min="6428" max="6428" width="1.8515625" style="292" customWidth="1"/>
    <col min="6429" max="6429" width="16.7109375" style="292" customWidth="1"/>
    <col min="6430" max="6430" width="1.8515625" style="292" customWidth="1"/>
    <col min="6431" max="6431" width="17.8515625" style="292" customWidth="1"/>
    <col min="6432" max="6432" width="5.28125" style="292" customWidth="1"/>
    <col min="6433" max="6433" width="16.7109375" style="292" customWidth="1"/>
    <col min="6434" max="6434" width="5.28125" style="292" customWidth="1"/>
    <col min="6435" max="6435" width="14.421875" style="292" customWidth="1"/>
    <col min="6436" max="6436" width="1.8515625" style="292" customWidth="1"/>
    <col min="6437" max="6437" width="16.7109375" style="292" customWidth="1"/>
    <col min="6438" max="6647" width="11.00390625" style="292" customWidth="1"/>
    <col min="6648" max="6648" width="7.57421875" style="292" customWidth="1"/>
    <col min="6649" max="6649" width="15.57421875" style="292" customWidth="1"/>
    <col min="6650" max="6650" width="20.140625" style="292" customWidth="1"/>
    <col min="6651" max="6651" width="2.28125" style="292" customWidth="1"/>
    <col min="6652" max="6652" width="17.421875" style="292" customWidth="1"/>
    <col min="6653" max="6653" width="1.8515625" style="292" customWidth="1"/>
    <col min="6654" max="6654" width="18.7109375" style="292" customWidth="1"/>
    <col min="6655" max="6655" width="1.8515625" style="292" customWidth="1"/>
    <col min="6656" max="6656" width="23.00390625" style="292" customWidth="1"/>
    <col min="6657" max="6657" width="1.8515625" style="292" customWidth="1"/>
    <col min="6658" max="6658" width="17.421875" style="292" customWidth="1"/>
    <col min="6659" max="6659" width="3.00390625" style="292" customWidth="1"/>
    <col min="6660" max="6660" width="16.28125" style="292" customWidth="1"/>
    <col min="6661" max="6661" width="3.00390625" style="292" customWidth="1"/>
    <col min="6662" max="6662" width="14.140625" style="292" customWidth="1"/>
    <col min="6663" max="6663" width="2.00390625" style="292" customWidth="1"/>
    <col min="6664" max="6664" width="15.8515625" style="292" customWidth="1"/>
    <col min="6665" max="6665" width="3.140625" style="292" customWidth="1"/>
    <col min="6666" max="6666" width="17.8515625" style="292" customWidth="1"/>
    <col min="6667" max="6667" width="2.57421875" style="292" customWidth="1"/>
    <col min="6668" max="6668" width="15.57421875" style="292" customWidth="1"/>
    <col min="6669" max="6669" width="1.8515625" style="292" customWidth="1"/>
    <col min="6670" max="6670" width="14.140625" style="292" customWidth="1"/>
    <col min="6671" max="6671" width="11.00390625" style="292" customWidth="1"/>
    <col min="6672" max="6673" width="25.00390625" style="292" customWidth="1"/>
    <col min="6674" max="6674" width="1.8515625" style="292" customWidth="1"/>
    <col min="6675" max="6675" width="17.8515625" style="292" customWidth="1"/>
    <col min="6676" max="6676" width="1.8515625" style="292" customWidth="1"/>
    <col min="6677" max="6677" width="19.00390625" style="292" customWidth="1"/>
    <col min="6678" max="6678" width="1.8515625" style="292" customWidth="1"/>
    <col min="6679" max="6679" width="16.7109375" style="292" customWidth="1"/>
    <col min="6680" max="6680" width="1.8515625" style="292" customWidth="1"/>
    <col min="6681" max="6681" width="16.7109375" style="292" customWidth="1"/>
    <col min="6682" max="6682" width="1.8515625" style="292" customWidth="1"/>
    <col min="6683" max="6683" width="16.7109375" style="292" customWidth="1"/>
    <col min="6684" max="6684" width="1.8515625" style="292" customWidth="1"/>
    <col min="6685" max="6685" width="16.7109375" style="292" customWidth="1"/>
    <col min="6686" max="6686" width="1.8515625" style="292" customWidth="1"/>
    <col min="6687" max="6687" width="17.8515625" style="292" customWidth="1"/>
    <col min="6688" max="6688" width="5.28125" style="292" customWidth="1"/>
    <col min="6689" max="6689" width="16.7109375" style="292" customWidth="1"/>
    <col min="6690" max="6690" width="5.28125" style="292" customWidth="1"/>
    <col min="6691" max="6691" width="14.421875" style="292" customWidth="1"/>
    <col min="6692" max="6692" width="1.8515625" style="292" customWidth="1"/>
    <col min="6693" max="6693" width="16.7109375" style="292" customWidth="1"/>
    <col min="6694" max="6903" width="11.00390625" style="292" customWidth="1"/>
    <col min="6904" max="6904" width="7.57421875" style="292" customWidth="1"/>
    <col min="6905" max="6905" width="15.57421875" style="292" customWidth="1"/>
    <col min="6906" max="6906" width="20.140625" style="292" customWidth="1"/>
    <col min="6907" max="6907" width="2.28125" style="292" customWidth="1"/>
    <col min="6908" max="6908" width="17.421875" style="292" customWidth="1"/>
    <col min="6909" max="6909" width="1.8515625" style="292" customWidth="1"/>
    <col min="6910" max="6910" width="18.7109375" style="292" customWidth="1"/>
    <col min="6911" max="6911" width="1.8515625" style="292" customWidth="1"/>
    <col min="6912" max="6912" width="23.00390625" style="292" customWidth="1"/>
    <col min="6913" max="6913" width="1.8515625" style="292" customWidth="1"/>
    <col min="6914" max="6914" width="17.421875" style="292" customWidth="1"/>
    <col min="6915" max="6915" width="3.00390625" style="292" customWidth="1"/>
    <col min="6916" max="6916" width="16.28125" style="292" customWidth="1"/>
    <col min="6917" max="6917" width="3.00390625" style="292" customWidth="1"/>
    <col min="6918" max="6918" width="14.140625" style="292" customWidth="1"/>
    <col min="6919" max="6919" width="2.00390625" style="292" customWidth="1"/>
    <col min="6920" max="6920" width="15.8515625" style="292" customWidth="1"/>
    <col min="6921" max="6921" width="3.140625" style="292" customWidth="1"/>
    <col min="6922" max="6922" width="17.8515625" style="292" customWidth="1"/>
    <col min="6923" max="6923" width="2.57421875" style="292" customWidth="1"/>
    <col min="6924" max="6924" width="15.57421875" style="292" customWidth="1"/>
    <col min="6925" max="6925" width="1.8515625" style="292" customWidth="1"/>
    <col min="6926" max="6926" width="14.140625" style="292" customWidth="1"/>
    <col min="6927" max="6927" width="11.00390625" style="292" customWidth="1"/>
    <col min="6928" max="6929" width="25.00390625" style="292" customWidth="1"/>
    <col min="6930" max="6930" width="1.8515625" style="292" customWidth="1"/>
    <col min="6931" max="6931" width="17.8515625" style="292" customWidth="1"/>
    <col min="6932" max="6932" width="1.8515625" style="292" customWidth="1"/>
    <col min="6933" max="6933" width="19.00390625" style="292" customWidth="1"/>
    <col min="6934" max="6934" width="1.8515625" style="292" customWidth="1"/>
    <col min="6935" max="6935" width="16.7109375" style="292" customWidth="1"/>
    <col min="6936" max="6936" width="1.8515625" style="292" customWidth="1"/>
    <col min="6937" max="6937" width="16.7109375" style="292" customWidth="1"/>
    <col min="6938" max="6938" width="1.8515625" style="292" customWidth="1"/>
    <col min="6939" max="6939" width="16.7109375" style="292" customWidth="1"/>
    <col min="6940" max="6940" width="1.8515625" style="292" customWidth="1"/>
    <col min="6941" max="6941" width="16.7109375" style="292" customWidth="1"/>
    <col min="6942" max="6942" width="1.8515625" style="292" customWidth="1"/>
    <col min="6943" max="6943" width="17.8515625" style="292" customWidth="1"/>
    <col min="6944" max="6944" width="5.28125" style="292" customWidth="1"/>
    <col min="6945" max="6945" width="16.7109375" style="292" customWidth="1"/>
    <col min="6946" max="6946" width="5.28125" style="292" customWidth="1"/>
    <col min="6947" max="6947" width="14.421875" style="292" customWidth="1"/>
    <col min="6948" max="6948" width="1.8515625" style="292" customWidth="1"/>
    <col min="6949" max="6949" width="16.7109375" style="292" customWidth="1"/>
    <col min="6950" max="7159" width="11.00390625" style="292" customWidth="1"/>
    <col min="7160" max="7160" width="7.57421875" style="292" customWidth="1"/>
    <col min="7161" max="7161" width="15.57421875" style="292" customWidth="1"/>
    <col min="7162" max="7162" width="20.140625" style="292" customWidth="1"/>
    <col min="7163" max="7163" width="2.28125" style="292" customWidth="1"/>
    <col min="7164" max="7164" width="17.421875" style="292" customWidth="1"/>
    <col min="7165" max="7165" width="1.8515625" style="292" customWidth="1"/>
    <col min="7166" max="7166" width="18.7109375" style="292" customWidth="1"/>
    <col min="7167" max="7167" width="1.8515625" style="292" customWidth="1"/>
    <col min="7168" max="7168" width="23.00390625" style="292" customWidth="1"/>
    <col min="7169" max="7169" width="1.8515625" style="292" customWidth="1"/>
    <col min="7170" max="7170" width="17.421875" style="292" customWidth="1"/>
    <col min="7171" max="7171" width="3.00390625" style="292" customWidth="1"/>
    <col min="7172" max="7172" width="16.28125" style="292" customWidth="1"/>
    <col min="7173" max="7173" width="3.00390625" style="292" customWidth="1"/>
    <col min="7174" max="7174" width="14.140625" style="292" customWidth="1"/>
    <col min="7175" max="7175" width="2.00390625" style="292" customWidth="1"/>
    <col min="7176" max="7176" width="15.8515625" style="292" customWidth="1"/>
    <col min="7177" max="7177" width="3.140625" style="292" customWidth="1"/>
    <col min="7178" max="7178" width="17.8515625" style="292" customWidth="1"/>
    <col min="7179" max="7179" width="2.57421875" style="292" customWidth="1"/>
    <col min="7180" max="7180" width="15.57421875" style="292" customWidth="1"/>
    <col min="7181" max="7181" width="1.8515625" style="292" customWidth="1"/>
    <col min="7182" max="7182" width="14.140625" style="292" customWidth="1"/>
    <col min="7183" max="7183" width="11.00390625" style="292" customWidth="1"/>
    <col min="7184" max="7185" width="25.00390625" style="292" customWidth="1"/>
    <col min="7186" max="7186" width="1.8515625" style="292" customWidth="1"/>
    <col min="7187" max="7187" width="17.8515625" style="292" customWidth="1"/>
    <col min="7188" max="7188" width="1.8515625" style="292" customWidth="1"/>
    <col min="7189" max="7189" width="19.00390625" style="292" customWidth="1"/>
    <col min="7190" max="7190" width="1.8515625" style="292" customWidth="1"/>
    <col min="7191" max="7191" width="16.7109375" style="292" customWidth="1"/>
    <col min="7192" max="7192" width="1.8515625" style="292" customWidth="1"/>
    <col min="7193" max="7193" width="16.7109375" style="292" customWidth="1"/>
    <col min="7194" max="7194" width="1.8515625" style="292" customWidth="1"/>
    <col min="7195" max="7195" width="16.7109375" style="292" customWidth="1"/>
    <col min="7196" max="7196" width="1.8515625" style="292" customWidth="1"/>
    <col min="7197" max="7197" width="16.7109375" style="292" customWidth="1"/>
    <col min="7198" max="7198" width="1.8515625" style="292" customWidth="1"/>
    <col min="7199" max="7199" width="17.8515625" style="292" customWidth="1"/>
    <col min="7200" max="7200" width="5.28125" style="292" customWidth="1"/>
    <col min="7201" max="7201" width="16.7109375" style="292" customWidth="1"/>
    <col min="7202" max="7202" width="5.28125" style="292" customWidth="1"/>
    <col min="7203" max="7203" width="14.421875" style="292" customWidth="1"/>
    <col min="7204" max="7204" width="1.8515625" style="292" customWidth="1"/>
    <col min="7205" max="7205" width="16.7109375" style="292" customWidth="1"/>
    <col min="7206" max="7415" width="11.00390625" style="292" customWidth="1"/>
    <col min="7416" max="7416" width="7.57421875" style="292" customWidth="1"/>
    <col min="7417" max="7417" width="15.57421875" style="292" customWidth="1"/>
    <col min="7418" max="7418" width="20.140625" style="292" customWidth="1"/>
    <col min="7419" max="7419" width="2.28125" style="292" customWidth="1"/>
    <col min="7420" max="7420" width="17.421875" style="292" customWidth="1"/>
    <col min="7421" max="7421" width="1.8515625" style="292" customWidth="1"/>
    <col min="7422" max="7422" width="18.7109375" style="292" customWidth="1"/>
    <col min="7423" max="7423" width="1.8515625" style="292" customWidth="1"/>
    <col min="7424" max="7424" width="23.00390625" style="292" customWidth="1"/>
    <col min="7425" max="7425" width="1.8515625" style="292" customWidth="1"/>
    <col min="7426" max="7426" width="17.421875" style="292" customWidth="1"/>
    <col min="7427" max="7427" width="3.00390625" style="292" customWidth="1"/>
    <col min="7428" max="7428" width="16.28125" style="292" customWidth="1"/>
    <col min="7429" max="7429" width="3.00390625" style="292" customWidth="1"/>
    <col min="7430" max="7430" width="14.140625" style="292" customWidth="1"/>
    <col min="7431" max="7431" width="2.00390625" style="292" customWidth="1"/>
    <col min="7432" max="7432" width="15.8515625" style="292" customWidth="1"/>
    <col min="7433" max="7433" width="3.140625" style="292" customWidth="1"/>
    <col min="7434" max="7434" width="17.8515625" style="292" customWidth="1"/>
    <col min="7435" max="7435" width="2.57421875" style="292" customWidth="1"/>
    <col min="7436" max="7436" width="15.57421875" style="292" customWidth="1"/>
    <col min="7437" max="7437" width="1.8515625" style="292" customWidth="1"/>
    <col min="7438" max="7438" width="14.140625" style="292" customWidth="1"/>
    <col min="7439" max="7439" width="11.00390625" style="292" customWidth="1"/>
    <col min="7440" max="7441" width="25.00390625" style="292" customWidth="1"/>
    <col min="7442" max="7442" width="1.8515625" style="292" customWidth="1"/>
    <col min="7443" max="7443" width="17.8515625" style="292" customWidth="1"/>
    <col min="7444" max="7444" width="1.8515625" style="292" customWidth="1"/>
    <col min="7445" max="7445" width="19.00390625" style="292" customWidth="1"/>
    <col min="7446" max="7446" width="1.8515625" style="292" customWidth="1"/>
    <col min="7447" max="7447" width="16.7109375" style="292" customWidth="1"/>
    <col min="7448" max="7448" width="1.8515625" style="292" customWidth="1"/>
    <col min="7449" max="7449" width="16.7109375" style="292" customWidth="1"/>
    <col min="7450" max="7450" width="1.8515625" style="292" customWidth="1"/>
    <col min="7451" max="7451" width="16.7109375" style="292" customWidth="1"/>
    <col min="7452" max="7452" width="1.8515625" style="292" customWidth="1"/>
    <col min="7453" max="7453" width="16.7109375" style="292" customWidth="1"/>
    <col min="7454" max="7454" width="1.8515625" style="292" customWidth="1"/>
    <col min="7455" max="7455" width="17.8515625" style="292" customWidth="1"/>
    <col min="7456" max="7456" width="5.28125" style="292" customWidth="1"/>
    <col min="7457" max="7457" width="16.7109375" style="292" customWidth="1"/>
    <col min="7458" max="7458" width="5.28125" style="292" customWidth="1"/>
    <col min="7459" max="7459" width="14.421875" style="292" customWidth="1"/>
    <col min="7460" max="7460" width="1.8515625" style="292" customWidth="1"/>
    <col min="7461" max="7461" width="16.7109375" style="292" customWidth="1"/>
    <col min="7462" max="7671" width="11.00390625" style="292" customWidth="1"/>
    <col min="7672" max="7672" width="7.57421875" style="292" customWidth="1"/>
    <col min="7673" max="7673" width="15.57421875" style="292" customWidth="1"/>
    <col min="7674" max="7674" width="20.140625" style="292" customWidth="1"/>
    <col min="7675" max="7675" width="2.28125" style="292" customWidth="1"/>
    <col min="7676" max="7676" width="17.421875" style="292" customWidth="1"/>
    <col min="7677" max="7677" width="1.8515625" style="292" customWidth="1"/>
    <col min="7678" max="7678" width="18.7109375" style="292" customWidth="1"/>
    <col min="7679" max="7679" width="1.8515625" style="292" customWidth="1"/>
    <col min="7680" max="7680" width="23.00390625" style="292" customWidth="1"/>
    <col min="7681" max="7681" width="1.8515625" style="292" customWidth="1"/>
    <col min="7682" max="7682" width="17.421875" style="292" customWidth="1"/>
    <col min="7683" max="7683" width="3.00390625" style="292" customWidth="1"/>
    <col min="7684" max="7684" width="16.28125" style="292" customWidth="1"/>
    <col min="7685" max="7685" width="3.00390625" style="292" customWidth="1"/>
    <col min="7686" max="7686" width="14.140625" style="292" customWidth="1"/>
    <col min="7687" max="7687" width="2.00390625" style="292" customWidth="1"/>
    <col min="7688" max="7688" width="15.8515625" style="292" customWidth="1"/>
    <col min="7689" max="7689" width="3.140625" style="292" customWidth="1"/>
    <col min="7690" max="7690" width="17.8515625" style="292" customWidth="1"/>
    <col min="7691" max="7691" width="2.57421875" style="292" customWidth="1"/>
    <col min="7692" max="7692" width="15.57421875" style="292" customWidth="1"/>
    <col min="7693" max="7693" width="1.8515625" style="292" customWidth="1"/>
    <col min="7694" max="7694" width="14.140625" style="292" customWidth="1"/>
    <col min="7695" max="7695" width="11.00390625" style="292" customWidth="1"/>
    <col min="7696" max="7697" width="25.00390625" style="292" customWidth="1"/>
    <col min="7698" max="7698" width="1.8515625" style="292" customWidth="1"/>
    <col min="7699" max="7699" width="17.8515625" style="292" customWidth="1"/>
    <col min="7700" max="7700" width="1.8515625" style="292" customWidth="1"/>
    <col min="7701" max="7701" width="19.00390625" style="292" customWidth="1"/>
    <col min="7702" max="7702" width="1.8515625" style="292" customWidth="1"/>
    <col min="7703" max="7703" width="16.7109375" style="292" customWidth="1"/>
    <col min="7704" max="7704" width="1.8515625" style="292" customWidth="1"/>
    <col min="7705" max="7705" width="16.7109375" style="292" customWidth="1"/>
    <col min="7706" max="7706" width="1.8515625" style="292" customWidth="1"/>
    <col min="7707" max="7707" width="16.7109375" style="292" customWidth="1"/>
    <col min="7708" max="7708" width="1.8515625" style="292" customWidth="1"/>
    <col min="7709" max="7709" width="16.7109375" style="292" customWidth="1"/>
    <col min="7710" max="7710" width="1.8515625" style="292" customWidth="1"/>
    <col min="7711" max="7711" width="17.8515625" style="292" customWidth="1"/>
    <col min="7712" max="7712" width="5.28125" style="292" customWidth="1"/>
    <col min="7713" max="7713" width="16.7109375" style="292" customWidth="1"/>
    <col min="7714" max="7714" width="5.28125" style="292" customWidth="1"/>
    <col min="7715" max="7715" width="14.421875" style="292" customWidth="1"/>
    <col min="7716" max="7716" width="1.8515625" style="292" customWidth="1"/>
    <col min="7717" max="7717" width="16.7109375" style="292" customWidth="1"/>
    <col min="7718" max="7927" width="11.00390625" style="292" customWidth="1"/>
    <col min="7928" max="7928" width="7.57421875" style="292" customWidth="1"/>
    <col min="7929" max="7929" width="15.57421875" style="292" customWidth="1"/>
    <col min="7930" max="7930" width="20.140625" style="292" customWidth="1"/>
    <col min="7931" max="7931" width="2.28125" style="292" customWidth="1"/>
    <col min="7932" max="7932" width="17.421875" style="292" customWidth="1"/>
    <col min="7933" max="7933" width="1.8515625" style="292" customWidth="1"/>
    <col min="7934" max="7934" width="18.7109375" style="292" customWidth="1"/>
    <col min="7935" max="7935" width="1.8515625" style="292" customWidth="1"/>
    <col min="7936" max="7936" width="23.00390625" style="292" customWidth="1"/>
    <col min="7937" max="7937" width="1.8515625" style="292" customWidth="1"/>
    <col min="7938" max="7938" width="17.421875" style="292" customWidth="1"/>
    <col min="7939" max="7939" width="3.00390625" style="292" customWidth="1"/>
    <col min="7940" max="7940" width="16.28125" style="292" customWidth="1"/>
    <col min="7941" max="7941" width="3.00390625" style="292" customWidth="1"/>
    <col min="7942" max="7942" width="14.140625" style="292" customWidth="1"/>
    <col min="7943" max="7943" width="2.00390625" style="292" customWidth="1"/>
    <col min="7944" max="7944" width="15.8515625" style="292" customWidth="1"/>
    <col min="7945" max="7945" width="3.140625" style="292" customWidth="1"/>
    <col min="7946" max="7946" width="17.8515625" style="292" customWidth="1"/>
    <col min="7947" max="7947" width="2.57421875" style="292" customWidth="1"/>
    <col min="7948" max="7948" width="15.57421875" style="292" customWidth="1"/>
    <col min="7949" max="7949" width="1.8515625" style="292" customWidth="1"/>
    <col min="7950" max="7950" width="14.140625" style="292" customWidth="1"/>
    <col min="7951" max="7951" width="11.00390625" style="292" customWidth="1"/>
    <col min="7952" max="7953" width="25.00390625" style="292" customWidth="1"/>
    <col min="7954" max="7954" width="1.8515625" style="292" customWidth="1"/>
    <col min="7955" max="7955" width="17.8515625" style="292" customWidth="1"/>
    <col min="7956" max="7956" width="1.8515625" style="292" customWidth="1"/>
    <col min="7957" max="7957" width="19.00390625" style="292" customWidth="1"/>
    <col min="7958" max="7958" width="1.8515625" style="292" customWidth="1"/>
    <col min="7959" max="7959" width="16.7109375" style="292" customWidth="1"/>
    <col min="7960" max="7960" width="1.8515625" style="292" customWidth="1"/>
    <col min="7961" max="7961" width="16.7109375" style="292" customWidth="1"/>
    <col min="7962" max="7962" width="1.8515625" style="292" customWidth="1"/>
    <col min="7963" max="7963" width="16.7109375" style="292" customWidth="1"/>
    <col min="7964" max="7964" width="1.8515625" style="292" customWidth="1"/>
    <col min="7965" max="7965" width="16.7109375" style="292" customWidth="1"/>
    <col min="7966" max="7966" width="1.8515625" style="292" customWidth="1"/>
    <col min="7967" max="7967" width="17.8515625" style="292" customWidth="1"/>
    <col min="7968" max="7968" width="5.28125" style="292" customWidth="1"/>
    <col min="7969" max="7969" width="16.7109375" style="292" customWidth="1"/>
    <col min="7970" max="7970" width="5.28125" style="292" customWidth="1"/>
    <col min="7971" max="7971" width="14.421875" style="292" customWidth="1"/>
    <col min="7972" max="7972" width="1.8515625" style="292" customWidth="1"/>
    <col min="7973" max="7973" width="16.7109375" style="292" customWidth="1"/>
    <col min="7974" max="8183" width="11.00390625" style="292" customWidth="1"/>
    <col min="8184" max="8184" width="7.57421875" style="292" customWidth="1"/>
    <col min="8185" max="8185" width="15.57421875" style="292" customWidth="1"/>
    <col min="8186" max="8186" width="20.140625" style="292" customWidth="1"/>
    <col min="8187" max="8187" width="2.28125" style="292" customWidth="1"/>
    <col min="8188" max="8188" width="17.421875" style="292" customWidth="1"/>
    <col min="8189" max="8189" width="1.8515625" style="292" customWidth="1"/>
    <col min="8190" max="8190" width="18.7109375" style="292" customWidth="1"/>
    <col min="8191" max="8191" width="1.8515625" style="292" customWidth="1"/>
    <col min="8192" max="8192" width="23.00390625" style="292" customWidth="1"/>
    <col min="8193" max="8193" width="1.8515625" style="292" customWidth="1"/>
    <col min="8194" max="8194" width="17.421875" style="292" customWidth="1"/>
    <col min="8195" max="8195" width="3.00390625" style="292" customWidth="1"/>
    <col min="8196" max="8196" width="16.28125" style="292" customWidth="1"/>
    <col min="8197" max="8197" width="3.00390625" style="292" customWidth="1"/>
    <col min="8198" max="8198" width="14.140625" style="292" customWidth="1"/>
    <col min="8199" max="8199" width="2.00390625" style="292" customWidth="1"/>
    <col min="8200" max="8200" width="15.8515625" style="292" customWidth="1"/>
    <col min="8201" max="8201" width="3.140625" style="292" customWidth="1"/>
    <col min="8202" max="8202" width="17.8515625" style="292" customWidth="1"/>
    <col min="8203" max="8203" width="2.57421875" style="292" customWidth="1"/>
    <col min="8204" max="8204" width="15.57421875" style="292" customWidth="1"/>
    <col min="8205" max="8205" width="1.8515625" style="292" customWidth="1"/>
    <col min="8206" max="8206" width="14.140625" style="292" customWidth="1"/>
    <col min="8207" max="8207" width="11.00390625" style="292" customWidth="1"/>
    <col min="8208" max="8209" width="25.00390625" style="292" customWidth="1"/>
    <col min="8210" max="8210" width="1.8515625" style="292" customWidth="1"/>
    <col min="8211" max="8211" width="17.8515625" style="292" customWidth="1"/>
    <col min="8212" max="8212" width="1.8515625" style="292" customWidth="1"/>
    <col min="8213" max="8213" width="19.00390625" style="292" customWidth="1"/>
    <col min="8214" max="8214" width="1.8515625" style="292" customWidth="1"/>
    <col min="8215" max="8215" width="16.7109375" style="292" customWidth="1"/>
    <col min="8216" max="8216" width="1.8515625" style="292" customWidth="1"/>
    <col min="8217" max="8217" width="16.7109375" style="292" customWidth="1"/>
    <col min="8218" max="8218" width="1.8515625" style="292" customWidth="1"/>
    <col min="8219" max="8219" width="16.7109375" style="292" customWidth="1"/>
    <col min="8220" max="8220" width="1.8515625" style="292" customWidth="1"/>
    <col min="8221" max="8221" width="16.7109375" style="292" customWidth="1"/>
    <col min="8222" max="8222" width="1.8515625" style="292" customWidth="1"/>
    <col min="8223" max="8223" width="17.8515625" style="292" customWidth="1"/>
    <col min="8224" max="8224" width="5.28125" style="292" customWidth="1"/>
    <col min="8225" max="8225" width="16.7109375" style="292" customWidth="1"/>
    <col min="8226" max="8226" width="5.28125" style="292" customWidth="1"/>
    <col min="8227" max="8227" width="14.421875" style="292" customWidth="1"/>
    <col min="8228" max="8228" width="1.8515625" style="292" customWidth="1"/>
    <col min="8229" max="8229" width="16.7109375" style="292" customWidth="1"/>
    <col min="8230" max="8439" width="11.00390625" style="292" customWidth="1"/>
    <col min="8440" max="8440" width="7.57421875" style="292" customWidth="1"/>
    <col min="8441" max="8441" width="15.57421875" style="292" customWidth="1"/>
    <col min="8442" max="8442" width="20.140625" style="292" customWidth="1"/>
    <col min="8443" max="8443" width="2.28125" style="292" customWidth="1"/>
    <col min="8444" max="8444" width="17.421875" style="292" customWidth="1"/>
    <col min="8445" max="8445" width="1.8515625" style="292" customWidth="1"/>
    <col min="8446" max="8446" width="18.7109375" style="292" customWidth="1"/>
    <col min="8447" max="8447" width="1.8515625" style="292" customWidth="1"/>
    <col min="8448" max="8448" width="23.00390625" style="292" customWidth="1"/>
    <col min="8449" max="8449" width="1.8515625" style="292" customWidth="1"/>
    <col min="8450" max="8450" width="17.421875" style="292" customWidth="1"/>
    <col min="8451" max="8451" width="3.00390625" style="292" customWidth="1"/>
    <col min="8452" max="8452" width="16.28125" style="292" customWidth="1"/>
    <col min="8453" max="8453" width="3.00390625" style="292" customWidth="1"/>
    <col min="8454" max="8454" width="14.140625" style="292" customWidth="1"/>
    <col min="8455" max="8455" width="2.00390625" style="292" customWidth="1"/>
    <col min="8456" max="8456" width="15.8515625" style="292" customWidth="1"/>
    <col min="8457" max="8457" width="3.140625" style="292" customWidth="1"/>
    <col min="8458" max="8458" width="17.8515625" style="292" customWidth="1"/>
    <col min="8459" max="8459" width="2.57421875" style="292" customWidth="1"/>
    <col min="8460" max="8460" width="15.57421875" style="292" customWidth="1"/>
    <col min="8461" max="8461" width="1.8515625" style="292" customWidth="1"/>
    <col min="8462" max="8462" width="14.140625" style="292" customWidth="1"/>
    <col min="8463" max="8463" width="11.00390625" style="292" customWidth="1"/>
    <col min="8464" max="8465" width="25.00390625" style="292" customWidth="1"/>
    <col min="8466" max="8466" width="1.8515625" style="292" customWidth="1"/>
    <col min="8467" max="8467" width="17.8515625" style="292" customWidth="1"/>
    <col min="8468" max="8468" width="1.8515625" style="292" customWidth="1"/>
    <col min="8469" max="8469" width="19.00390625" style="292" customWidth="1"/>
    <col min="8470" max="8470" width="1.8515625" style="292" customWidth="1"/>
    <col min="8471" max="8471" width="16.7109375" style="292" customWidth="1"/>
    <col min="8472" max="8472" width="1.8515625" style="292" customWidth="1"/>
    <col min="8473" max="8473" width="16.7109375" style="292" customWidth="1"/>
    <col min="8474" max="8474" width="1.8515625" style="292" customWidth="1"/>
    <col min="8475" max="8475" width="16.7109375" style="292" customWidth="1"/>
    <col min="8476" max="8476" width="1.8515625" style="292" customWidth="1"/>
    <col min="8477" max="8477" width="16.7109375" style="292" customWidth="1"/>
    <col min="8478" max="8478" width="1.8515625" style="292" customWidth="1"/>
    <col min="8479" max="8479" width="17.8515625" style="292" customWidth="1"/>
    <col min="8480" max="8480" width="5.28125" style="292" customWidth="1"/>
    <col min="8481" max="8481" width="16.7109375" style="292" customWidth="1"/>
    <col min="8482" max="8482" width="5.28125" style="292" customWidth="1"/>
    <col min="8483" max="8483" width="14.421875" style="292" customWidth="1"/>
    <col min="8484" max="8484" width="1.8515625" style="292" customWidth="1"/>
    <col min="8485" max="8485" width="16.7109375" style="292" customWidth="1"/>
    <col min="8486" max="8695" width="11.00390625" style="292" customWidth="1"/>
    <col min="8696" max="8696" width="7.57421875" style="292" customWidth="1"/>
    <col min="8697" max="8697" width="15.57421875" style="292" customWidth="1"/>
    <col min="8698" max="8698" width="20.140625" style="292" customWidth="1"/>
    <col min="8699" max="8699" width="2.28125" style="292" customWidth="1"/>
    <col min="8700" max="8700" width="17.421875" style="292" customWidth="1"/>
    <col min="8701" max="8701" width="1.8515625" style="292" customWidth="1"/>
    <col min="8702" max="8702" width="18.7109375" style="292" customWidth="1"/>
    <col min="8703" max="8703" width="1.8515625" style="292" customWidth="1"/>
    <col min="8704" max="8704" width="23.00390625" style="292" customWidth="1"/>
    <col min="8705" max="8705" width="1.8515625" style="292" customWidth="1"/>
    <col min="8706" max="8706" width="17.421875" style="292" customWidth="1"/>
    <col min="8707" max="8707" width="3.00390625" style="292" customWidth="1"/>
    <col min="8708" max="8708" width="16.28125" style="292" customWidth="1"/>
    <col min="8709" max="8709" width="3.00390625" style="292" customWidth="1"/>
    <col min="8710" max="8710" width="14.140625" style="292" customWidth="1"/>
    <col min="8711" max="8711" width="2.00390625" style="292" customWidth="1"/>
    <col min="8712" max="8712" width="15.8515625" style="292" customWidth="1"/>
    <col min="8713" max="8713" width="3.140625" style="292" customWidth="1"/>
    <col min="8714" max="8714" width="17.8515625" style="292" customWidth="1"/>
    <col min="8715" max="8715" width="2.57421875" style="292" customWidth="1"/>
    <col min="8716" max="8716" width="15.57421875" style="292" customWidth="1"/>
    <col min="8717" max="8717" width="1.8515625" style="292" customWidth="1"/>
    <col min="8718" max="8718" width="14.140625" style="292" customWidth="1"/>
    <col min="8719" max="8719" width="11.00390625" style="292" customWidth="1"/>
    <col min="8720" max="8721" width="25.00390625" style="292" customWidth="1"/>
    <col min="8722" max="8722" width="1.8515625" style="292" customWidth="1"/>
    <col min="8723" max="8723" width="17.8515625" style="292" customWidth="1"/>
    <col min="8724" max="8724" width="1.8515625" style="292" customWidth="1"/>
    <col min="8725" max="8725" width="19.00390625" style="292" customWidth="1"/>
    <col min="8726" max="8726" width="1.8515625" style="292" customWidth="1"/>
    <col min="8727" max="8727" width="16.7109375" style="292" customWidth="1"/>
    <col min="8728" max="8728" width="1.8515625" style="292" customWidth="1"/>
    <col min="8729" max="8729" width="16.7109375" style="292" customWidth="1"/>
    <col min="8730" max="8730" width="1.8515625" style="292" customWidth="1"/>
    <col min="8731" max="8731" width="16.7109375" style="292" customWidth="1"/>
    <col min="8732" max="8732" width="1.8515625" style="292" customWidth="1"/>
    <col min="8733" max="8733" width="16.7109375" style="292" customWidth="1"/>
    <col min="8734" max="8734" width="1.8515625" style="292" customWidth="1"/>
    <col min="8735" max="8735" width="17.8515625" style="292" customWidth="1"/>
    <col min="8736" max="8736" width="5.28125" style="292" customWidth="1"/>
    <col min="8737" max="8737" width="16.7109375" style="292" customWidth="1"/>
    <col min="8738" max="8738" width="5.28125" style="292" customWidth="1"/>
    <col min="8739" max="8739" width="14.421875" style="292" customWidth="1"/>
    <col min="8740" max="8740" width="1.8515625" style="292" customWidth="1"/>
    <col min="8741" max="8741" width="16.7109375" style="292" customWidth="1"/>
    <col min="8742" max="8951" width="11.00390625" style="292" customWidth="1"/>
    <col min="8952" max="8952" width="7.57421875" style="292" customWidth="1"/>
    <col min="8953" max="8953" width="15.57421875" style="292" customWidth="1"/>
    <col min="8954" max="8954" width="20.140625" style="292" customWidth="1"/>
    <col min="8955" max="8955" width="2.28125" style="292" customWidth="1"/>
    <col min="8956" max="8956" width="17.421875" style="292" customWidth="1"/>
    <col min="8957" max="8957" width="1.8515625" style="292" customWidth="1"/>
    <col min="8958" max="8958" width="18.7109375" style="292" customWidth="1"/>
    <col min="8959" max="8959" width="1.8515625" style="292" customWidth="1"/>
    <col min="8960" max="8960" width="23.00390625" style="292" customWidth="1"/>
    <col min="8961" max="8961" width="1.8515625" style="292" customWidth="1"/>
    <col min="8962" max="8962" width="17.421875" style="292" customWidth="1"/>
    <col min="8963" max="8963" width="3.00390625" style="292" customWidth="1"/>
    <col min="8964" max="8964" width="16.28125" style="292" customWidth="1"/>
    <col min="8965" max="8965" width="3.00390625" style="292" customWidth="1"/>
    <col min="8966" max="8966" width="14.140625" style="292" customWidth="1"/>
    <col min="8967" max="8967" width="2.00390625" style="292" customWidth="1"/>
    <col min="8968" max="8968" width="15.8515625" style="292" customWidth="1"/>
    <col min="8969" max="8969" width="3.140625" style="292" customWidth="1"/>
    <col min="8970" max="8970" width="17.8515625" style="292" customWidth="1"/>
    <col min="8971" max="8971" width="2.57421875" style="292" customWidth="1"/>
    <col min="8972" max="8972" width="15.57421875" style="292" customWidth="1"/>
    <col min="8973" max="8973" width="1.8515625" style="292" customWidth="1"/>
    <col min="8974" max="8974" width="14.140625" style="292" customWidth="1"/>
    <col min="8975" max="8975" width="11.00390625" style="292" customWidth="1"/>
    <col min="8976" max="8977" width="25.00390625" style="292" customWidth="1"/>
    <col min="8978" max="8978" width="1.8515625" style="292" customWidth="1"/>
    <col min="8979" max="8979" width="17.8515625" style="292" customWidth="1"/>
    <col min="8980" max="8980" width="1.8515625" style="292" customWidth="1"/>
    <col min="8981" max="8981" width="19.00390625" style="292" customWidth="1"/>
    <col min="8982" max="8982" width="1.8515625" style="292" customWidth="1"/>
    <col min="8983" max="8983" width="16.7109375" style="292" customWidth="1"/>
    <col min="8984" max="8984" width="1.8515625" style="292" customWidth="1"/>
    <col min="8985" max="8985" width="16.7109375" style="292" customWidth="1"/>
    <col min="8986" max="8986" width="1.8515625" style="292" customWidth="1"/>
    <col min="8987" max="8987" width="16.7109375" style="292" customWidth="1"/>
    <col min="8988" max="8988" width="1.8515625" style="292" customWidth="1"/>
    <col min="8989" max="8989" width="16.7109375" style="292" customWidth="1"/>
    <col min="8990" max="8990" width="1.8515625" style="292" customWidth="1"/>
    <col min="8991" max="8991" width="17.8515625" style="292" customWidth="1"/>
    <col min="8992" max="8992" width="5.28125" style="292" customWidth="1"/>
    <col min="8993" max="8993" width="16.7109375" style="292" customWidth="1"/>
    <col min="8994" max="8994" width="5.28125" style="292" customWidth="1"/>
    <col min="8995" max="8995" width="14.421875" style="292" customWidth="1"/>
    <col min="8996" max="8996" width="1.8515625" style="292" customWidth="1"/>
    <col min="8997" max="8997" width="16.7109375" style="292" customWidth="1"/>
    <col min="8998" max="9207" width="11.00390625" style="292" customWidth="1"/>
    <col min="9208" max="9208" width="7.57421875" style="292" customWidth="1"/>
    <col min="9209" max="9209" width="15.57421875" style="292" customWidth="1"/>
    <col min="9210" max="9210" width="20.140625" style="292" customWidth="1"/>
    <col min="9211" max="9211" width="2.28125" style="292" customWidth="1"/>
    <col min="9212" max="9212" width="17.421875" style="292" customWidth="1"/>
    <col min="9213" max="9213" width="1.8515625" style="292" customWidth="1"/>
    <col min="9214" max="9214" width="18.7109375" style="292" customWidth="1"/>
    <col min="9215" max="9215" width="1.8515625" style="292" customWidth="1"/>
    <col min="9216" max="9216" width="23.00390625" style="292" customWidth="1"/>
    <col min="9217" max="9217" width="1.8515625" style="292" customWidth="1"/>
    <col min="9218" max="9218" width="17.421875" style="292" customWidth="1"/>
    <col min="9219" max="9219" width="3.00390625" style="292" customWidth="1"/>
    <col min="9220" max="9220" width="16.28125" style="292" customWidth="1"/>
    <col min="9221" max="9221" width="3.00390625" style="292" customWidth="1"/>
    <col min="9222" max="9222" width="14.140625" style="292" customWidth="1"/>
    <col min="9223" max="9223" width="2.00390625" style="292" customWidth="1"/>
    <col min="9224" max="9224" width="15.8515625" style="292" customWidth="1"/>
    <col min="9225" max="9225" width="3.140625" style="292" customWidth="1"/>
    <col min="9226" max="9226" width="17.8515625" style="292" customWidth="1"/>
    <col min="9227" max="9227" width="2.57421875" style="292" customWidth="1"/>
    <col min="9228" max="9228" width="15.57421875" style="292" customWidth="1"/>
    <col min="9229" max="9229" width="1.8515625" style="292" customWidth="1"/>
    <col min="9230" max="9230" width="14.140625" style="292" customWidth="1"/>
    <col min="9231" max="9231" width="11.00390625" style="292" customWidth="1"/>
    <col min="9232" max="9233" width="25.00390625" style="292" customWidth="1"/>
    <col min="9234" max="9234" width="1.8515625" style="292" customWidth="1"/>
    <col min="9235" max="9235" width="17.8515625" style="292" customWidth="1"/>
    <col min="9236" max="9236" width="1.8515625" style="292" customWidth="1"/>
    <col min="9237" max="9237" width="19.00390625" style="292" customWidth="1"/>
    <col min="9238" max="9238" width="1.8515625" style="292" customWidth="1"/>
    <col min="9239" max="9239" width="16.7109375" style="292" customWidth="1"/>
    <col min="9240" max="9240" width="1.8515625" style="292" customWidth="1"/>
    <col min="9241" max="9241" width="16.7109375" style="292" customWidth="1"/>
    <col min="9242" max="9242" width="1.8515625" style="292" customWidth="1"/>
    <col min="9243" max="9243" width="16.7109375" style="292" customWidth="1"/>
    <col min="9244" max="9244" width="1.8515625" style="292" customWidth="1"/>
    <col min="9245" max="9245" width="16.7109375" style="292" customWidth="1"/>
    <col min="9246" max="9246" width="1.8515625" style="292" customWidth="1"/>
    <col min="9247" max="9247" width="17.8515625" style="292" customWidth="1"/>
    <col min="9248" max="9248" width="5.28125" style="292" customWidth="1"/>
    <col min="9249" max="9249" width="16.7109375" style="292" customWidth="1"/>
    <col min="9250" max="9250" width="5.28125" style="292" customWidth="1"/>
    <col min="9251" max="9251" width="14.421875" style="292" customWidth="1"/>
    <col min="9252" max="9252" width="1.8515625" style="292" customWidth="1"/>
    <col min="9253" max="9253" width="16.7109375" style="292" customWidth="1"/>
    <col min="9254" max="9463" width="11.00390625" style="292" customWidth="1"/>
    <col min="9464" max="9464" width="7.57421875" style="292" customWidth="1"/>
    <col min="9465" max="9465" width="15.57421875" style="292" customWidth="1"/>
    <col min="9466" max="9466" width="20.140625" style="292" customWidth="1"/>
    <col min="9467" max="9467" width="2.28125" style="292" customWidth="1"/>
    <col min="9468" max="9468" width="17.421875" style="292" customWidth="1"/>
    <col min="9469" max="9469" width="1.8515625" style="292" customWidth="1"/>
    <col min="9470" max="9470" width="18.7109375" style="292" customWidth="1"/>
    <col min="9471" max="9471" width="1.8515625" style="292" customWidth="1"/>
    <col min="9472" max="9472" width="23.00390625" style="292" customWidth="1"/>
    <col min="9473" max="9473" width="1.8515625" style="292" customWidth="1"/>
    <col min="9474" max="9474" width="17.421875" style="292" customWidth="1"/>
    <col min="9475" max="9475" width="3.00390625" style="292" customWidth="1"/>
    <col min="9476" max="9476" width="16.28125" style="292" customWidth="1"/>
    <col min="9477" max="9477" width="3.00390625" style="292" customWidth="1"/>
    <col min="9478" max="9478" width="14.140625" style="292" customWidth="1"/>
    <col min="9479" max="9479" width="2.00390625" style="292" customWidth="1"/>
    <col min="9480" max="9480" width="15.8515625" style="292" customWidth="1"/>
    <col min="9481" max="9481" width="3.140625" style="292" customWidth="1"/>
    <col min="9482" max="9482" width="17.8515625" style="292" customWidth="1"/>
    <col min="9483" max="9483" width="2.57421875" style="292" customWidth="1"/>
    <col min="9484" max="9484" width="15.57421875" style="292" customWidth="1"/>
    <col min="9485" max="9485" width="1.8515625" style="292" customWidth="1"/>
    <col min="9486" max="9486" width="14.140625" style="292" customWidth="1"/>
    <col min="9487" max="9487" width="11.00390625" style="292" customWidth="1"/>
    <col min="9488" max="9489" width="25.00390625" style="292" customWidth="1"/>
    <col min="9490" max="9490" width="1.8515625" style="292" customWidth="1"/>
    <col min="9491" max="9491" width="17.8515625" style="292" customWidth="1"/>
    <col min="9492" max="9492" width="1.8515625" style="292" customWidth="1"/>
    <col min="9493" max="9493" width="19.00390625" style="292" customWidth="1"/>
    <col min="9494" max="9494" width="1.8515625" style="292" customWidth="1"/>
    <col min="9495" max="9495" width="16.7109375" style="292" customWidth="1"/>
    <col min="9496" max="9496" width="1.8515625" style="292" customWidth="1"/>
    <col min="9497" max="9497" width="16.7109375" style="292" customWidth="1"/>
    <col min="9498" max="9498" width="1.8515625" style="292" customWidth="1"/>
    <col min="9499" max="9499" width="16.7109375" style="292" customWidth="1"/>
    <col min="9500" max="9500" width="1.8515625" style="292" customWidth="1"/>
    <col min="9501" max="9501" width="16.7109375" style="292" customWidth="1"/>
    <col min="9502" max="9502" width="1.8515625" style="292" customWidth="1"/>
    <col min="9503" max="9503" width="17.8515625" style="292" customWidth="1"/>
    <col min="9504" max="9504" width="5.28125" style="292" customWidth="1"/>
    <col min="9505" max="9505" width="16.7109375" style="292" customWidth="1"/>
    <col min="9506" max="9506" width="5.28125" style="292" customWidth="1"/>
    <col min="9507" max="9507" width="14.421875" style="292" customWidth="1"/>
    <col min="9508" max="9508" width="1.8515625" style="292" customWidth="1"/>
    <col min="9509" max="9509" width="16.7109375" style="292" customWidth="1"/>
    <col min="9510" max="9719" width="11.00390625" style="292" customWidth="1"/>
    <col min="9720" max="9720" width="7.57421875" style="292" customWidth="1"/>
    <col min="9721" max="9721" width="15.57421875" style="292" customWidth="1"/>
    <col min="9722" max="9722" width="20.140625" style="292" customWidth="1"/>
    <col min="9723" max="9723" width="2.28125" style="292" customWidth="1"/>
    <col min="9724" max="9724" width="17.421875" style="292" customWidth="1"/>
    <col min="9725" max="9725" width="1.8515625" style="292" customWidth="1"/>
    <col min="9726" max="9726" width="18.7109375" style="292" customWidth="1"/>
    <col min="9727" max="9727" width="1.8515625" style="292" customWidth="1"/>
    <col min="9728" max="9728" width="23.00390625" style="292" customWidth="1"/>
    <col min="9729" max="9729" width="1.8515625" style="292" customWidth="1"/>
    <col min="9730" max="9730" width="17.421875" style="292" customWidth="1"/>
    <col min="9731" max="9731" width="3.00390625" style="292" customWidth="1"/>
    <col min="9732" max="9732" width="16.28125" style="292" customWidth="1"/>
    <col min="9733" max="9733" width="3.00390625" style="292" customWidth="1"/>
    <col min="9734" max="9734" width="14.140625" style="292" customWidth="1"/>
    <col min="9735" max="9735" width="2.00390625" style="292" customWidth="1"/>
    <col min="9736" max="9736" width="15.8515625" style="292" customWidth="1"/>
    <col min="9737" max="9737" width="3.140625" style="292" customWidth="1"/>
    <col min="9738" max="9738" width="17.8515625" style="292" customWidth="1"/>
    <col min="9739" max="9739" width="2.57421875" style="292" customWidth="1"/>
    <col min="9740" max="9740" width="15.57421875" style="292" customWidth="1"/>
    <col min="9741" max="9741" width="1.8515625" style="292" customWidth="1"/>
    <col min="9742" max="9742" width="14.140625" style="292" customWidth="1"/>
    <col min="9743" max="9743" width="11.00390625" style="292" customWidth="1"/>
    <col min="9744" max="9745" width="25.00390625" style="292" customWidth="1"/>
    <col min="9746" max="9746" width="1.8515625" style="292" customWidth="1"/>
    <col min="9747" max="9747" width="17.8515625" style="292" customWidth="1"/>
    <col min="9748" max="9748" width="1.8515625" style="292" customWidth="1"/>
    <col min="9749" max="9749" width="19.00390625" style="292" customWidth="1"/>
    <col min="9750" max="9750" width="1.8515625" style="292" customWidth="1"/>
    <col min="9751" max="9751" width="16.7109375" style="292" customWidth="1"/>
    <col min="9752" max="9752" width="1.8515625" style="292" customWidth="1"/>
    <col min="9753" max="9753" width="16.7109375" style="292" customWidth="1"/>
    <col min="9754" max="9754" width="1.8515625" style="292" customWidth="1"/>
    <col min="9755" max="9755" width="16.7109375" style="292" customWidth="1"/>
    <col min="9756" max="9756" width="1.8515625" style="292" customWidth="1"/>
    <col min="9757" max="9757" width="16.7109375" style="292" customWidth="1"/>
    <col min="9758" max="9758" width="1.8515625" style="292" customWidth="1"/>
    <col min="9759" max="9759" width="17.8515625" style="292" customWidth="1"/>
    <col min="9760" max="9760" width="5.28125" style="292" customWidth="1"/>
    <col min="9761" max="9761" width="16.7109375" style="292" customWidth="1"/>
    <col min="9762" max="9762" width="5.28125" style="292" customWidth="1"/>
    <col min="9763" max="9763" width="14.421875" style="292" customWidth="1"/>
    <col min="9764" max="9764" width="1.8515625" style="292" customWidth="1"/>
    <col min="9765" max="9765" width="16.7109375" style="292" customWidth="1"/>
    <col min="9766" max="9975" width="11.00390625" style="292" customWidth="1"/>
    <col min="9976" max="9976" width="7.57421875" style="292" customWidth="1"/>
    <col min="9977" max="9977" width="15.57421875" style="292" customWidth="1"/>
    <col min="9978" max="9978" width="20.140625" style="292" customWidth="1"/>
    <col min="9979" max="9979" width="2.28125" style="292" customWidth="1"/>
    <col min="9980" max="9980" width="17.421875" style="292" customWidth="1"/>
    <col min="9981" max="9981" width="1.8515625" style="292" customWidth="1"/>
    <col min="9982" max="9982" width="18.7109375" style="292" customWidth="1"/>
    <col min="9983" max="9983" width="1.8515625" style="292" customWidth="1"/>
    <col min="9984" max="9984" width="23.00390625" style="292" customWidth="1"/>
    <col min="9985" max="9985" width="1.8515625" style="292" customWidth="1"/>
    <col min="9986" max="9986" width="17.421875" style="292" customWidth="1"/>
    <col min="9987" max="9987" width="3.00390625" style="292" customWidth="1"/>
    <col min="9988" max="9988" width="16.28125" style="292" customWidth="1"/>
    <col min="9989" max="9989" width="3.00390625" style="292" customWidth="1"/>
    <col min="9990" max="9990" width="14.140625" style="292" customWidth="1"/>
    <col min="9991" max="9991" width="2.00390625" style="292" customWidth="1"/>
    <col min="9992" max="9992" width="15.8515625" style="292" customWidth="1"/>
    <col min="9993" max="9993" width="3.140625" style="292" customWidth="1"/>
    <col min="9994" max="9994" width="17.8515625" style="292" customWidth="1"/>
    <col min="9995" max="9995" width="2.57421875" style="292" customWidth="1"/>
    <col min="9996" max="9996" width="15.57421875" style="292" customWidth="1"/>
    <col min="9997" max="9997" width="1.8515625" style="292" customWidth="1"/>
    <col min="9998" max="9998" width="14.140625" style="292" customWidth="1"/>
    <col min="9999" max="9999" width="11.00390625" style="292" customWidth="1"/>
    <col min="10000" max="10001" width="25.00390625" style="292" customWidth="1"/>
    <col min="10002" max="10002" width="1.8515625" style="292" customWidth="1"/>
    <col min="10003" max="10003" width="17.8515625" style="292" customWidth="1"/>
    <col min="10004" max="10004" width="1.8515625" style="292" customWidth="1"/>
    <col min="10005" max="10005" width="19.00390625" style="292" customWidth="1"/>
    <col min="10006" max="10006" width="1.8515625" style="292" customWidth="1"/>
    <col min="10007" max="10007" width="16.7109375" style="292" customWidth="1"/>
    <col min="10008" max="10008" width="1.8515625" style="292" customWidth="1"/>
    <col min="10009" max="10009" width="16.7109375" style="292" customWidth="1"/>
    <col min="10010" max="10010" width="1.8515625" style="292" customWidth="1"/>
    <col min="10011" max="10011" width="16.7109375" style="292" customWidth="1"/>
    <col min="10012" max="10012" width="1.8515625" style="292" customWidth="1"/>
    <col min="10013" max="10013" width="16.7109375" style="292" customWidth="1"/>
    <col min="10014" max="10014" width="1.8515625" style="292" customWidth="1"/>
    <col min="10015" max="10015" width="17.8515625" style="292" customWidth="1"/>
    <col min="10016" max="10016" width="5.28125" style="292" customWidth="1"/>
    <col min="10017" max="10017" width="16.7109375" style="292" customWidth="1"/>
    <col min="10018" max="10018" width="5.28125" style="292" customWidth="1"/>
    <col min="10019" max="10019" width="14.421875" style="292" customWidth="1"/>
    <col min="10020" max="10020" width="1.8515625" style="292" customWidth="1"/>
    <col min="10021" max="10021" width="16.7109375" style="292" customWidth="1"/>
    <col min="10022" max="10231" width="11.00390625" style="292" customWidth="1"/>
    <col min="10232" max="10232" width="7.57421875" style="292" customWidth="1"/>
    <col min="10233" max="10233" width="15.57421875" style="292" customWidth="1"/>
    <col min="10234" max="10234" width="20.140625" style="292" customWidth="1"/>
    <col min="10235" max="10235" width="2.28125" style="292" customWidth="1"/>
    <col min="10236" max="10236" width="17.421875" style="292" customWidth="1"/>
    <col min="10237" max="10237" width="1.8515625" style="292" customWidth="1"/>
    <col min="10238" max="10238" width="18.7109375" style="292" customWidth="1"/>
    <col min="10239" max="10239" width="1.8515625" style="292" customWidth="1"/>
    <col min="10240" max="10240" width="23.00390625" style="292" customWidth="1"/>
    <col min="10241" max="10241" width="1.8515625" style="292" customWidth="1"/>
    <col min="10242" max="10242" width="17.421875" style="292" customWidth="1"/>
    <col min="10243" max="10243" width="3.00390625" style="292" customWidth="1"/>
    <col min="10244" max="10244" width="16.28125" style="292" customWidth="1"/>
    <col min="10245" max="10245" width="3.00390625" style="292" customWidth="1"/>
    <col min="10246" max="10246" width="14.140625" style="292" customWidth="1"/>
    <col min="10247" max="10247" width="2.00390625" style="292" customWidth="1"/>
    <col min="10248" max="10248" width="15.8515625" style="292" customWidth="1"/>
    <col min="10249" max="10249" width="3.140625" style="292" customWidth="1"/>
    <col min="10250" max="10250" width="17.8515625" style="292" customWidth="1"/>
    <col min="10251" max="10251" width="2.57421875" style="292" customWidth="1"/>
    <col min="10252" max="10252" width="15.57421875" style="292" customWidth="1"/>
    <col min="10253" max="10253" width="1.8515625" style="292" customWidth="1"/>
    <col min="10254" max="10254" width="14.140625" style="292" customWidth="1"/>
    <col min="10255" max="10255" width="11.00390625" style="292" customWidth="1"/>
    <col min="10256" max="10257" width="25.00390625" style="292" customWidth="1"/>
    <col min="10258" max="10258" width="1.8515625" style="292" customWidth="1"/>
    <col min="10259" max="10259" width="17.8515625" style="292" customWidth="1"/>
    <col min="10260" max="10260" width="1.8515625" style="292" customWidth="1"/>
    <col min="10261" max="10261" width="19.00390625" style="292" customWidth="1"/>
    <col min="10262" max="10262" width="1.8515625" style="292" customWidth="1"/>
    <col min="10263" max="10263" width="16.7109375" style="292" customWidth="1"/>
    <col min="10264" max="10264" width="1.8515625" style="292" customWidth="1"/>
    <col min="10265" max="10265" width="16.7109375" style="292" customWidth="1"/>
    <col min="10266" max="10266" width="1.8515625" style="292" customWidth="1"/>
    <col min="10267" max="10267" width="16.7109375" style="292" customWidth="1"/>
    <col min="10268" max="10268" width="1.8515625" style="292" customWidth="1"/>
    <col min="10269" max="10269" width="16.7109375" style="292" customWidth="1"/>
    <col min="10270" max="10270" width="1.8515625" style="292" customWidth="1"/>
    <col min="10271" max="10271" width="17.8515625" style="292" customWidth="1"/>
    <col min="10272" max="10272" width="5.28125" style="292" customWidth="1"/>
    <col min="10273" max="10273" width="16.7109375" style="292" customWidth="1"/>
    <col min="10274" max="10274" width="5.28125" style="292" customWidth="1"/>
    <col min="10275" max="10275" width="14.421875" style="292" customWidth="1"/>
    <col min="10276" max="10276" width="1.8515625" style="292" customWidth="1"/>
    <col min="10277" max="10277" width="16.7109375" style="292" customWidth="1"/>
    <col min="10278" max="10487" width="11.00390625" style="292" customWidth="1"/>
    <col min="10488" max="10488" width="7.57421875" style="292" customWidth="1"/>
    <col min="10489" max="10489" width="15.57421875" style="292" customWidth="1"/>
    <col min="10490" max="10490" width="20.140625" style="292" customWidth="1"/>
    <col min="10491" max="10491" width="2.28125" style="292" customWidth="1"/>
    <col min="10492" max="10492" width="17.421875" style="292" customWidth="1"/>
    <col min="10493" max="10493" width="1.8515625" style="292" customWidth="1"/>
    <col min="10494" max="10494" width="18.7109375" style="292" customWidth="1"/>
    <col min="10495" max="10495" width="1.8515625" style="292" customWidth="1"/>
    <col min="10496" max="10496" width="23.00390625" style="292" customWidth="1"/>
    <col min="10497" max="10497" width="1.8515625" style="292" customWidth="1"/>
    <col min="10498" max="10498" width="17.421875" style="292" customWidth="1"/>
    <col min="10499" max="10499" width="3.00390625" style="292" customWidth="1"/>
    <col min="10500" max="10500" width="16.28125" style="292" customWidth="1"/>
    <col min="10501" max="10501" width="3.00390625" style="292" customWidth="1"/>
    <col min="10502" max="10502" width="14.140625" style="292" customWidth="1"/>
    <col min="10503" max="10503" width="2.00390625" style="292" customWidth="1"/>
    <col min="10504" max="10504" width="15.8515625" style="292" customWidth="1"/>
    <col min="10505" max="10505" width="3.140625" style="292" customWidth="1"/>
    <col min="10506" max="10506" width="17.8515625" style="292" customWidth="1"/>
    <col min="10507" max="10507" width="2.57421875" style="292" customWidth="1"/>
    <col min="10508" max="10508" width="15.57421875" style="292" customWidth="1"/>
    <col min="10509" max="10509" width="1.8515625" style="292" customWidth="1"/>
    <col min="10510" max="10510" width="14.140625" style="292" customWidth="1"/>
    <col min="10511" max="10511" width="11.00390625" style="292" customWidth="1"/>
    <col min="10512" max="10513" width="25.00390625" style="292" customWidth="1"/>
    <col min="10514" max="10514" width="1.8515625" style="292" customWidth="1"/>
    <col min="10515" max="10515" width="17.8515625" style="292" customWidth="1"/>
    <col min="10516" max="10516" width="1.8515625" style="292" customWidth="1"/>
    <col min="10517" max="10517" width="19.00390625" style="292" customWidth="1"/>
    <col min="10518" max="10518" width="1.8515625" style="292" customWidth="1"/>
    <col min="10519" max="10519" width="16.7109375" style="292" customWidth="1"/>
    <col min="10520" max="10520" width="1.8515625" style="292" customWidth="1"/>
    <col min="10521" max="10521" width="16.7109375" style="292" customWidth="1"/>
    <col min="10522" max="10522" width="1.8515625" style="292" customWidth="1"/>
    <col min="10523" max="10523" width="16.7109375" style="292" customWidth="1"/>
    <col min="10524" max="10524" width="1.8515625" style="292" customWidth="1"/>
    <col min="10525" max="10525" width="16.7109375" style="292" customWidth="1"/>
    <col min="10526" max="10526" width="1.8515625" style="292" customWidth="1"/>
    <col min="10527" max="10527" width="17.8515625" style="292" customWidth="1"/>
    <col min="10528" max="10528" width="5.28125" style="292" customWidth="1"/>
    <col min="10529" max="10529" width="16.7109375" style="292" customWidth="1"/>
    <col min="10530" max="10530" width="5.28125" style="292" customWidth="1"/>
    <col min="10531" max="10531" width="14.421875" style="292" customWidth="1"/>
    <col min="10532" max="10532" width="1.8515625" style="292" customWidth="1"/>
    <col min="10533" max="10533" width="16.7109375" style="292" customWidth="1"/>
    <col min="10534" max="10743" width="11.00390625" style="292" customWidth="1"/>
    <col min="10744" max="10744" width="7.57421875" style="292" customWidth="1"/>
    <col min="10745" max="10745" width="15.57421875" style="292" customWidth="1"/>
    <col min="10746" max="10746" width="20.140625" style="292" customWidth="1"/>
    <col min="10747" max="10747" width="2.28125" style="292" customWidth="1"/>
    <col min="10748" max="10748" width="17.421875" style="292" customWidth="1"/>
    <col min="10749" max="10749" width="1.8515625" style="292" customWidth="1"/>
    <col min="10750" max="10750" width="18.7109375" style="292" customWidth="1"/>
    <col min="10751" max="10751" width="1.8515625" style="292" customWidth="1"/>
    <col min="10752" max="10752" width="23.00390625" style="292" customWidth="1"/>
    <col min="10753" max="10753" width="1.8515625" style="292" customWidth="1"/>
    <col min="10754" max="10754" width="17.421875" style="292" customWidth="1"/>
    <col min="10755" max="10755" width="3.00390625" style="292" customWidth="1"/>
    <col min="10756" max="10756" width="16.28125" style="292" customWidth="1"/>
    <col min="10757" max="10757" width="3.00390625" style="292" customWidth="1"/>
    <col min="10758" max="10758" width="14.140625" style="292" customWidth="1"/>
    <col min="10759" max="10759" width="2.00390625" style="292" customWidth="1"/>
    <col min="10760" max="10760" width="15.8515625" style="292" customWidth="1"/>
    <col min="10761" max="10761" width="3.140625" style="292" customWidth="1"/>
    <col min="10762" max="10762" width="17.8515625" style="292" customWidth="1"/>
    <col min="10763" max="10763" width="2.57421875" style="292" customWidth="1"/>
    <col min="10764" max="10764" width="15.57421875" style="292" customWidth="1"/>
    <col min="10765" max="10765" width="1.8515625" style="292" customWidth="1"/>
    <col min="10766" max="10766" width="14.140625" style="292" customWidth="1"/>
    <col min="10767" max="10767" width="11.00390625" style="292" customWidth="1"/>
    <col min="10768" max="10769" width="25.00390625" style="292" customWidth="1"/>
    <col min="10770" max="10770" width="1.8515625" style="292" customWidth="1"/>
    <col min="10771" max="10771" width="17.8515625" style="292" customWidth="1"/>
    <col min="10772" max="10772" width="1.8515625" style="292" customWidth="1"/>
    <col min="10773" max="10773" width="19.00390625" style="292" customWidth="1"/>
    <col min="10774" max="10774" width="1.8515625" style="292" customWidth="1"/>
    <col min="10775" max="10775" width="16.7109375" style="292" customWidth="1"/>
    <col min="10776" max="10776" width="1.8515625" style="292" customWidth="1"/>
    <col min="10777" max="10777" width="16.7109375" style="292" customWidth="1"/>
    <col min="10778" max="10778" width="1.8515625" style="292" customWidth="1"/>
    <col min="10779" max="10779" width="16.7109375" style="292" customWidth="1"/>
    <col min="10780" max="10780" width="1.8515625" style="292" customWidth="1"/>
    <col min="10781" max="10781" width="16.7109375" style="292" customWidth="1"/>
    <col min="10782" max="10782" width="1.8515625" style="292" customWidth="1"/>
    <col min="10783" max="10783" width="17.8515625" style="292" customWidth="1"/>
    <col min="10784" max="10784" width="5.28125" style="292" customWidth="1"/>
    <col min="10785" max="10785" width="16.7109375" style="292" customWidth="1"/>
    <col min="10786" max="10786" width="5.28125" style="292" customWidth="1"/>
    <col min="10787" max="10787" width="14.421875" style="292" customWidth="1"/>
    <col min="10788" max="10788" width="1.8515625" style="292" customWidth="1"/>
    <col min="10789" max="10789" width="16.7109375" style="292" customWidth="1"/>
    <col min="10790" max="10999" width="11.00390625" style="292" customWidth="1"/>
    <col min="11000" max="11000" width="7.57421875" style="292" customWidth="1"/>
    <col min="11001" max="11001" width="15.57421875" style="292" customWidth="1"/>
    <col min="11002" max="11002" width="20.140625" style="292" customWidth="1"/>
    <col min="11003" max="11003" width="2.28125" style="292" customWidth="1"/>
    <col min="11004" max="11004" width="17.421875" style="292" customWidth="1"/>
    <col min="11005" max="11005" width="1.8515625" style="292" customWidth="1"/>
    <col min="11006" max="11006" width="18.7109375" style="292" customWidth="1"/>
    <col min="11007" max="11007" width="1.8515625" style="292" customWidth="1"/>
    <col min="11008" max="11008" width="23.00390625" style="292" customWidth="1"/>
    <col min="11009" max="11009" width="1.8515625" style="292" customWidth="1"/>
    <col min="11010" max="11010" width="17.421875" style="292" customWidth="1"/>
    <col min="11011" max="11011" width="3.00390625" style="292" customWidth="1"/>
    <col min="11012" max="11012" width="16.28125" style="292" customWidth="1"/>
    <col min="11013" max="11013" width="3.00390625" style="292" customWidth="1"/>
    <col min="11014" max="11014" width="14.140625" style="292" customWidth="1"/>
    <col min="11015" max="11015" width="2.00390625" style="292" customWidth="1"/>
    <col min="11016" max="11016" width="15.8515625" style="292" customWidth="1"/>
    <col min="11017" max="11017" width="3.140625" style="292" customWidth="1"/>
    <col min="11018" max="11018" width="17.8515625" style="292" customWidth="1"/>
    <col min="11019" max="11019" width="2.57421875" style="292" customWidth="1"/>
    <col min="11020" max="11020" width="15.57421875" style="292" customWidth="1"/>
    <col min="11021" max="11021" width="1.8515625" style="292" customWidth="1"/>
    <col min="11022" max="11022" width="14.140625" style="292" customWidth="1"/>
    <col min="11023" max="11023" width="11.00390625" style="292" customWidth="1"/>
    <col min="11024" max="11025" width="25.00390625" style="292" customWidth="1"/>
    <col min="11026" max="11026" width="1.8515625" style="292" customWidth="1"/>
    <col min="11027" max="11027" width="17.8515625" style="292" customWidth="1"/>
    <col min="11028" max="11028" width="1.8515625" style="292" customWidth="1"/>
    <col min="11029" max="11029" width="19.00390625" style="292" customWidth="1"/>
    <col min="11030" max="11030" width="1.8515625" style="292" customWidth="1"/>
    <col min="11031" max="11031" width="16.7109375" style="292" customWidth="1"/>
    <col min="11032" max="11032" width="1.8515625" style="292" customWidth="1"/>
    <col min="11033" max="11033" width="16.7109375" style="292" customWidth="1"/>
    <col min="11034" max="11034" width="1.8515625" style="292" customWidth="1"/>
    <col min="11035" max="11035" width="16.7109375" style="292" customWidth="1"/>
    <col min="11036" max="11036" width="1.8515625" style="292" customWidth="1"/>
    <col min="11037" max="11037" width="16.7109375" style="292" customWidth="1"/>
    <col min="11038" max="11038" width="1.8515625" style="292" customWidth="1"/>
    <col min="11039" max="11039" width="17.8515625" style="292" customWidth="1"/>
    <col min="11040" max="11040" width="5.28125" style="292" customWidth="1"/>
    <col min="11041" max="11041" width="16.7109375" style="292" customWidth="1"/>
    <col min="11042" max="11042" width="5.28125" style="292" customWidth="1"/>
    <col min="11043" max="11043" width="14.421875" style="292" customWidth="1"/>
    <col min="11044" max="11044" width="1.8515625" style="292" customWidth="1"/>
    <col min="11045" max="11045" width="16.7109375" style="292" customWidth="1"/>
    <col min="11046" max="11255" width="11.00390625" style="292" customWidth="1"/>
    <col min="11256" max="11256" width="7.57421875" style="292" customWidth="1"/>
    <col min="11257" max="11257" width="15.57421875" style="292" customWidth="1"/>
    <col min="11258" max="11258" width="20.140625" style="292" customWidth="1"/>
    <col min="11259" max="11259" width="2.28125" style="292" customWidth="1"/>
    <col min="11260" max="11260" width="17.421875" style="292" customWidth="1"/>
    <col min="11261" max="11261" width="1.8515625" style="292" customWidth="1"/>
    <col min="11262" max="11262" width="18.7109375" style="292" customWidth="1"/>
    <col min="11263" max="11263" width="1.8515625" style="292" customWidth="1"/>
    <col min="11264" max="11264" width="23.00390625" style="292" customWidth="1"/>
    <col min="11265" max="11265" width="1.8515625" style="292" customWidth="1"/>
    <col min="11266" max="11266" width="17.421875" style="292" customWidth="1"/>
    <col min="11267" max="11267" width="3.00390625" style="292" customWidth="1"/>
    <col min="11268" max="11268" width="16.28125" style="292" customWidth="1"/>
    <col min="11269" max="11269" width="3.00390625" style="292" customWidth="1"/>
    <col min="11270" max="11270" width="14.140625" style="292" customWidth="1"/>
    <col min="11271" max="11271" width="2.00390625" style="292" customWidth="1"/>
    <col min="11272" max="11272" width="15.8515625" style="292" customWidth="1"/>
    <col min="11273" max="11273" width="3.140625" style="292" customWidth="1"/>
    <col min="11274" max="11274" width="17.8515625" style="292" customWidth="1"/>
    <col min="11275" max="11275" width="2.57421875" style="292" customWidth="1"/>
    <col min="11276" max="11276" width="15.57421875" style="292" customWidth="1"/>
    <col min="11277" max="11277" width="1.8515625" style="292" customWidth="1"/>
    <col min="11278" max="11278" width="14.140625" style="292" customWidth="1"/>
    <col min="11279" max="11279" width="11.00390625" style="292" customWidth="1"/>
    <col min="11280" max="11281" width="25.00390625" style="292" customWidth="1"/>
    <col min="11282" max="11282" width="1.8515625" style="292" customWidth="1"/>
    <col min="11283" max="11283" width="17.8515625" style="292" customWidth="1"/>
    <col min="11284" max="11284" width="1.8515625" style="292" customWidth="1"/>
    <col min="11285" max="11285" width="19.00390625" style="292" customWidth="1"/>
    <col min="11286" max="11286" width="1.8515625" style="292" customWidth="1"/>
    <col min="11287" max="11287" width="16.7109375" style="292" customWidth="1"/>
    <col min="11288" max="11288" width="1.8515625" style="292" customWidth="1"/>
    <col min="11289" max="11289" width="16.7109375" style="292" customWidth="1"/>
    <col min="11290" max="11290" width="1.8515625" style="292" customWidth="1"/>
    <col min="11291" max="11291" width="16.7109375" style="292" customWidth="1"/>
    <col min="11292" max="11292" width="1.8515625" style="292" customWidth="1"/>
    <col min="11293" max="11293" width="16.7109375" style="292" customWidth="1"/>
    <col min="11294" max="11294" width="1.8515625" style="292" customWidth="1"/>
    <col min="11295" max="11295" width="17.8515625" style="292" customWidth="1"/>
    <col min="11296" max="11296" width="5.28125" style="292" customWidth="1"/>
    <col min="11297" max="11297" width="16.7109375" style="292" customWidth="1"/>
    <col min="11298" max="11298" width="5.28125" style="292" customWidth="1"/>
    <col min="11299" max="11299" width="14.421875" style="292" customWidth="1"/>
    <col min="11300" max="11300" width="1.8515625" style="292" customWidth="1"/>
    <col min="11301" max="11301" width="16.7109375" style="292" customWidth="1"/>
    <col min="11302" max="11511" width="11.00390625" style="292" customWidth="1"/>
    <col min="11512" max="11512" width="7.57421875" style="292" customWidth="1"/>
    <col min="11513" max="11513" width="15.57421875" style="292" customWidth="1"/>
    <col min="11514" max="11514" width="20.140625" style="292" customWidth="1"/>
    <col min="11515" max="11515" width="2.28125" style="292" customWidth="1"/>
    <col min="11516" max="11516" width="17.421875" style="292" customWidth="1"/>
    <col min="11517" max="11517" width="1.8515625" style="292" customWidth="1"/>
    <col min="11518" max="11518" width="18.7109375" style="292" customWidth="1"/>
    <col min="11519" max="11519" width="1.8515625" style="292" customWidth="1"/>
    <col min="11520" max="11520" width="23.00390625" style="292" customWidth="1"/>
    <col min="11521" max="11521" width="1.8515625" style="292" customWidth="1"/>
    <col min="11522" max="11522" width="17.421875" style="292" customWidth="1"/>
    <col min="11523" max="11523" width="3.00390625" style="292" customWidth="1"/>
    <col min="11524" max="11524" width="16.28125" style="292" customWidth="1"/>
    <col min="11525" max="11525" width="3.00390625" style="292" customWidth="1"/>
    <col min="11526" max="11526" width="14.140625" style="292" customWidth="1"/>
    <col min="11527" max="11527" width="2.00390625" style="292" customWidth="1"/>
    <col min="11528" max="11528" width="15.8515625" style="292" customWidth="1"/>
    <col min="11529" max="11529" width="3.140625" style="292" customWidth="1"/>
    <col min="11530" max="11530" width="17.8515625" style="292" customWidth="1"/>
    <col min="11531" max="11531" width="2.57421875" style="292" customWidth="1"/>
    <col min="11532" max="11532" width="15.57421875" style="292" customWidth="1"/>
    <col min="11533" max="11533" width="1.8515625" style="292" customWidth="1"/>
    <col min="11534" max="11534" width="14.140625" style="292" customWidth="1"/>
    <col min="11535" max="11535" width="11.00390625" style="292" customWidth="1"/>
    <col min="11536" max="11537" width="25.00390625" style="292" customWidth="1"/>
    <col min="11538" max="11538" width="1.8515625" style="292" customWidth="1"/>
    <col min="11539" max="11539" width="17.8515625" style="292" customWidth="1"/>
    <col min="11540" max="11540" width="1.8515625" style="292" customWidth="1"/>
    <col min="11541" max="11541" width="19.00390625" style="292" customWidth="1"/>
    <col min="11542" max="11542" width="1.8515625" style="292" customWidth="1"/>
    <col min="11543" max="11543" width="16.7109375" style="292" customWidth="1"/>
    <col min="11544" max="11544" width="1.8515625" style="292" customWidth="1"/>
    <col min="11545" max="11545" width="16.7109375" style="292" customWidth="1"/>
    <col min="11546" max="11546" width="1.8515625" style="292" customWidth="1"/>
    <col min="11547" max="11547" width="16.7109375" style="292" customWidth="1"/>
    <col min="11548" max="11548" width="1.8515625" style="292" customWidth="1"/>
    <col min="11549" max="11549" width="16.7109375" style="292" customWidth="1"/>
    <col min="11550" max="11550" width="1.8515625" style="292" customWidth="1"/>
    <col min="11551" max="11551" width="17.8515625" style="292" customWidth="1"/>
    <col min="11552" max="11552" width="5.28125" style="292" customWidth="1"/>
    <col min="11553" max="11553" width="16.7109375" style="292" customWidth="1"/>
    <col min="11554" max="11554" width="5.28125" style="292" customWidth="1"/>
    <col min="11555" max="11555" width="14.421875" style="292" customWidth="1"/>
    <col min="11556" max="11556" width="1.8515625" style="292" customWidth="1"/>
    <col min="11557" max="11557" width="16.7109375" style="292" customWidth="1"/>
    <col min="11558" max="11767" width="11.00390625" style="292" customWidth="1"/>
    <col min="11768" max="11768" width="7.57421875" style="292" customWidth="1"/>
    <col min="11769" max="11769" width="15.57421875" style="292" customWidth="1"/>
    <col min="11770" max="11770" width="20.140625" style="292" customWidth="1"/>
    <col min="11771" max="11771" width="2.28125" style="292" customWidth="1"/>
    <col min="11772" max="11772" width="17.421875" style="292" customWidth="1"/>
    <col min="11773" max="11773" width="1.8515625" style="292" customWidth="1"/>
    <col min="11774" max="11774" width="18.7109375" style="292" customWidth="1"/>
    <col min="11775" max="11775" width="1.8515625" style="292" customWidth="1"/>
    <col min="11776" max="11776" width="23.00390625" style="292" customWidth="1"/>
    <col min="11777" max="11777" width="1.8515625" style="292" customWidth="1"/>
    <col min="11778" max="11778" width="17.421875" style="292" customWidth="1"/>
    <col min="11779" max="11779" width="3.00390625" style="292" customWidth="1"/>
    <col min="11780" max="11780" width="16.28125" style="292" customWidth="1"/>
    <col min="11781" max="11781" width="3.00390625" style="292" customWidth="1"/>
    <col min="11782" max="11782" width="14.140625" style="292" customWidth="1"/>
    <col min="11783" max="11783" width="2.00390625" style="292" customWidth="1"/>
    <col min="11784" max="11784" width="15.8515625" style="292" customWidth="1"/>
    <col min="11785" max="11785" width="3.140625" style="292" customWidth="1"/>
    <col min="11786" max="11786" width="17.8515625" style="292" customWidth="1"/>
    <col min="11787" max="11787" width="2.57421875" style="292" customWidth="1"/>
    <col min="11788" max="11788" width="15.57421875" style="292" customWidth="1"/>
    <col min="11789" max="11789" width="1.8515625" style="292" customWidth="1"/>
    <col min="11790" max="11790" width="14.140625" style="292" customWidth="1"/>
    <col min="11791" max="11791" width="11.00390625" style="292" customWidth="1"/>
    <col min="11792" max="11793" width="25.00390625" style="292" customWidth="1"/>
    <col min="11794" max="11794" width="1.8515625" style="292" customWidth="1"/>
    <col min="11795" max="11795" width="17.8515625" style="292" customWidth="1"/>
    <col min="11796" max="11796" width="1.8515625" style="292" customWidth="1"/>
    <col min="11797" max="11797" width="19.00390625" style="292" customWidth="1"/>
    <col min="11798" max="11798" width="1.8515625" style="292" customWidth="1"/>
    <col min="11799" max="11799" width="16.7109375" style="292" customWidth="1"/>
    <col min="11800" max="11800" width="1.8515625" style="292" customWidth="1"/>
    <col min="11801" max="11801" width="16.7109375" style="292" customWidth="1"/>
    <col min="11802" max="11802" width="1.8515625" style="292" customWidth="1"/>
    <col min="11803" max="11803" width="16.7109375" style="292" customWidth="1"/>
    <col min="11804" max="11804" width="1.8515625" style="292" customWidth="1"/>
    <col min="11805" max="11805" width="16.7109375" style="292" customWidth="1"/>
    <col min="11806" max="11806" width="1.8515625" style="292" customWidth="1"/>
    <col min="11807" max="11807" width="17.8515625" style="292" customWidth="1"/>
    <col min="11808" max="11808" width="5.28125" style="292" customWidth="1"/>
    <col min="11809" max="11809" width="16.7109375" style="292" customWidth="1"/>
    <col min="11810" max="11810" width="5.28125" style="292" customWidth="1"/>
    <col min="11811" max="11811" width="14.421875" style="292" customWidth="1"/>
    <col min="11812" max="11812" width="1.8515625" style="292" customWidth="1"/>
    <col min="11813" max="11813" width="16.7109375" style="292" customWidth="1"/>
    <col min="11814" max="12023" width="11.00390625" style="292" customWidth="1"/>
    <col min="12024" max="12024" width="7.57421875" style="292" customWidth="1"/>
    <col min="12025" max="12025" width="15.57421875" style="292" customWidth="1"/>
    <col min="12026" max="12026" width="20.140625" style="292" customWidth="1"/>
    <col min="12027" max="12027" width="2.28125" style="292" customWidth="1"/>
    <col min="12028" max="12028" width="17.421875" style="292" customWidth="1"/>
    <col min="12029" max="12029" width="1.8515625" style="292" customWidth="1"/>
    <col min="12030" max="12030" width="18.7109375" style="292" customWidth="1"/>
    <col min="12031" max="12031" width="1.8515625" style="292" customWidth="1"/>
    <col min="12032" max="12032" width="23.00390625" style="292" customWidth="1"/>
    <col min="12033" max="12033" width="1.8515625" style="292" customWidth="1"/>
    <col min="12034" max="12034" width="17.421875" style="292" customWidth="1"/>
    <col min="12035" max="12035" width="3.00390625" style="292" customWidth="1"/>
    <col min="12036" max="12036" width="16.28125" style="292" customWidth="1"/>
    <col min="12037" max="12037" width="3.00390625" style="292" customWidth="1"/>
    <col min="12038" max="12038" width="14.140625" style="292" customWidth="1"/>
    <col min="12039" max="12039" width="2.00390625" style="292" customWidth="1"/>
    <col min="12040" max="12040" width="15.8515625" style="292" customWidth="1"/>
    <col min="12041" max="12041" width="3.140625" style="292" customWidth="1"/>
    <col min="12042" max="12042" width="17.8515625" style="292" customWidth="1"/>
    <col min="12043" max="12043" width="2.57421875" style="292" customWidth="1"/>
    <col min="12044" max="12044" width="15.57421875" style="292" customWidth="1"/>
    <col min="12045" max="12045" width="1.8515625" style="292" customWidth="1"/>
    <col min="12046" max="12046" width="14.140625" style="292" customWidth="1"/>
    <col min="12047" max="12047" width="11.00390625" style="292" customWidth="1"/>
    <col min="12048" max="12049" width="25.00390625" style="292" customWidth="1"/>
    <col min="12050" max="12050" width="1.8515625" style="292" customWidth="1"/>
    <col min="12051" max="12051" width="17.8515625" style="292" customWidth="1"/>
    <col min="12052" max="12052" width="1.8515625" style="292" customWidth="1"/>
    <col min="12053" max="12053" width="19.00390625" style="292" customWidth="1"/>
    <col min="12054" max="12054" width="1.8515625" style="292" customWidth="1"/>
    <col min="12055" max="12055" width="16.7109375" style="292" customWidth="1"/>
    <col min="12056" max="12056" width="1.8515625" style="292" customWidth="1"/>
    <col min="12057" max="12057" width="16.7109375" style="292" customWidth="1"/>
    <col min="12058" max="12058" width="1.8515625" style="292" customWidth="1"/>
    <col min="12059" max="12059" width="16.7109375" style="292" customWidth="1"/>
    <col min="12060" max="12060" width="1.8515625" style="292" customWidth="1"/>
    <col min="12061" max="12061" width="16.7109375" style="292" customWidth="1"/>
    <col min="12062" max="12062" width="1.8515625" style="292" customWidth="1"/>
    <col min="12063" max="12063" width="17.8515625" style="292" customWidth="1"/>
    <col min="12064" max="12064" width="5.28125" style="292" customWidth="1"/>
    <col min="12065" max="12065" width="16.7109375" style="292" customWidth="1"/>
    <col min="12066" max="12066" width="5.28125" style="292" customWidth="1"/>
    <col min="12067" max="12067" width="14.421875" style="292" customWidth="1"/>
    <col min="12068" max="12068" width="1.8515625" style="292" customWidth="1"/>
    <col min="12069" max="12069" width="16.7109375" style="292" customWidth="1"/>
    <col min="12070" max="12279" width="11.00390625" style="292" customWidth="1"/>
    <col min="12280" max="12280" width="7.57421875" style="292" customWidth="1"/>
    <col min="12281" max="12281" width="15.57421875" style="292" customWidth="1"/>
    <col min="12282" max="12282" width="20.140625" style="292" customWidth="1"/>
    <col min="12283" max="12283" width="2.28125" style="292" customWidth="1"/>
    <col min="12284" max="12284" width="17.421875" style="292" customWidth="1"/>
    <col min="12285" max="12285" width="1.8515625" style="292" customWidth="1"/>
    <col min="12286" max="12286" width="18.7109375" style="292" customWidth="1"/>
    <col min="12287" max="12287" width="1.8515625" style="292" customWidth="1"/>
    <col min="12288" max="12288" width="23.00390625" style="292" customWidth="1"/>
    <col min="12289" max="12289" width="1.8515625" style="292" customWidth="1"/>
    <col min="12290" max="12290" width="17.421875" style="292" customWidth="1"/>
    <col min="12291" max="12291" width="3.00390625" style="292" customWidth="1"/>
    <col min="12292" max="12292" width="16.28125" style="292" customWidth="1"/>
    <col min="12293" max="12293" width="3.00390625" style="292" customWidth="1"/>
    <col min="12294" max="12294" width="14.140625" style="292" customWidth="1"/>
    <col min="12295" max="12295" width="2.00390625" style="292" customWidth="1"/>
    <col min="12296" max="12296" width="15.8515625" style="292" customWidth="1"/>
    <col min="12297" max="12297" width="3.140625" style="292" customWidth="1"/>
    <col min="12298" max="12298" width="17.8515625" style="292" customWidth="1"/>
    <col min="12299" max="12299" width="2.57421875" style="292" customWidth="1"/>
    <col min="12300" max="12300" width="15.57421875" style="292" customWidth="1"/>
    <col min="12301" max="12301" width="1.8515625" style="292" customWidth="1"/>
    <col min="12302" max="12302" width="14.140625" style="292" customWidth="1"/>
    <col min="12303" max="12303" width="11.00390625" style="292" customWidth="1"/>
    <col min="12304" max="12305" width="25.00390625" style="292" customWidth="1"/>
    <col min="12306" max="12306" width="1.8515625" style="292" customWidth="1"/>
    <col min="12307" max="12307" width="17.8515625" style="292" customWidth="1"/>
    <col min="12308" max="12308" width="1.8515625" style="292" customWidth="1"/>
    <col min="12309" max="12309" width="19.00390625" style="292" customWidth="1"/>
    <col min="12310" max="12310" width="1.8515625" style="292" customWidth="1"/>
    <col min="12311" max="12311" width="16.7109375" style="292" customWidth="1"/>
    <col min="12312" max="12312" width="1.8515625" style="292" customWidth="1"/>
    <col min="12313" max="12313" width="16.7109375" style="292" customWidth="1"/>
    <col min="12314" max="12314" width="1.8515625" style="292" customWidth="1"/>
    <col min="12315" max="12315" width="16.7109375" style="292" customWidth="1"/>
    <col min="12316" max="12316" width="1.8515625" style="292" customWidth="1"/>
    <col min="12317" max="12317" width="16.7109375" style="292" customWidth="1"/>
    <col min="12318" max="12318" width="1.8515625" style="292" customWidth="1"/>
    <col min="12319" max="12319" width="17.8515625" style="292" customWidth="1"/>
    <col min="12320" max="12320" width="5.28125" style="292" customWidth="1"/>
    <col min="12321" max="12321" width="16.7109375" style="292" customWidth="1"/>
    <col min="12322" max="12322" width="5.28125" style="292" customWidth="1"/>
    <col min="12323" max="12323" width="14.421875" style="292" customWidth="1"/>
    <col min="12324" max="12324" width="1.8515625" style="292" customWidth="1"/>
    <col min="12325" max="12325" width="16.7109375" style="292" customWidth="1"/>
    <col min="12326" max="12535" width="11.00390625" style="292" customWidth="1"/>
    <col min="12536" max="12536" width="7.57421875" style="292" customWidth="1"/>
    <col min="12537" max="12537" width="15.57421875" style="292" customWidth="1"/>
    <col min="12538" max="12538" width="20.140625" style="292" customWidth="1"/>
    <col min="12539" max="12539" width="2.28125" style="292" customWidth="1"/>
    <col min="12540" max="12540" width="17.421875" style="292" customWidth="1"/>
    <col min="12541" max="12541" width="1.8515625" style="292" customWidth="1"/>
    <col min="12542" max="12542" width="18.7109375" style="292" customWidth="1"/>
    <col min="12543" max="12543" width="1.8515625" style="292" customWidth="1"/>
    <col min="12544" max="12544" width="23.00390625" style="292" customWidth="1"/>
    <col min="12545" max="12545" width="1.8515625" style="292" customWidth="1"/>
    <col min="12546" max="12546" width="17.421875" style="292" customWidth="1"/>
    <col min="12547" max="12547" width="3.00390625" style="292" customWidth="1"/>
    <col min="12548" max="12548" width="16.28125" style="292" customWidth="1"/>
    <col min="12549" max="12549" width="3.00390625" style="292" customWidth="1"/>
    <col min="12550" max="12550" width="14.140625" style="292" customWidth="1"/>
    <col min="12551" max="12551" width="2.00390625" style="292" customWidth="1"/>
    <col min="12552" max="12552" width="15.8515625" style="292" customWidth="1"/>
    <col min="12553" max="12553" width="3.140625" style="292" customWidth="1"/>
    <col min="12554" max="12554" width="17.8515625" style="292" customWidth="1"/>
    <col min="12555" max="12555" width="2.57421875" style="292" customWidth="1"/>
    <col min="12556" max="12556" width="15.57421875" style="292" customWidth="1"/>
    <col min="12557" max="12557" width="1.8515625" style="292" customWidth="1"/>
    <col min="12558" max="12558" width="14.140625" style="292" customWidth="1"/>
    <col min="12559" max="12559" width="11.00390625" style="292" customWidth="1"/>
    <col min="12560" max="12561" width="25.00390625" style="292" customWidth="1"/>
    <col min="12562" max="12562" width="1.8515625" style="292" customWidth="1"/>
    <col min="12563" max="12563" width="17.8515625" style="292" customWidth="1"/>
    <col min="12564" max="12564" width="1.8515625" style="292" customWidth="1"/>
    <col min="12565" max="12565" width="19.00390625" style="292" customWidth="1"/>
    <col min="12566" max="12566" width="1.8515625" style="292" customWidth="1"/>
    <col min="12567" max="12567" width="16.7109375" style="292" customWidth="1"/>
    <col min="12568" max="12568" width="1.8515625" style="292" customWidth="1"/>
    <col min="12569" max="12569" width="16.7109375" style="292" customWidth="1"/>
    <col min="12570" max="12570" width="1.8515625" style="292" customWidth="1"/>
    <col min="12571" max="12571" width="16.7109375" style="292" customWidth="1"/>
    <col min="12572" max="12572" width="1.8515625" style="292" customWidth="1"/>
    <col min="12573" max="12573" width="16.7109375" style="292" customWidth="1"/>
    <col min="12574" max="12574" width="1.8515625" style="292" customWidth="1"/>
    <col min="12575" max="12575" width="17.8515625" style="292" customWidth="1"/>
    <col min="12576" max="12576" width="5.28125" style="292" customWidth="1"/>
    <col min="12577" max="12577" width="16.7109375" style="292" customWidth="1"/>
    <col min="12578" max="12578" width="5.28125" style="292" customWidth="1"/>
    <col min="12579" max="12579" width="14.421875" style="292" customWidth="1"/>
    <col min="12580" max="12580" width="1.8515625" style="292" customWidth="1"/>
    <col min="12581" max="12581" width="16.7109375" style="292" customWidth="1"/>
    <col min="12582" max="12791" width="11.00390625" style="292" customWidth="1"/>
    <col min="12792" max="12792" width="7.57421875" style="292" customWidth="1"/>
    <col min="12793" max="12793" width="15.57421875" style="292" customWidth="1"/>
    <col min="12794" max="12794" width="20.140625" style="292" customWidth="1"/>
    <col min="12795" max="12795" width="2.28125" style="292" customWidth="1"/>
    <col min="12796" max="12796" width="17.421875" style="292" customWidth="1"/>
    <col min="12797" max="12797" width="1.8515625" style="292" customWidth="1"/>
    <col min="12798" max="12798" width="18.7109375" style="292" customWidth="1"/>
    <col min="12799" max="12799" width="1.8515625" style="292" customWidth="1"/>
    <col min="12800" max="12800" width="23.00390625" style="292" customWidth="1"/>
    <col min="12801" max="12801" width="1.8515625" style="292" customWidth="1"/>
    <col min="12802" max="12802" width="17.421875" style="292" customWidth="1"/>
    <col min="12803" max="12803" width="3.00390625" style="292" customWidth="1"/>
    <col min="12804" max="12804" width="16.28125" style="292" customWidth="1"/>
    <col min="12805" max="12805" width="3.00390625" style="292" customWidth="1"/>
    <col min="12806" max="12806" width="14.140625" style="292" customWidth="1"/>
    <col min="12807" max="12807" width="2.00390625" style="292" customWidth="1"/>
    <col min="12808" max="12808" width="15.8515625" style="292" customWidth="1"/>
    <col min="12809" max="12809" width="3.140625" style="292" customWidth="1"/>
    <col min="12810" max="12810" width="17.8515625" style="292" customWidth="1"/>
    <col min="12811" max="12811" width="2.57421875" style="292" customWidth="1"/>
    <col min="12812" max="12812" width="15.57421875" style="292" customWidth="1"/>
    <col min="12813" max="12813" width="1.8515625" style="292" customWidth="1"/>
    <col min="12814" max="12814" width="14.140625" style="292" customWidth="1"/>
    <col min="12815" max="12815" width="11.00390625" style="292" customWidth="1"/>
    <col min="12816" max="12817" width="25.00390625" style="292" customWidth="1"/>
    <col min="12818" max="12818" width="1.8515625" style="292" customWidth="1"/>
    <col min="12819" max="12819" width="17.8515625" style="292" customWidth="1"/>
    <col min="12820" max="12820" width="1.8515625" style="292" customWidth="1"/>
    <col min="12821" max="12821" width="19.00390625" style="292" customWidth="1"/>
    <col min="12822" max="12822" width="1.8515625" style="292" customWidth="1"/>
    <col min="12823" max="12823" width="16.7109375" style="292" customWidth="1"/>
    <col min="12824" max="12824" width="1.8515625" style="292" customWidth="1"/>
    <col min="12825" max="12825" width="16.7109375" style="292" customWidth="1"/>
    <col min="12826" max="12826" width="1.8515625" style="292" customWidth="1"/>
    <col min="12827" max="12827" width="16.7109375" style="292" customWidth="1"/>
    <col min="12828" max="12828" width="1.8515625" style="292" customWidth="1"/>
    <col min="12829" max="12829" width="16.7109375" style="292" customWidth="1"/>
    <col min="12830" max="12830" width="1.8515625" style="292" customWidth="1"/>
    <col min="12831" max="12831" width="17.8515625" style="292" customWidth="1"/>
    <col min="12832" max="12832" width="5.28125" style="292" customWidth="1"/>
    <col min="12833" max="12833" width="16.7109375" style="292" customWidth="1"/>
    <col min="12834" max="12834" width="5.28125" style="292" customWidth="1"/>
    <col min="12835" max="12835" width="14.421875" style="292" customWidth="1"/>
    <col min="12836" max="12836" width="1.8515625" style="292" customWidth="1"/>
    <col min="12837" max="12837" width="16.7109375" style="292" customWidth="1"/>
    <col min="12838" max="13047" width="11.00390625" style="292" customWidth="1"/>
    <col min="13048" max="13048" width="7.57421875" style="292" customWidth="1"/>
    <col min="13049" max="13049" width="15.57421875" style="292" customWidth="1"/>
    <col min="13050" max="13050" width="20.140625" style="292" customWidth="1"/>
    <col min="13051" max="13051" width="2.28125" style="292" customWidth="1"/>
    <col min="13052" max="13052" width="17.421875" style="292" customWidth="1"/>
    <col min="13053" max="13053" width="1.8515625" style="292" customWidth="1"/>
    <col min="13054" max="13054" width="18.7109375" style="292" customWidth="1"/>
    <col min="13055" max="13055" width="1.8515625" style="292" customWidth="1"/>
    <col min="13056" max="13056" width="23.00390625" style="292" customWidth="1"/>
    <col min="13057" max="13057" width="1.8515625" style="292" customWidth="1"/>
    <col min="13058" max="13058" width="17.421875" style="292" customWidth="1"/>
    <col min="13059" max="13059" width="3.00390625" style="292" customWidth="1"/>
    <col min="13060" max="13060" width="16.28125" style="292" customWidth="1"/>
    <col min="13061" max="13061" width="3.00390625" style="292" customWidth="1"/>
    <col min="13062" max="13062" width="14.140625" style="292" customWidth="1"/>
    <col min="13063" max="13063" width="2.00390625" style="292" customWidth="1"/>
    <col min="13064" max="13064" width="15.8515625" style="292" customWidth="1"/>
    <col min="13065" max="13065" width="3.140625" style="292" customWidth="1"/>
    <col min="13066" max="13066" width="17.8515625" style="292" customWidth="1"/>
    <col min="13067" max="13067" width="2.57421875" style="292" customWidth="1"/>
    <col min="13068" max="13068" width="15.57421875" style="292" customWidth="1"/>
    <col min="13069" max="13069" width="1.8515625" style="292" customWidth="1"/>
    <col min="13070" max="13070" width="14.140625" style="292" customWidth="1"/>
    <col min="13071" max="13071" width="11.00390625" style="292" customWidth="1"/>
    <col min="13072" max="13073" width="25.00390625" style="292" customWidth="1"/>
    <col min="13074" max="13074" width="1.8515625" style="292" customWidth="1"/>
    <col min="13075" max="13075" width="17.8515625" style="292" customWidth="1"/>
    <col min="13076" max="13076" width="1.8515625" style="292" customWidth="1"/>
    <col min="13077" max="13077" width="19.00390625" style="292" customWidth="1"/>
    <col min="13078" max="13078" width="1.8515625" style="292" customWidth="1"/>
    <col min="13079" max="13079" width="16.7109375" style="292" customWidth="1"/>
    <col min="13080" max="13080" width="1.8515625" style="292" customWidth="1"/>
    <col min="13081" max="13081" width="16.7109375" style="292" customWidth="1"/>
    <col min="13082" max="13082" width="1.8515625" style="292" customWidth="1"/>
    <col min="13083" max="13083" width="16.7109375" style="292" customWidth="1"/>
    <col min="13084" max="13084" width="1.8515625" style="292" customWidth="1"/>
    <col min="13085" max="13085" width="16.7109375" style="292" customWidth="1"/>
    <col min="13086" max="13086" width="1.8515625" style="292" customWidth="1"/>
    <col min="13087" max="13087" width="17.8515625" style="292" customWidth="1"/>
    <col min="13088" max="13088" width="5.28125" style="292" customWidth="1"/>
    <col min="13089" max="13089" width="16.7109375" style="292" customWidth="1"/>
    <col min="13090" max="13090" width="5.28125" style="292" customWidth="1"/>
    <col min="13091" max="13091" width="14.421875" style="292" customWidth="1"/>
    <col min="13092" max="13092" width="1.8515625" style="292" customWidth="1"/>
    <col min="13093" max="13093" width="16.7109375" style="292" customWidth="1"/>
    <col min="13094" max="13303" width="11.00390625" style="292" customWidth="1"/>
    <col min="13304" max="13304" width="7.57421875" style="292" customWidth="1"/>
    <col min="13305" max="13305" width="15.57421875" style="292" customWidth="1"/>
    <col min="13306" max="13306" width="20.140625" style="292" customWidth="1"/>
    <col min="13307" max="13307" width="2.28125" style="292" customWidth="1"/>
    <col min="13308" max="13308" width="17.421875" style="292" customWidth="1"/>
    <col min="13309" max="13309" width="1.8515625" style="292" customWidth="1"/>
    <col min="13310" max="13310" width="18.7109375" style="292" customWidth="1"/>
    <col min="13311" max="13311" width="1.8515625" style="292" customWidth="1"/>
    <col min="13312" max="13312" width="23.00390625" style="292" customWidth="1"/>
    <col min="13313" max="13313" width="1.8515625" style="292" customWidth="1"/>
    <col min="13314" max="13314" width="17.421875" style="292" customWidth="1"/>
    <col min="13315" max="13315" width="3.00390625" style="292" customWidth="1"/>
    <col min="13316" max="13316" width="16.28125" style="292" customWidth="1"/>
    <col min="13317" max="13317" width="3.00390625" style="292" customWidth="1"/>
    <col min="13318" max="13318" width="14.140625" style="292" customWidth="1"/>
    <col min="13319" max="13319" width="2.00390625" style="292" customWidth="1"/>
    <col min="13320" max="13320" width="15.8515625" style="292" customWidth="1"/>
    <col min="13321" max="13321" width="3.140625" style="292" customWidth="1"/>
    <col min="13322" max="13322" width="17.8515625" style="292" customWidth="1"/>
    <col min="13323" max="13323" width="2.57421875" style="292" customWidth="1"/>
    <col min="13324" max="13324" width="15.57421875" style="292" customWidth="1"/>
    <col min="13325" max="13325" width="1.8515625" style="292" customWidth="1"/>
    <col min="13326" max="13326" width="14.140625" style="292" customWidth="1"/>
    <col min="13327" max="13327" width="11.00390625" style="292" customWidth="1"/>
    <col min="13328" max="13329" width="25.00390625" style="292" customWidth="1"/>
    <col min="13330" max="13330" width="1.8515625" style="292" customWidth="1"/>
    <col min="13331" max="13331" width="17.8515625" style="292" customWidth="1"/>
    <col min="13332" max="13332" width="1.8515625" style="292" customWidth="1"/>
    <col min="13333" max="13333" width="19.00390625" style="292" customWidth="1"/>
    <col min="13334" max="13334" width="1.8515625" style="292" customWidth="1"/>
    <col min="13335" max="13335" width="16.7109375" style="292" customWidth="1"/>
    <col min="13336" max="13336" width="1.8515625" style="292" customWidth="1"/>
    <col min="13337" max="13337" width="16.7109375" style="292" customWidth="1"/>
    <col min="13338" max="13338" width="1.8515625" style="292" customWidth="1"/>
    <col min="13339" max="13339" width="16.7109375" style="292" customWidth="1"/>
    <col min="13340" max="13340" width="1.8515625" style="292" customWidth="1"/>
    <col min="13341" max="13341" width="16.7109375" style="292" customWidth="1"/>
    <col min="13342" max="13342" width="1.8515625" style="292" customWidth="1"/>
    <col min="13343" max="13343" width="17.8515625" style="292" customWidth="1"/>
    <col min="13344" max="13344" width="5.28125" style="292" customWidth="1"/>
    <col min="13345" max="13345" width="16.7109375" style="292" customWidth="1"/>
    <col min="13346" max="13346" width="5.28125" style="292" customWidth="1"/>
    <col min="13347" max="13347" width="14.421875" style="292" customWidth="1"/>
    <col min="13348" max="13348" width="1.8515625" style="292" customWidth="1"/>
    <col min="13349" max="13349" width="16.7109375" style="292" customWidth="1"/>
    <col min="13350" max="13559" width="11.00390625" style="292" customWidth="1"/>
    <col min="13560" max="13560" width="7.57421875" style="292" customWidth="1"/>
    <col min="13561" max="13561" width="15.57421875" style="292" customWidth="1"/>
    <col min="13562" max="13562" width="20.140625" style="292" customWidth="1"/>
    <col min="13563" max="13563" width="2.28125" style="292" customWidth="1"/>
    <col min="13564" max="13564" width="17.421875" style="292" customWidth="1"/>
    <col min="13565" max="13565" width="1.8515625" style="292" customWidth="1"/>
    <col min="13566" max="13566" width="18.7109375" style="292" customWidth="1"/>
    <col min="13567" max="13567" width="1.8515625" style="292" customWidth="1"/>
    <col min="13568" max="13568" width="23.00390625" style="292" customWidth="1"/>
    <col min="13569" max="13569" width="1.8515625" style="292" customWidth="1"/>
    <col min="13570" max="13570" width="17.421875" style="292" customWidth="1"/>
    <col min="13571" max="13571" width="3.00390625" style="292" customWidth="1"/>
    <col min="13572" max="13572" width="16.28125" style="292" customWidth="1"/>
    <col min="13573" max="13573" width="3.00390625" style="292" customWidth="1"/>
    <col min="13574" max="13574" width="14.140625" style="292" customWidth="1"/>
    <col min="13575" max="13575" width="2.00390625" style="292" customWidth="1"/>
    <col min="13576" max="13576" width="15.8515625" style="292" customWidth="1"/>
    <col min="13577" max="13577" width="3.140625" style="292" customWidth="1"/>
    <col min="13578" max="13578" width="17.8515625" style="292" customWidth="1"/>
    <col min="13579" max="13579" width="2.57421875" style="292" customWidth="1"/>
    <col min="13580" max="13580" width="15.57421875" style="292" customWidth="1"/>
    <col min="13581" max="13581" width="1.8515625" style="292" customWidth="1"/>
    <col min="13582" max="13582" width="14.140625" style="292" customWidth="1"/>
    <col min="13583" max="13583" width="11.00390625" style="292" customWidth="1"/>
    <col min="13584" max="13585" width="25.00390625" style="292" customWidth="1"/>
    <col min="13586" max="13586" width="1.8515625" style="292" customWidth="1"/>
    <col min="13587" max="13587" width="17.8515625" style="292" customWidth="1"/>
    <col min="13588" max="13588" width="1.8515625" style="292" customWidth="1"/>
    <col min="13589" max="13589" width="19.00390625" style="292" customWidth="1"/>
    <col min="13590" max="13590" width="1.8515625" style="292" customWidth="1"/>
    <col min="13591" max="13591" width="16.7109375" style="292" customWidth="1"/>
    <col min="13592" max="13592" width="1.8515625" style="292" customWidth="1"/>
    <col min="13593" max="13593" width="16.7109375" style="292" customWidth="1"/>
    <col min="13594" max="13594" width="1.8515625" style="292" customWidth="1"/>
    <col min="13595" max="13595" width="16.7109375" style="292" customWidth="1"/>
    <col min="13596" max="13596" width="1.8515625" style="292" customWidth="1"/>
    <col min="13597" max="13597" width="16.7109375" style="292" customWidth="1"/>
    <col min="13598" max="13598" width="1.8515625" style="292" customWidth="1"/>
    <col min="13599" max="13599" width="17.8515625" style="292" customWidth="1"/>
    <col min="13600" max="13600" width="5.28125" style="292" customWidth="1"/>
    <col min="13601" max="13601" width="16.7109375" style="292" customWidth="1"/>
    <col min="13602" max="13602" width="5.28125" style="292" customWidth="1"/>
    <col min="13603" max="13603" width="14.421875" style="292" customWidth="1"/>
    <col min="13604" max="13604" width="1.8515625" style="292" customWidth="1"/>
    <col min="13605" max="13605" width="16.7109375" style="292" customWidth="1"/>
    <col min="13606" max="13815" width="11.00390625" style="292" customWidth="1"/>
    <col min="13816" max="13816" width="7.57421875" style="292" customWidth="1"/>
    <col min="13817" max="13817" width="15.57421875" style="292" customWidth="1"/>
    <col min="13818" max="13818" width="20.140625" style="292" customWidth="1"/>
    <col min="13819" max="13819" width="2.28125" style="292" customWidth="1"/>
    <col min="13820" max="13820" width="17.421875" style="292" customWidth="1"/>
    <col min="13821" max="13821" width="1.8515625" style="292" customWidth="1"/>
    <col min="13822" max="13822" width="18.7109375" style="292" customWidth="1"/>
    <col min="13823" max="13823" width="1.8515625" style="292" customWidth="1"/>
    <col min="13824" max="13824" width="23.00390625" style="292" customWidth="1"/>
    <col min="13825" max="13825" width="1.8515625" style="292" customWidth="1"/>
    <col min="13826" max="13826" width="17.421875" style="292" customWidth="1"/>
    <col min="13827" max="13827" width="3.00390625" style="292" customWidth="1"/>
    <col min="13828" max="13828" width="16.28125" style="292" customWidth="1"/>
    <col min="13829" max="13829" width="3.00390625" style="292" customWidth="1"/>
    <col min="13830" max="13830" width="14.140625" style="292" customWidth="1"/>
    <col min="13831" max="13831" width="2.00390625" style="292" customWidth="1"/>
    <col min="13832" max="13832" width="15.8515625" style="292" customWidth="1"/>
    <col min="13833" max="13833" width="3.140625" style="292" customWidth="1"/>
    <col min="13834" max="13834" width="17.8515625" style="292" customWidth="1"/>
    <col min="13835" max="13835" width="2.57421875" style="292" customWidth="1"/>
    <col min="13836" max="13836" width="15.57421875" style="292" customWidth="1"/>
    <col min="13837" max="13837" width="1.8515625" style="292" customWidth="1"/>
    <col min="13838" max="13838" width="14.140625" style="292" customWidth="1"/>
    <col min="13839" max="13839" width="11.00390625" style="292" customWidth="1"/>
    <col min="13840" max="13841" width="25.00390625" style="292" customWidth="1"/>
    <col min="13842" max="13842" width="1.8515625" style="292" customWidth="1"/>
    <col min="13843" max="13843" width="17.8515625" style="292" customWidth="1"/>
    <col min="13844" max="13844" width="1.8515625" style="292" customWidth="1"/>
    <col min="13845" max="13845" width="19.00390625" style="292" customWidth="1"/>
    <col min="13846" max="13846" width="1.8515625" style="292" customWidth="1"/>
    <col min="13847" max="13847" width="16.7109375" style="292" customWidth="1"/>
    <col min="13848" max="13848" width="1.8515625" style="292" customWidth="1"/>
    <col min="13849" max="13849" width="16.7109375" style="292" customWidth="1"/>
    <col min="13850" max="13850" width="1.8515625" style="292" customWidth="1"/>
    <col min="13851" max="13851" width="16.7109375" style="292" customWidth="1"/>
    <col min="13852" max="13852" width="1.8515625" style="292" customWidth="1"/>
    <col min="13853" max="13853" width="16.7109375" style="292" customWidth="1"/>
    <col min="13854" max="13854" width="1.8515625" style="292" customWidth="1"/>
    <col min="13855" max="13855" width="17.8515625" style="292" customWidth="1"/>
    <col min="13856" max="13856" width="5.28125" style="292" customWidth="1"/>
    <col min="13857" max="13857" width="16.7109375" style="292" customWidth="1"/>
    <col min="13858" max="13858" width="5.28125" style="292" customWidth="1"/>
    <col min="13859" max="13859" width="14.421875" style="292" customWidth="1"/>
    <col min="13860" max="13860" width="1.8515625" style="292" customWidth="1"/>
    <col min="13861" max="13861" width="16.7109375" style="292" customWidth="1"/>
    <col min="13862" max="14071" width="11.00390625" style="292" customWidth="1"/>
    <col min="14072" max="14072" width="7.57421875" style="292" customWidth="1"/>
    <col min="14073" max="14073" width="15.57421875" style="292" customWidth="1"/>
    <col min="14074" max="14074" width="20.140625" style="292" customWidth="1"/>
    <col min="14075" max="14075" width="2.28125" style="292" customWidth="1"/>
    <col min="14076" max="14076" width="17.421875" style="292" customWidth="1"/>
    <col min="14077" max="14077" width="1.8515625" style="292" customWidth="1"/>
    <col min="14078" max="14078" width="18.7109375" style="292" customWidth="1"/>
    <col min="14079" max="14079" width="1.8515625" style="292" customWidth="1"/>
    <col min="14080" max="14080" width="23.00390625" style="292" customWidth="1"/>
    <col min="14081" max="14081" width="1.8515625" style="292" customWidth="1"/>
    <col min="14082" max="14082" width="17.421875" style="292" customWidth="1"/>
    <col min="14083" max="14083" width="3.00390625" style="292" customWidth="1"/>
    <col min="14084" max="14084" width="16.28125" style="292" customWidth="1"/>
    <col min="14085" max="14085" width="3.00390625" style="292" customWidth="1"/>
    <col min="14086" max="14086" width="14.140625" style="292" customWidth="1"/>
    <col min="14087" max="14087" width="2.00390625" style="292" customWidth="1"/>
    <col min="14088" max="14088" width="15.8515625" style="292" customWidth="1"/>
    <col min="14089" max="14089" width="3.140625" style="292" customWidth="1"/>
    <col min="14090" max="14090" width="17.8515625" style="292" customWidth="1"/>
    <col min="14091" max="14091" width="2.57421875" style="292" customWidth="1"/>
    <col min="14092" max="14092" width="15.57421875" style="292" customWidth="1"/>
    <col min="14093" max="14093" width="1.8515625" style="292" customWidth="1"/>
    <col min="14094" max="14094" width="14.140625" style="292" customWidth="1"/>
    <col min="14095" max="14095" width="11.00390625" style="292" customWidth="1"/>
    <col min="14096" max="14097" width="25.00390625" style="292" customWidth="1"/>
    <col min="14098" max="14098" width="1.8515625" style="292" customWidth="1"/>
    <col min="14099" max="14099" width="17.8515625" style="292" customWidth="1"/>
    <col min="14100" max="14100" width="1.8515625" style="292" customWidth="1"/>
    <col min="14101" max="14101" width="19.00390625" style="292" customWidth="1"/>
    <col min="14102" max="14102" width="1.8515625" style="292" customWidth="1"/>
    <col min="14103" max="14103" width="16.7109375" style="292" customWidth="1"/>
    <col min="14104" max="14104" width="1.8515625" style="292" customWidth="1"/>
    <col min="14105" max="14105" width="16.7109375" style="292" customWidth="1"/>
    <col min="14106" max="14106" width="1.8515625" style="292" customWidth="1"/>
    <col min="14107" max="14107" width="16.7109375" style="292" customWidth="1"/>
    <col min="14108" max="14108" width="1.8515625" style="292" customWidth="1"/>
    <col min="14109" max="14109" width="16.7109375" style="292" customWidth="1"/>
    <col min="14110" max="14110" width="1.8515625" style="292" customWidth="1"/>
    <col min="14111" max="14111" width="17.8515625" style="292" customWidth="1"/>
    <col min="14112" max="14112" width="5.28125" style="292" customWidth="1"/>
    <col min="14113" max="14113" width="16.7109375" style="292" customWidth="1"/>
    <col min="14114" max="14114" width="5.28125" style="292" customWidth="1"/>
    <col min="14115" max="14115" width="14.421875" style="292" customWidth="1"/>
    <col min="14116" max="14116" width="1.8515625" style="292" customWidth="1"/>
    <col min="14117" max="14117" width="16.7109375" style="292" customWidth="1"/>
    <col min="14118" max="14327" width="11.00390625" style="292" customWidth="1"/>
    <col min="14328" max="14328" width="7.57421875" style="292" customWidth="1"/>
    <col min="14329" max="14329" width="15.57421875" style="292" customWidth="1"/>
    <col min="14330" max="14330" width="20.140625" style="292" customWidth="1"/>
    <col min="14331" max="14331" width="2.28125" style="292" customWidth="1"/>
    <col min="14332" max="14332" width="17.421875" style="292" customWidth="1"/>
    <col min="14333" max="14333" width="1.8515625" style="292" customWidth="1"/>
    <col min="14334" max="14334" width="18.7109375" style="292" customWidth="1"/>
    <col min="14335" max="14335" width="1.8515625" style="292" customWidth="1"/>
    <col min="14336" max="14336" width="23.00390625" style="292" customWidth="1"/>
    <col min="14337" max="14337" width="1.8515625" style="292" customWidth="1"/>
    <col min="14338" max="14338" width="17.421875" style="292" customWidth="1"/>
    <col min="14339" max="14339" width="3.00390625" style="292" customWidth="1"/>
    <col min="14340" max="14340" width="16.28125" style="292" customWidth="1"/>
    <col min="14341" max="14341" width="3.00390625" style="292" customWidth="1"/>
    <col min="14342" max="14342" width="14.140625" style="292" customWidth="1"/>
    <col min="14343" max="14343" width="2.00390625" style="292" customWidth="1"/>
    <col min="14344" max="14344" width="15.8515625" style="292" customWidth="1"/>
    <col min="14345" max="14345" width="3.140625" style="292" customWidth="1"/>
    <col min="14346" max="14346" width="17.8515625" style="292" customWidth="1"/>
    <col min="14347" max="14347" width="2.57421875" style="292" customWidth="1"/>
    <col min="14348" max="14348" width="15.57421875" style="292" customWidth="1"/>
    <col min="14349" max="14349" width="1.8515625" style="292" customWidth="1"/>
    <col min="14350" max="14350" width="14.140625" style="292" customWidth="1"/>
    <col min="14351" max="14351" width="11.00390625" style="292" customWidth="1"/>
    <col min="14352" max="14353" width="25.00390625" style="292" customWidth="1"/>
    <col min="14354" max="14354" width="1.8515625" style="292" customWidth="1"/>
    <col min="14355" max="14355" width="17.8515625" style="292" customWidth="1"/>
    <col min="14356" max="14356" width="1.8515625" style="292" customWidth="1"/>
    <col min="14357" max="14357" width="19.00390625" style="292" customWidth="1"/>
    <col min="14358" max="14358" width="1.8515625" style="292" customWidth="1"/>
    <col min="14359" max="14359" width="16.7109375" style="292" customWidth="1"/>
    <col min="14360" max="14360" width="1.8515625" style="292" customWidth="1"/>
    <col min="14361" max="14361" width="16.7109375" style="292" customWidth="1"/>
    <col min="14362" max="14362" width="1.8515625" style="292" customWidth="1"/>
    <col min="14363" max="14363" width="16.7109375" style="292" customWidth="1"/>
    <col min="14364" max="14364" width="1.8515625" style="292" customWidth="1"/>
    <col min="14365" max="14365" width="16.7109375" style="292" customWidth="1"/>
    <col min="14366" max="14366" width="1.8515625" style="292" customWidth="1"/>
    <col min="14367" max="14367" width="17.8515625" style="292" customWidth="1"/>
    <col min="14368" max="14368" width="5.28125" style="292" customWidth="1"/>
    <col min="14369" max="14369" width="16.7109375" style="292" customWidth="1"/>
    <col min="14370" max="14370" width="5.28125" style="292" customWidth="1"/>
    <col min="14371" max="14371" width="14.421875" style="292" customWidth="1"/>
    <col min="14372" max="14372" width="1.8515625" style="292" customWidth="1"/>
    <col min="14373" max="14373" width="16.7109375" style="292" customWidth="1"/>
    <col min="14374" max="14583" width="11.00390625" style="292" customWidth="1"/>
    <col min="14584" max="14584" width="7.57421875" style="292" customWidth="1"/>
    <col min="14585" max="14585" width="15.57421875" style="292" customWidth="1"/>
    <col min="14586" max="14586" width="20.140625" style="292" customWidth="1"/>
    <col min="14587" max="14587" width="2.28125" style="292" customWidth="1"/>
    <col min="14588" max="14588" width="17.421875" style="292" customWidth="1"/>
    <col min="14589" max="14589" width="1.8515625" style="292" customWidth="1"/>
    <col min="14590" max="14590" width="18.7109375" style="292" customWidth="1"/>
    <col min="14591" max="14591" width="1.8515625" style="292" customWidth="1"/>
    <col min="14592" max="14592" width="23.00390625" style="292" customWidth="1"/>
    <col min="14593" max="14593" width="1.8515625" style="292" customWidth="1"/>
    <col min="14594" max="14594" width="17.421875" style="292" customWidth="1"/>
    <col min="14595" max="14595" width="3.00390625" style="292" customWidth="1"/>
    <col min="14596" max="14596" width="16.28125" style="292" customWidth="1"/>
    <col min="14597" max="14597" width="3.00390625" style="292" customWidth="1"/>
    <col min="14598" max="14598" width="14.140625" style="292" customWidth="1"/>
    <col min="14599" max="14599" width="2.00390625" style="292" customWidth="1"/>
    <col min="14600" max="14600" width="15.8515625" style="292" customWidth="1"/>
    <col min="14601" max="14601" width="3.140625" style="292" customWidth="1"/>
    <col min="14602" max="14602" width="17.8515625" style="292" customWidth="1"/>
    <col min="14603" max="14603" width="2.57421875" style="292" customWidth="1"/>
    <col min="14604" max="14604" width="15.57421875" style="292" customWidth="1"/>
    <col min="14605" max="14605" width="1.8515625" style="292" customWidth="1"/>
    <col min="14606" max="14606" width="14.140625" style="292" customWidth="1"/>
    <col min="14607" max="14607" width="11.00390625" style="292" customWidth="1"/>
    <col min="14608" max="14609" width="25.00390625" style="292" customWidth="1"/>
    <col min="14610" max="14610" width="1.8515625" style="292" customWidth="1"/>
    <col min="14611" max="14611" width="17.8515625" style="292" customWidth="1"/>
    <col min="14612" max="14612" width="1.8515625" style="292" customWidth="1"/>
    <col min="14613" max="14613" width="19.00390625" style="292" customWidth="1"/>
    <col min="14614" max="14614" width="1.8515625" style="292" customWidth="1"/>
    <col min="14615" max="14615" width="16.7109375" style="292" customWidth="1"/>
    <col min="14616" max="14616" width="1.8515625" style="292" customWidth="1"/>
    <col min="14617" max="14617" width="16.7109375" style="292" customWidth="1"/>
    <col min="14618" max="14618" width="1.8515625" style="292" customWidth="1"/>
    <col min="14619" max="14619" width="16.7109375" style="292" customWidth="1"/>
    <col min="14620" max="14620" width="1.8515625" style="292" customWidth="1"/>
    <col min="14621" max="14621" width="16.7109375" style="292" customWidth="1"/>
    <col min="14622" max="14622" width="1.8515625" style="292" customWidth="1"/>
    <col min="14623" max="14623" width="17.8515625" style="292" customWidth="1"/>
    <col min="14624" max="14624" width="5.28125" style="292" customWidth="1"/>
    <col min="14625" max="14625" width="16.7109375" style="292" customWidth="1"/>
    <col min="14626" max="14626" width="5.28125" style="292" customWidth="1"/>
    <col min="14627" max="14627" width="14.421875" style="292" customWidth="1"/>
    <col min="14628" max="14628" width="1.8515625" style="292" customWidth="1"/>
    <col min="14629" max="14629" width="16.7109375" style="292" customWidth="1"/>
    <col min="14630" max="14839" width="11.00390625" style="292" customWidth="1"/>
    <col min="14840" max="14840" width="7.57421875" style="292" customWidth="1"/>
    <col min="14841" max="14841" width="15.57421875" style="292" customWidth="1"/>
    <col min="14842" max="14842" width="20.140625" style="292" customWidth="1"/>
    <col min="14843" max="14843" width="2.28125" style="292" customWidth="1"/>
    <col min="14844" max="14844" width="17.421875" style="292" customWidth="1"/>
    <col min="14845" max="14845" width="1.8515625" style="292" customWidth="1"/>
    <col min="14846" max="14846" width="18.7109375" style="292" customWidth="1"/>
    <col min="14847" max="14847" width="1.8515625" style="292" customWidth="1"/>
    <col min="14848" max="14848" width="23.00390625" style="292" customWidth="1"/>
    <col min="14849" max="14849" width="1.8515625" style="292" customWidth="1"/>
    <col min="14850" max="14850" width="17.421875" style="292" customWidth="1"/>
    <col min="14851" max="14851" width="3.00390625" style="292" customWidth="1"/>
    <col min="14852" max="14852" width="16.28125" style="292" customWidth="1"/>
    <col min="14853" max="14853" width="3.00390625" style="292" customWidth="1"/>
    <col min="14854" max="14854" width="14.140625" style="292" customWidth="1"/>
    <col min="14855" max="14855" width="2.00390625" style="292" customWidth="1"/>
    <col min="14856" max="14856" width="15.8515625" style="292" customWidth="1"/>
    <col min="14857" max="14857" width="3.140625" style="292" customWidth="1"/>
    <col min="14858" max="14858" width="17.8515625" style="292" customWidth="1"/>
    <col min="14859" max="14859" width="2.57421875" style="292" customWidth="1"/>
    <col min="14860" max="14860" width="15.57421875" style="292" customWidth="1"/>
    <col min="14861" max="14861" width="1.8515625" style="292" customWidth="1"/>
    <col min="14862" max="14862" width="14.140625" style="292" customWidth="1"/>
    <col min="14863" max="14863" width="11.00390625" style="292" customWidth="1"/>
    <col min="14864" max="14865" width="25.00390625" style="292" customWidth="1"/>
    <col min="14866" max="14866" width="1.8515625" style="292" customWidth="1"/>
    <col min="14867" max="14867" width="17.8515625" style="292" customWidth="1"/>
    <col min="14868" max="14868" width="1.8515625" style="292" customWidth="1"/>
    <col min="14869" max="14869" width="19.00390625" style="292" customWidth="1"/>
    <col min="14870" max="14870" width="1.8515625" style="292" customWidth="1"/>
    <col min="14871" max="14871" width="16.7109375" style="292" customWidth="1"/>
    <col min="14872" max="14872" width="1.8515625" style="292" customWidth="1"/>
    <col min="14873" max="14873" width="16.7109375" style="292" customWidth="1"/>
    <col min="14874" max="14874" width="1.8515625" style="292" customWidth="1"/>
    <col min="14875" max="14875" width="16.7109375" style="292" customWidth="1"/>
    <col min="14876" max="14876" width="1.8515625" style="292" customWidth="1"/>
    <col min="14877" max="14877" width="16.7109375" style="292" customWidth="1"/>
    <col min="14878" max="14878" width="1.8515625" style="292" customWidth="1"/>
    <col min="14879" max="14879" width="17.8515625" style="292" customWidth="1"/>
    <col min="14880" max="14880" width="5.28125" style="292" customWidth="1"/>
    <col min="14881" max="14881" width="16.7109375" style="292" customWidth="1"/>
    <col min="14882" max="14882" width="5.28125" style="292" customWidth="1"/>
    <col min="14883" max="14883" width="14.421875" style="292" customWidth="1"/>
    <col min="14884" max="14884" width="1.8515625" style="292" customWidth="1"/>
    <col min="14885" max="14885" width="16.7109375" style="292" customWidth="1"/>
    <col min="14886" max="15095" width="11.00390625" style="292" customWidth="1"/>
    <col min="15096" max="15096" width="7.57421875" style="292" customWidth="1"/>
    <col min="15097" max="15097" width="15.57421875" style="292" customWidth="1"/>
    <col min="15098" max="15098" width="20.140625" style="292" customWidth="1"/>
    <col min="15099" max="15099" width="2.28125" style="292" customWidth="1"/>
    <col min="15100" max="15100" width="17.421875" style="292" customWidth="1"/>
    <col min="15101" max="15101" width="1.8515625" style="292" customWidth="1"/>
    <col min="15102" max="15102" width="18.7109375" style="292" customWidth="1"/>
    <col min="15103" max="15103" width="1.8515625" style="292" customWidth="1"/>
    <col min="15104" max="15104" width="23.00390625" style="292" customWidth="1"/>
    <col min="15105" max="15105" width="1.8515625" style="292" customWidth="1"/>
    <col min="15106" max="15106" width="17.421875" style="292" customWidth="1"/>
    <col min="15107" max="15107" width="3.00390625" style="292" customWidth="1"/>
    <col min="15108" max="15108" width="16.28125" style="292" customWidth="1"/>
    <col min="15109" max="15109" width="3.00390625" style="292" customWidth="1"/>
    <col min="15110" max="15110" width="14.140625" style="292" customWidth="1"/>
    <col min="15111" max="15111" width="2.00390625" style="292" customWidth="1"/>
    <col min="15112" max="15112" width="15.8515625" style="292" customWidth="1"/>
    <col min="15113" max="15113" width="3.140625" style="292" customWidth="1"/>
    <col min="15114" max="15114" width="17.8515625" style="292" customWidth="1"/>
    <col min="15115" max="15115" width="2.57421875" style="292" customWidth="1"/>
    <col min="15116" max="15116" width="15.57421875" style="292" customWidth="1"/>
    <col min="15117" max="15117" width="1.8515625" style="292" customWidth="1"/>
    <col min="15118" max="15118" width="14.140625" style="292" customWidth="1"/>
    <col min="15119" max="15119" width="11.00390625" style="292" customWidth="1"/>
    <col min="15120" max="15121" width="25.00390625" style="292" customWidth="1"/>
    <col min="15122" max="15122" width="1.8515625" style="292" customWidth="1"/>
    <col min="15123" max="15123" width="17.8515625" style="292" customWidth="1"/>
    <col min="15124" max="15124" width="1.8515625" style="292" customWidth="1"/>
    <col min="15125" max="15125" width="19.00390625" style="292" customWidth="1"/>
    <col min="15126" max="15126" width="1.8515625" style="292" customWidth="1"/>
    <col min="15127" max="15127" width="16.7109375" style="292" customWidth="1"/>
    <col min="15128" max="15128" width="1.8515625" style="292" customWidth="1"/>
    <col min="15129" max="15129" width="16.7109375" style="292" customWidth="1"/>
    <col min="15130" max="15130" width="1.8515625" style="292" customWidth="1"/>
    <col min="15131" max="15131" width="16.7109375" style="292" customWidth="1"/>
    <col min="15132" max="15132" width="1.8515625" style="292" customWidth="1"/>
    <col min="15133" max="15133" width="16.7109375" style="292" customWidth="1"/>
    <col min="15134" max="15134" width="1.8515625" style="292" customWidth="1"/>
    <col min="15135" max="15135" width="17.8515625" style="292" customWidth="1"/>
    <col min="15136" max="15136" width="5.28125" style="292" customWidth="1"/>
    <col min="15137" max="15137" width="16.7109375" style="292" customWidth="1"/>
    <col min="15138" max="15138" width="5.28125" style="292" customWidth="1"/>
    <col min="15139" max="15139" width="14.421875" style="292" customWidth="1"/>
    <col min="15140" max="15140" width="1.8515625" style="292" customWidth="1"/>
    <col min="15141" max="15141" width="16.7109375" style="292" customWidth="1"/>
    <col min="15142" max="15351" width="11.00390625" style="292" customWidth="1"/>
    <col min="15352" max="15352" width="7.57421875" style="292" customWidth="1"/>
    <col min="15353" max="15353" width="15.57421875" style="292" customWidth="1"/>
    <col min="15354" max="15354" width="20.140625" style="292" customWidth="1"/>
    <col min="15355" max="15355" width="2.28125" style="292" customWidth="1"/>
    <col min="15356" max="15356" width="17.421875" style="292" customWidth="1"/>
    <col min="15357" max="15357" width="1.8515625" style="292" customWidth="1"/>
    <col min="15358" max="15358" width="18.7109375" style="292" customWidth="1"/>
    <col min="15359" max="15359" width="1.8515625" style="292" customWidth="1"/>
    <col min="15360" max="15360" width="23.00390625" style="292" customWidth="1"/>
    <col min="15361" max="15361" width="1.8515625" style="292" customWidth="1"/>
    <col min="15362" max="15362" width="17.421875" style="292" customWidth="1"/>
    <col min="15363" max="15363" width="3.00390625" style="292" customWidth="1"/>
    <col min="15364" max="15364" width="16.28125" style="292" customWidth="1"/>
    <col min="15365" max="15365" width="3.00390625" style="292" customWidth="1"/>
    <col min="15366" max="15366" width="14.140625" style="292" customWidth="1"/>
    <col min="15367" max="15367" width="2.00390625" style="292" customWidth="1"/>
    <col min="15368" max="15368" width="15.8515625" style="292" customWidth="1"/>
    <col min="15369" max="15369" width="3.140625" style="292" customWidth="1"/>
    <col min="15370" max="15370" width="17.8515625" style="292" customWidth="1"/>
    <col min="15371" max="15371" width="2.57421875" style="292" customWidth="1"/>
    <col min="15372" max="15372" width="15.57421875" style="292" customWidth="1"/>
    <col min="15373" max="15373" width="1.8515625" style="292" customWidth="1"/>
    <col min="15374" max="15374" width="14.140625" style="292" customWidth="1"/>
    <col min="15375" max="15375" width="11.00390625" style="292" customWidth="1"/>
    <col min="15376" max="15377" width="25.00390625" style="292" customWidth="1"/>
    <col min="15378" max="15378" width="1.8515625" style="292" customWidth="1"/>
    <col min="15379" max="15379" width="17.8515625" style="292" customWidth="1"/>
    <col min="15380" max="15380" width="1.8515625" style="292" customWidth="1"/>
    <col min="15381" max="15381" width="19.00390625" style="292" customWidth="1"/>
    <col min="15382" max="15382" width="1.8515625" style="292" customWidth="1"/>
    <col min="15383" max="15383" width="16.7109375" style="292" customWidth="1"/>
    <col min="15384" max="15384" width="1.8515625" style="292" customWidth="1"/>
    <col min="15385" max="15385" width="16.7109375" style="292" customWidth="1"/>
    <col min="15386" max="15386" width="1.8515625" style="292" customWidth="1"/>
    <col min="15387" max="15387" width="16.7109375" style="292" customWidth="1"/>
    <col min="15388" max="15388" width="1.8515625" style="292" customWidth="1"/>
    <col min="15389" max="15389" width="16.7109375" style="292" customWidth="1"/>
    <col min="15390" max="15390" width="1.8515625" style="292" customWidth="1"/>
    <col min="15391" max="15391" width="17.8515625" style="292" customWidth="1"/>
    <col min="15392" max="15392" width="5.28125" style="292" customWidth="1"/>
    <col min="15393" max="15393" width="16.7109375" style="292" customWidth="1"/>
    <col min="15394" max="15394" width="5.28125" style="292" customWidth="1"/>
    <col min="15395" max="15395" width="14.421875" style="292" customWidth="1"/>
    <col min="15396" max="15396" width="1.8515625" style="292" customWidth="1"/>
    <col min="15397" max="15397" width="16.7109375" style="292" customWidth="1"/>
    <col min="15398" max="15607" width="11.00390625" style="292" customWidth="1"/>
    <col min="15608" max="15608" width="7.57421875" style="292" customWidth="1"/>
    <col min="15609" max="15609" width="15.57421875" style="292" customWidth="1"/>
    <col min="15610" max="15610" width="20.140625" style="292" customWidth="1"/>
    <col min="15611" max="15611" width="2.28125" style="292" customWidth="1"/>
    <col min="15612" max="15612" width="17.421875" style="292" customWidth="1"/>
    <col min="15613" max="15613" width="1.8515625" style="292" customWidth="1"/>
    <col min="15614" max="15614" width="18.7109375" style="292" customWidth="1"/>
    <col min="15615" max="15615" width="1.8515625" style="292" customWidth="1"/>
    <col min="15616" max="15616" width="23.00390625" style="292" customWidth="1"/>
    <col min="15617" max="15617" width="1.8515625" style="292" customWidth="1"/>
    <col min="15618" max="15618" width="17.421875" style="292" customWidth="1"/>
    <col min="15619" max="15619" width="3.00390625" style="292" customWidth="1"/>
    <col min="15620" max="15620" width="16.28125" style="292" customWidth="1"/>
    <col min="15621" max="15621" width="3.00390625" style="292" customWidth="1"/>
    <col min="15622" max="15622" width="14.140625" style="292" customWidth="1"/>
    <col min="15623" max="15623" width="2.00390625" style="292" customWidth="1"/>
    <col min="15624" max="15624" width="15.8515625" style="292" customWidth="1"/>
    <col min="15625" max="15625" width="3.140625" style="292" customWidth="1"/>
    <col min="15626" max="15626" width="17.8515625" style="292" customWidth="1"/>
    <col min="15627" max="15627" width="2.57421875" style="292" customWidth="1"/>
    <col min="15628" max="15628" width="15.57421875" style="292" customWidth="1"/>
    <col min="15629" max="15629" width="1.8515625" style="292" customWidth="1"/>
    <col min="15630" max="15630" width="14.140625" style="292" customWidth="1"/>
    <col min="15631" max="15631" width="11.00390625" style="292" customWidth="1"/>
    <col min="15632" max="15633" width="25.00390625" style="292" customWidth="1"/>
    <col min="15634" max="15634" width="1.8515625" style="292" customWidth="1"/>
    <col min="15635" max="15635" width="17.8515625" style="292" customWidth="1"/>
    <col min="15636" max="15636" width="1.8515625" style="292" customWidth="1"/>
    <col min="15637" max="15637" width="19.00390625" style="292" customWidth="1"/>
    <col min="15638" max="15638" width="1.8515625" style="292" customWidth="1"/>
    <col min="15639" max="15639" width="16.7109375" style="292" customWidth="1"/>
    <col min="15640" max="15640" width="1.8515625" style="292" customWidth="1"/>
    <col min="15641" max="15641" width="16.7109375" style="292" customWidth="1"/>
    <col min="15642" max="15642" width="1.8515625" style="292" customWidth="1"/>
    <col min="15643" max="15643" width="16.7109375" style="292" customWidth="1"/>
    <col min="15644" max="15644" width="1.8515625" style="292" customWidth="1"/>
    <col min="15645" max="15645" width="16.7109375" style="292" customWidth="1"/>
    <col min="15646" max="15646" width="1.8515625" style="292" customWidth="1"/>
    <col min="15647" max="15647" width="17.8515625" style="292" customWidth="1"/>
    <col min="15648" max="15648" width="5.28125" style="292" customWidth="1"/>
    <col min="15649" max="15649" width="16.7109375" style="292" customWidth="1"/>
    <col min="15650" max="15650" width="5.28125" style="292" customWidth="1"/>
    <col min="15651" max="15651" width="14.421875" style="292" customWidth="1"/>
    <col min="15652" max="15652" width="1.8515625" style="292" customWidth="1"/>
    <col min="15653" max="15653" width="16.7109375" style="292" customWidth="1"/>
    <col min="15654" max="15863" width="11.00390625" style="292" customWidth="1"/>
    <col min="15864" max="15864" width="7.57421875" style="292" customWidth="1"/>
    <col min="15865" max="15865" width="15.57421875" style="292" customWidth="1"/>
    <col min="15866" max="15866" width="20.140625" style="292" customWidth="1"/>
    <col min="15867" max="15867" width="2.28125" style="292" customWidth="1"/>
    <col min="15868" max="15868" width="17.421875" style="292" customWidth="1"/>
    <col min="15869" max="15869" width="1.8515625" style="292" customWidth="1"/>
    <col min="15870" max="15870" width="18.7109375" style="292" customWidth="1"/>
    <col min="15871" max="15871" width="1.8515625" style="292" customWidth="1"/>
    <col min="15872" max="15872" width="23.00390625" style="292" customWidth="1"/>
    <col min="15873" max="15873" width="1.8515625" style="292" customWidth="1"/>
    <col min="15874" max="15874" width="17.421875" style="292" customWidth="1"/>
    <col min="15875" max="15875" width="3.00390625" style="292" customWidth="1"/>
    <col min="15876" max="15876" width="16.28125" style="292" customWidth="1"/>
    <col min="15877" max="15877" width="3.00390625" style="292" customWidth="1"/>
    <col min="15878" max="15878" width="14.140625" style="292" customWidth="1"/>
    <col min="15879" max="15879" width="2.00390625" style="292" customWidth="1"/>
    <col min="15880" max="15880" width="15.8515625" style="292" customWidth="1"/>
    <col min="15881" max="15881" width="3.140625" style="292" customWidth="1"/>
    <col min="15882" max="15882" width="17.8515625" style="292" customWidth="1"/>
    <col min="15883" max="15883" width="2.57421875" style="292" customWidth="1"/>
    <col min="15884" max="15884" width="15.57421875" style="292" customWidth="1"/>
    <col min="15885" max="15885" width="1.8515625" style="292" customWidth="1"/>
    <col min="15886" max="15886" width="14.140625" style="292" customWidth="1"/>
    <col min="15887" max="15887" width="11.00390625" style="292" customWidth="1"/>
    <col min="15888" max="15889" width="25.00390625" style="292" customWidth="1"/>
    <col min="15890" max="15890" width="1.8515625" style="292" customWidth="1"/>
    <col min="15891" max="15891" width="17.8515625" style="292" customWidth="1"/>
    <col min="15892" max="15892" width="1.8515625" style="292" customWidth="1"/>
    <col min="15893" max="15893" width="19.00390625" style="292" customWidth="1"/>
    <col min="15894" max="15894" width="1.8515625" style="292" customWidth="1"/>
    <col min="15895" max="15895" width="16.7109375" style="292" customWidth="1"/>
    <col min="15896" max="15896" width="1.8515625" style="292" customWidth="1"/>
    <col min="15897" max="15897" width="16.7109375" style="292" customWidth="1"/>
    <col min="15898" max="15898" width="1.8515625" style="292" customWidth="1"/>
    <col min="15899" max="15899" width="16.7109375" style="292" customWidth="1"/>
    <col min="15900" max="15900" width="1.8515625" style="292" customWidth="1"/>
    <col min="15901" max="15901" width="16.7109375" style="292" customWidth="1"/>
    <col min="15902" max="15902" width="1.8515625" style="292" customWidth="1"/>
    <col min="15903" max="15903" width="17.8515625" style="292" customWidth="1"/>
    <col min="15904" max="15904" width="5.28125" style="292" customWidth="1"/>
    <col min="15905" max="15905" width="16.7109375" style="292" customWidth="1"/>
    <col min="15906" max="15906" width="5.28125" style="292" customWidth="1"/>
    <col min="15907" max="15907" width="14.421875" style="292" customWidth="1"/>
    <col min="15908" max="15908" width="1.8515625" style="292" customWidth="1"/>
    <col min="15909" max="15909" width="16.7109375" style="292" customWidth="1"/>
    <col min="15910" max="16119" width="11.00390625" style="292" customWidth="1"/>
    <col min="16120" max="16120" width="7.57421875" style="292" customWidth="1"/>
    <col min="16121" max="16121" width="15.57421875" style="292" customWidth="1"/>
    <col min="16122" max="16122" width="20.140625" style="292" customWidth="1"/>
    <col min="16123" max="16123" width="2.28125" style="292" customWidth="1"/>
    <col min="16124" max="16124" width="17.421875" style="292" customWidth="1"/>
    <col min="16125" max="16125" width="1.8515625" style="292" customWidth="1"/>
    <col min="16126" max="16126" width="18.7109375" style="292" customWidth="1"/>
    <col min="16127" max="16127" width="1.8515625" style="292" customWidth="1"/>
    <col min="16128" max="16128" width="23.00390625" style="292" customWidth="1"/>
    <col min="16129" max="16129" width="1.8515625" style="292" customWidth="1"/>
    <col min="16130" max="16130" width="17.421875" style="292" customWidth="1"/>
    <col min="16131" max="16131" width="3.00390625" style="292" customWidth="1"/>
    <col min="16132" max="16132" width="16.28125" style="292" customWidth="1"/>
    <col min="16133" max="16133" width="3.00390625" style="292" customWidth="1"/>
    <col min="16134" max="16134" width="14.140625" style="292" customWidth="1"/>
    <col min="16135" max="16135" width="2.00390625" style="292" customWidth="1"/>
    <col min="16136" max="16136" width="15.8515625" style="292" customWidth="1"/>
    <col min="16137" max="16137" width="3.140625" style="292" customWidth="1"/>
    <col min="16138" max="16138" width="17.8515625" style="292" customWidth="1"/>
    <col min="16139" max="16139" width="2.57421875" style="292" customWidth="1"/>
    <col min="16140" max="16140" width="15.57421875" style="292" customWidth="1"/>
    <col min="16141" max="16141" width="1.8515625" style="292" customWidth="1"/>
    <col min="16142" max="16142" width="14.140625" style="292" customWidth="1"/>
    <col min="16143" max="16143" width="11.00390625" style="292" customWidth="1"/>
    <col min="16144" max="16145" width="25.00390625" style="292" customWidth="1"/>
    <col min="16146" max="16146" width="1.8515625" style="292" customWidth="1"/>
    <col min="16147" max="16147" width="17.8515625" style="292" customWidth="1"/>
    <col min="16148" max="16148" width="1.8515625" style="292" customWidth="1"/>
    <col min="16149" max="16149" width="19.00390625" style="292" customWidth="1"/>
    <col min="16150" max="16150" width="1.8515625" style="292" customWidth="1"/>
    <col min="16151" max="16151" width="16.7109375" style="292" customWidth="1"/>
    <col min="16152" max="16152" width="1.8515625" style="292" customWidth="1"/>
    <col min="16153" max="16153" width="16.7109375" style="292" customWidth="1"/>
    <col min="16154" max="16154" width="1.8515625" style="292" customWidth="1"/>
    <col min="16155" max="16155" width="16.7109375" style="292" customWidth="1"/>
    <col min="16156" max="16156" width="1.8515625" style="292" customWidth="1"/>
    <col min="16157" max="16157" width="16.7109375" style="292" customWidth="1"/>
    <col min="16158" max="16158" width="1.8515625" style="292" customWidth="1"/>
    <col min="16159" max="16159" width="17.8515625" style="292" customWidth="1"/>
    <col min="16160" max="16160" width="5.28125" style="292" customWidth="1"/>
    <col min="16161" max="16161" width="16.7109375" style="292" customWidth="1"/>
    <col min="16162" max="16162" width="5.28125" style="292" customWidth="1"/>
    <col min="16163" max="16163" width="14.421875" style="292" customWidth="1"/>
    <col min="16164" max="16164" width="1.8515625" style="292" customWidth="1"/>
    <col min="16165" max="16165" width="16.7109375" style="292" customWidth="1"/>
    <col min="16166" max="16384" width="11.00390625" style="292" customWidth="1"/>
  </cols>
  <sheetData>
    <row r="1" spans="12:17" s="292" customFormat="1" ht="12.75">
      <c r="L1" s="297"/>
      <c r="M1" s="297"/>
      <c r="N1" s="297"/>
      <c r="O1" s="297"/>
      <c r="P1" s="297"/>
      <c r="Q1" s="297"/>
    </row>
    <row r="2" spans="2:37" s="292" customFormat="1" ht="12.75">
      <c r="B2" s="485" t="s">
        <v>504</v>
      </c>
      <c r="C2" s="485"/>
      <c r="D2" s="485"/>
      <c r="E2" s="485"/>
      <c r="F2" s="485"/>
      <c r="G2" s="485"/>
      <c r="H2" s="485"/>
      <c r="I2" s="485"/>
      <c r="J2" s="485"/>
      <c r="K2" s="485"/>
      <c r="L2" s="485"/>
      <c r="M2" s="485"/>
      <c r="N2" s="485"/>
      <c r="O2" s="303"/>
      <c r="P2" s="297"/>
      <c r="Q2" s="297"/>
      <c r="R2" s="304"/>
      <c r="S2" s="304"/>
      <c r="T2" s="304"/>
      <c r="U2" s="305"/>
      <c r="V2" s="304"/>
      <c r="W2" s="305"/>
      <c r="X2" s="304"/>
      <c r="Y2" s="305"/>
      <c r="Z2" s="304"/>
      <c r="AA2" s="304"/>
      <c r="AB2" s="304"/>
      <c r="AC2" s="304"/>
      <c r="AD2" s="304"/>
      <c r="AE2" s="304"/>
      <c r="AF2" s="304"/>
      <c r="AG2" s="304"/>
      <c r="AH2" s="304"/>
      <c r="AI2" s="304"/>
      <c r="AJ2" s="304"/>
      <c r="AK2" s="304"/>
    </row>
    <row r="3" spans="2:37" s="292" customFormat="1" ht="12.75">
      <c r="B3" s="485" t="s">
        <v>505</v>
      </c>
      <c r="C3" s="485"/>
      <c r="D3" s="485"/>
      <c r="E3" s="485"/>
      <c r="F3" s="485"/>
      <c r="G3" s="485"/>
      <c r="H3" s="485"/>
      <c r="I3" s="485"/>
      <c r="J3" s="485"/>
      <c r="K3" s="485"/>
      <c r="L3" s="485"/>
      <c r="M3" s="485"/>
      <c r="N3" s="485"/>
      <c r="O3" s="303"/>
      <c r="P3" s="297"/>
      <c r="Q3" s="297"/>
      <c r="R3" s="304"/>
      <c r="S3" s="304"/>
      <c r="T3" s="304"/>
      <c r="U3" s="305"/>
      <c r="V3" s="304"/>
      <c r="W3" s="305"/>
      <c r="X3" s="304"/>
      <c r="Y3" s="304"/>
      <c r="Z3" s="304"/>
      <c r="AA3" s="304"/>
      <c r="AB3" s="304"/>
      <c r="AC3" s="304"/>
      <c r="AD3" s="304"/>
      <c r="AE3" s="304"/>
      <c r="AF3" s="304"/>
      <c r="AG3" s="304"/>
      <c r="AH3" s="304"/>
      <c r="AI3" s="304"/>
      <c r="AJ3" s="304"/>
      <c r="AK3" s="304"/>
    </row>
    <row r="4" spans="2:37" s="292" customFormat="1" ht="12.75">
      <c r="B4" s="485" t="s">
        <v>506</v>
      </c>
      <c r="C4" s="485"/>
      <c r="D4" s="485"/>
      <c r="E4" s="485"/>
      <c r="F4" s="485"/>
      <c r="G4" s="485"/>
      <c r="H4" s="485"/>
      <c r="I4" s="485"/>
      <c r="J4" s="485"/>
      <c r="K4" s="485"/>
      <c r="L4" s="485"/>
      <c r="M4" s="485"/>
      <c r="N4" s="485"/>
      <c r="O4" s="303"/>
      <c r="P4" s="297"/>
      <c r="Q4" s="297"/>
      <c r="R4" s="304"/>
      <c r="S4" s="304"/>
      <c r="T4" s="304"/>
      <c r="U4" s="305"/>
      <c r="V4" s="304"/>
      <c r="W4" s="305"/>
      <c r="X4" s="305"/>
      <c r="Y4" s="304"/>
      <c r="Z4" s="304"/>
      <c r="AA4" s="304"/>
      <c r="AB4" s="304"/>
      <c r="AC4" s="304"/>
      <c r="AD4" s="304"/>
      <c r="AE4" s="304"/>
      <c r="AF4" s="304"/>
      <c r="AG4" s="304"/>
      <c r="AH4" s="304"/>
      <c r="AI4" s="304"/>
      <c r="AJ4" s="304"/>
      <c r="AK4" s="304"/>
    </row>
    <row r="5" spans="2:37" s="292" customFormat="1" ht="12.75">
      <c r="B5" s="485" t="s">
        <v>507</v>
      </c>
      <c r="C5" s="485"/>
      <c r="D5" s="485"/>
      <c r="E5" s="485"/>
      <c r="F5" s="485"/>
      <c r="G5" s="485"/>
      <c r="H5" s="485"/>
      <c r="I5" s="485"/>
      <c r="J5" s="485"/>
      <c r="K5" s="485"/>
      <c r="L5" s="485"/>
      <c r="M5" s="485"/>
      <c r="N5" s="485"/>
      <c r="O5" s="303"/>
      <c r="P5" s="297"/>
      <c r="Q5" s="297"/>
      <c r="R5" s="304"/>
      <c r="S5" s="304"/>
      <c r="T5" s="305"/>
      <c r="U5" s="305"/>
      <c r="V5" s="304"/>
      <c r="W5" s="304"/>
      <c r="X5" s="304"/>
      <c r="Y5" s="304"/>
      <c r="Z5" s="304"/>
      <c r="AA5" s="304"/>
      <c r="AB5" s="304"/>
      <c r="AC5" s="304"/>
      <c r="AD5" s="304"/>
      <c r="AE5" s="304"/>
      <c r="AF5" s="304"/>
      <c r="AG5" s="304"/>
      <c r="AH5" s="304"/>
      <c r="AI5" s="304"/>
      <c r="AJ5" s="304"/>
      <c r="AK5" s="304"/>
    </row>
    <row r="6" spans="2:37" s="292" customFormat="1" ht="12.75">
      <c r="B6" s="486" t="s">
        <v>508</v>
      </c>
      <c r="C6" s="486"/>
      <c r="D6" s="486"/>
      <c r="E6" s="486"/>
      <c r="F6" s="486"/>
      <c r="G6" s="486"/>
      <c r="H6" s="486"/>
      <c r="I6" s="486"/>
      <c r="J6" s="486"/>
      <c r="K6" s="486"/>
      <c r="L6" s="486"/>
      <c r="M6" s="486"/>
      <c r="N6" s="486"/>
      <c r="O6" s="303"/>
      <c r="P6" s="297"/>
      <c r="Q6" s="297"/>
      <c r="R6" s="304"/>
      <c r="S6" s="304"/>
      <c r="T6" s="304"/>
      <c r="U6" s="305"/>
      <c r="V6" s="304"/>
      <c r="W6" s="304"/>
      <c r="X6" s="304"/>
      <c r="Y6" s="305"/>
      <c r="Z6" s="304"/>
      <c r="AA6" s="304"/>
      <c r="AB6" s="304"/>
      <c r="AC6" s="304"/>
      <c r="AD6" s="304"/>
      <c r="AE6" s="304"/>
      <c r="AF6" s="304"/>
      <c r="AG6" s="304"/>
      <c r="AH6" s="304"/>
      <c r="AI6" s="304"/>
      <c r="AJ6" s="304"/>
      <c r="AK6" s="304"/>
    </row>
    <row r="7" spans="3:37" s="292" customFormat="1" ht="12.75">
      <c r="C7" s="305"/>
      <c r="D7" s="304"/>
      <c r="E7" s="304"/>
      <c r="F7" s="304"/>
      <c r="G7" s="305"/>
      <c r="H7" s="304"/>
      <c r="I7" s="304"/>
      <c r="J7" s="304"/>
      <c r="K7" s="304"/>
      <c r="L7" s="307"/>
      <c r="M7" s="307"/>
      <c r="N7" s="307"/>
      <c r="O7" s="303"/>
      <c r="P7" s="297"/>
      <c r="Q7" s="297"/>
      <c r="R7" s="304"/>
      <c r="S7" s="304"/>
      <c r="T7" s="304"/>
      <c r="U7" s="305"/>
      <c r="V7" s="304"/>
      <c r="W7" s="304"/>
      <c r="X7" s="304"/>
      <c r="Y7" s="305"/>
      <c r="Z7" s="304"/>
      <c r="AA7" s="304"/>
      <c r="AB7" s="304"/>
      <c r="AC7" s="304"/>
      <c r="AD7" s="304"/>
      <c r="AE7" s="304"/>
      <c r="AF7" s="304"/>
      <c r="AG7" s="304"/>
      <c r="AH7" s="304"/>
      <c r="AI7" s="304"/>
      <c r="AJ7" s="304"/>
      <c r="AK7" s="304"/>
    </row>
    <row r="8" spans="3:37" s="292" customFormat="1" ht="12.75">
      <c r="C8" s="298"/>
      <c r="D8" s="298"/>
      <c r="E8" s="298"/>
      <c r="F8" s="298"/>
      <c r="G8" s="298"/>
      <c r="H8" s="298"/>
      <c r="I8" s="298"/>
      <c r="J8" s="298"/>
      <c r="K8" s="298"/>
      <c r="L8" s="309"/>
      <c r="M8" s="309"/>
      <c r="N8" s="309"/>
      <c r="O8" s="297"/>
      <c r="P8" s="297"/>
      <c r="Q8" s="297"/>
      <c r="R8" s="298"/>
      <c r="S8" s="298"/>
      <c r="T8" s="298"/>
      <c r="U8" s="298"/>
      <c r="V8" s="298"/>
      <c r="W8" s="298"/>
      <c r="X8" s="298"/>
      <c r="Y8" s="298"/>
      <c r="Z8" s="298"/>
      <c r="AA8" s="298"/>
      <c r="AB8" s="298"/>
      <c r="AC8" s="298"/>
      <c r="AD8" s="298"/>
      <c r="AE8" s="298"/>
      <c r="AF8" s="298"/>
      <c r="AG8" s="298"/>
      <c r="AH8" s="298"/>
      <c r="AI8" s="298"/>
      <c r="AJ8" s="298"/>
      <c r="AK8" s="298"/>
    </row>
    <row r="9" spans="12:37" s="292" customFormat="1" ht="12.75">
      <c r="L9" s="297"/>
      <c r="M9" s="297"/>
      <c r="N9" s="297"/>
      <c r="O9" s="297"/>
      <c r="P9" s="297"/>
      <c r="Q9" s="297"/>
      <c r="R9" s="298"/>
      <c r="S9" s="310"/>
      <c r="T9" s="298"/>
      <c r="U9" s="310"/>
      <c r="V9" s="298"/>
      <c r="W9" s="310"/>
      <c r="X9" s="298"/>
      <c r="Y9" s="310"/>
      <c r="Z9" s="298"/>
      <c r="AA9" s="310"/>
      <c r="AB9" s="298"/>
      <c r="AC9" s="310"/>
      <c r="AD9" s="298"/>
      <c r="AE9" s="310"/>
      <c r="AF9" s="298"/>
      <c r="AG9" s="310"/>
      <c r="AH9" s="298"/>
      <c r="AI9" s="310"/>
      <c r="AJ9" s="298"/>
      <c r="AK9" s="310"/>
    </row>
    <row r="10" spans="12:37" s="292" customFormat="1" ht="12.75">
      <c r="L10" s="297"/>
      <c r="M10" s="297"/>
      <c r="N10" s="297"/>
      <c r="O10" s="297"/>
      <c r="P10" s="297"/>
      <c r="Q10" s="297"/>
      <c r="R10" s="298"/>
      <c r="S10" s="298"/>
      <c r="T10" s="298"/>
      <c r="U10" s="310"/>
      <c r="V10" s="298"/>
      <c r="W10" s="298"/>
      <c r="X10" s="298"/>
      <c r="Y10" s="298"/>
      <c r="Z10" s="298"/>
      <c r="AA10" s="298"/>
      <c r="AB10" s="298"/>
      <c r="AC10" s="298"/>
      <c r="AD10" s="298"/>
      <c r="AE10" s="298"/>
      <c r="AF10" s="298"/>
      <c r="AG10" s="298"/>
      <c r="AH10" s="298"/>
      <c r="AI10" s="298"/>
      <c r="AJ10" s="298"/>
      <c r="AK10" s="298"/>
    </row>
    <row r="11" spans="3:37" s="292" customFormat="1" ht="12.75">
      <c r="C11" s="310" t="s">
        <v>156</v>
      </c>
      <c r="D11" s="310" t="s">
        <v>157</v>
      </c>
      <c r="E11" s="310" t="s">
        <v>158</v>
      </c>
      <c r="F11" s="310" t="s">
        <v>159</v>
      </c>
      <c r="G11" s="310" t="s">
        <v>160</v>
      </c>
      <c r="H11" s="310" t="s">
        <v>161</v>
      </c>
      <c r="I11" s="310" t="s">
        <v>249</v>
      </c>
      <c r="J11" s="310" t="s">
        <v>250</v>
      </c>
      <c r="K11" s="310" t="s">
        <v>251</v>
      </c>
      <c r="L11" s="312" t="s">
        <v>252</v>
      </c>
      <c r="M11" s="312" t="s">
        <v>253</v>
      </c>
      <c r="N11" s="312" t="s">
        <v>254</v>
      </c>
      <c r="O11" s="297"/>
      <c r="P11" s="297"/>
      <c r="Q11" s="297"/>
      <c r="R11" s="298"/>
      <c r="S11" s="298"/>
      <c r="T11" s="298"/>
      <c r="U11" s="310"/>
      <c r="V11" s="298"/>
      <c r="W11" s="298"/>
      <c r="X11" s="298"/>
      <c r="Y11" s="310"/>
      <c r="Z11" s="298"/>
      <c r="AA11" s="298"/>
      <c r="AB11" s="298"/>
      <c r="AC11" s="298"/>
      <c r="AD11" s="298"/>
      <c r="AE11" s="310"/>
      <c r="AF11" s="298"/>
      <c r="AG11" s="298"/>
      <c r="AH11" s="298"/>
      <c r="AI11" s="298"/>
      <c r="AJ11" s="298"/>
      <c r="AK11" s="298"/>
    </row>
    <row r="12" spans="3:37" s="292" customFormat="1" ht="12.75">
      <c r="C12" s="298"/>
      <c r="D12" s="298"/>
      <c r="E12" s="310" t="s">
        <v>509</v>
      </c>
      <c r="F12" s="298"/>
      <c r="G12" s="298"/>
      <c r="H12" s="298"/>
      <c r="I12" s="298"/>
      <c r="J12" s="298"/>
      <c r="K12" s="298"/>
      <c r="L12" s="309"/>
      <c r="M12" s="309"/>
      <c r="N12" s="309"/>
      <c r="O12" s="297"/>
      <c r="P12" s="297"/>
      <c r="Q12" s="297"/>
      <c r="R12" s="298"/>
      <c r="S12" s="310"/>
      <c r="T12" s="298"/>
      <c r="U12" s="310"/>
      <c r="V12" s="298"/>
      <c r="W12" s="298"/>
      <c r="X12" s="298"/>
      <c r="Y12" s="310"/>
      <c r="Z12" s="298"/>
      <c r="AA12" s="310"/>
      <c r="AB12" s="298"/>
      <c r="AC12" s="310"/>
      <c r="AD12" s="298"/>
      <c r="AE12" s="310"/>
      <c r="AF12" s="298"/>
      <c r="AG12" s="310"/>
      <c r="AH12" s="298"/>
      <c r="AI12" s="310"/>
      <c r="AJ12" s="298"/>
      <c r="AK12" s="310"/>
    </row>
    <row r="13" spans="3:37" s="292" customFormat="1" ht="12.75">
      <c r="C13" s="298"/>
      <c r="D13" s="298"/>
      <c r="E13" s="310" t="s">
        <v>510</v>
      </c>
      <c r="F13" s="298"/>
      <c r="H13" s="298"/>
      <c r="I13" s="298"/>
      <c r="J13" s="310" t="s">
        <v>511</v>
      </c>
      <c r="K13" s="310" t="s">
        <v>751</v>
      </c>
      <c r="L13" s="309"/>
      <c r="M13" s="309"/>
      <c r="N13" s="309"/>
      <c r="O13" s="297"/>
      <c r="P13" s="297"/>
      <c r="Q13" s="297"/>
      <c r="R13" s="298"/>
      <c r="S13" s="310"/>
      <c r="T13" s="298"/>
      <c r="U13" s="310"/>
      <c r="V13" s="298"/>
      <c r="W13" s="298"/>
      <c r="X13" s="298"/>
      <c r="Y13" s="310"/>
      <c r="Z13" s="298"/>
      <c r="AA13" s="310"/>
      <c r="AB13" s="298"/>
      <c r="AC13" s="310"/>
      <c r="AD13" s="298"/>
      <c r="AE13" s="310"/>
      <c r="AF13" s="298"/>
      <c r="AG13" s="310"/>
      <c r="AH13" s="298"/>
      <c r="AI13" s="310"/>
      <c r="AJ13" s="298"/>
      <c r="AK13" s="310"/>
    </row>
    <row r="14" spans="2:37" s="292" customFormat="1" ht="12.75">
      <c r="B14" s="310" t="s">
        <v>512</v>
      </c>
      <c r="C14" s="298"/>
      <c r="D14" s="310" t="s">
        <v>513</v>
      </c>
      <c r="E14" s="310" t="s">
        <v>514</v>
      </c>
      <c r="F14" s="298"/>
      <c r="G14" s="310" t="s">
        <v>282</v>
      </c>
      <c r="H14" s="310" t="s">
        <v>282</v>
      </c>
      <c r="I14" s="310" t="s">
        <v>515</v>
      </c>
      <c r="J14" s="310" t="s">
        <v>516</v>
      </c>
      <c r="K14" s="310" t="s">
        <v>832</v>
      </c>
      <c r="L14" s="312" t="s">
        <v>188</v>
      </c>
      <c r="M14" s="312" t="s">
        <v>517</v>
      </c>
      <c r="N14" s="312" t="s">
        <v>282</v>
      </c>
      <c r="O14" s="297"/>
      <c r="P14" s="297"/>
      <c r="Q14" s="297"/>
      <c r="R14" s="298"/>
      <c r="S14" s="310"/>
      <c r="T14" s="298"/>
      <c r="U14" s="310"/>
      <c r="V14" s="298"/>
      <c r="W14" s="310"/>
      <c r="X14" s="298"/>
      <c r="Y14" s="310"/>
      <c r="Z14" s="298"/>
      <c r="AA14" s="310"/>
      <c r="AB14" s="298"/>
      <c r="AC14" s="310"/>
      <c r="AD14" s="298"/>
      <c r="AE14" s="310"/>
      <c r="AF14" s="298"/>
      <c r="AG14" s="310"/>
      <c r="AH14" s="298"/>
      <c r="AI14" s="310"/>
      <c r="AJ14" s="298"/>
      <c r="AK14" s="310"/>
    </row>
    <row r="15" spans="2:17" s="292" customFormat="1" ht="12.75">
      <c r="B15" s="310" t="s">
        <v>518</v>
      </c>
      <c r="C15" s="310" t="s">
        <v>519</v>
      </c>
      <c r="D15" s="310" t="s">
        <v>520</v>
      </c>
      <c r="E15" s="310" t="s">
        <v>521</v>
      </c>
      <c r="F15" s="298"/>
      <c r="G15" s="310" t="s">
        <v>178</v>
      </c>
      <c r="H15" s="310" t="s">
        <v>519</v>
      </c>
      <c r="I15" s="310" t="s">
        <v>522</v>
      </c>
      <c r="J15" s="310" t="s">
        <v>831</v>
      </c>
      <c r="K15" s="310" t="s">
        <v>523</v>
      </c>
      <c r="L15" s="312" t="s">
        <v>523</v>
      </c>
      <c r="M15" s="312" t="s">
        <v>188</v>
      </c>
      <c r="N15" s="312" t="s">
        <v>524</v>
      </c>
      <c r="O15" s="297"/>
      <c r="P15" s="297"/>
      <c r="Q15" s="297"/>
    </row>
    <row r="16" spans="2:17" s="292" customFormat="1" ht="12.75">
      <c r="B16" s="310" t="s">
        <v>525</v>
      </c>
      <c r="C16" s="310" t="s">
        <v>526</v>
      </c>
      <c r="D16" s="310" t="s">
        <v>527</v>
      </c>
      <c r="E16" s="310" t="s">
        <v>527</v>
      </c>
      <c r="F16" s="310" t="s">
        <v>187</v>
      </c>
      <c r="G16" s="310" t="s">
        <v>528</v>
      </c>
      <c r="H16" s="310" t="s">
        <v>529</v>
      </c>
      <c r="I16" s="310" t="s">
        <v>530</v>
      </c>
      <c r="J16" s="310" t="s">
        <v>531</v>
      </c>
      <c r="K16" s="310" t="s">
        <v>532</v>
      </c>
      <c r="L16" s="312" t="s">
        <v>532</v>
      </c>
      <c r="M16" s="312" t="s">
        <v>533</v>
      </c>
      <c r="N16" s="312" t="s">
        <v>534</v>
      </c>
      <c r="O16" s="297"/>
      <c r="P16" s="297"/>
      <c r="Q16" s="297"/>
    </row>
    <row r="17" spans="1:37" ht="12.75" hidden="1">
      <c r="A17" s="318">
        <v>1</v>
      </c>
      <c r="B17" s="310" t="s">
        <v>535</v>
      </c>
      <c r="C17" s="319">
        <v>3298951</v>
      </c>
      <c r="D17" s="319">
        <v>963839</v>
      </c>
      <c r="E17" s="319">
        <v>348748</v>
      </c>
      <c r="F17" s="319">
        <v>807047</v>
      </c>
      <c r="G17" s="319">
        <v>1220170</v>
      </c>
      <c r="H17" s="319">
        <f>C17-D17-E17-F17-G17</f>
        <v>-40853</v>
      </c>
      <c r="I17" s="319">
        <f>F17</f>
        <v>807047</v>
      </c>
      <c r="J17" s="319">
        <f>H17+I17</f>
        <v>766194</v>
      </c>
      <c r="K17" s="319"/>
      <c r="L17" s="317">
        <v>628460</v>
      </c>
      <c r="N17" s="317">
        <f>J17-L17</f>
        <v>137734</v>
      </c>
      <c r="S17" s="319"/>
      <c r="U17" s="319"/>
      <c r="W17" s="319"/>
      <c r="Y17" s="319"/>
      <c r="AA17" s="319"/>
      <c r="AC17" s="319"/>
      <c r="AE17" s="319"/>
      <c r="AG17" s="319"/>
      <c r="AK17" s="319"/>
    </row>
    <row r="18" ht="12.75" hidden="1">
      <c r="A18" s="318">
        <v>3</v>
      </c>
    </row>
    <row r="19" spans="1:37" ht="12.75" hidden="1">
      <c r="A19" s="318">
        <v>4</v>
      </c>
      <c r="B19" s="310" t="s">
        <v>536</v>
      </c>
      <c r="C19" s="319">
        <v>217534</v>
      </c>
      <c r="D19" s="319">
        <v>40331</v>
      </c>
      <c r="E19" s="319">
        <v>51130</v>
      </c>
      <c r="F19" s="319">
        <v>36511</v>
      </c>
      <c r="G19" s="319">
        <v>81883</v>
      </c>
      <c r="H19" s="319">
        <f>C19-D19-E19-F19-G19</f>
        <v>7679</v>
      </c>
      <c r="I19" s="319">
        <f>F19+10010</f>
        <v>46521</v>
      </c>
      <c r="J19" s="319">
        <f>H19+I19</f>
        <v>54200</v>
      </c>
      <c r="K19" s="319"/>
      <c r="L19" s="317">
        <v>6937</v>
      </c>
      <c r="N19" s="317">
        <f>J19-L19-M19</f>
        <v>47263</v>
      </c>
      <c r="S19" s="319"/>
      <c r="U19" s="319"/>
      <c r="W19" s="319"/>
      <c r="Y19" s="319"/>
      <c r="AA19" s="319"/>
      <c r="AC19" s="319"/>
      <c r="AE19" s="319"/>
      <c r="AG19" s="319"/>
      <c r="AK19" s="319"/>
    </row>
    <row r="20" spans="1:37" ht="12.75" hidden="1">
      <c r="A20" s="318">
        <v>5</v>
      </c>
      <c r="B20" s="310" t="s">
        <v>537</v>
      </c>
      <c r="C20" s="319">
        <v>189542</v>
      </c>
      <c r="D20" s="319">
        <f>9898+39449</f>
        <v>49347</v>
      </c>
      <c r="E20" s="319">
        <v>25195</v>
      </c>
      <c r="F20" s="319">
        <v>39083</v>
      </c>
      <c r="G20" s="319">
        <v>98889</v>
      </c>
      <c r="H20" s="319">
        <f>C20-D20-E20-F20-G20</f>
        <v>-22972</v>
      </c>
      <c r="I20" s="319">
        <f>F20+3503</f>
        <v>42586</v>
      </c>
      <c r="J20" s="319">
        <f>H20+I20</f>
        <v>19614</v>
      </c>
      <c r="K20" s="319"/>
      <c r="L20" s="317">
        <v>914</v>
      </c>
      <c r="N20" s="317">
        <f>J20-L20-M20</f>
        <v>18700</v>
      </c>
      <c r="S20" s="319"/>
      <c r="U20" s="319"/>
      <c r="W20" s="319"/>
      <c r="Y20" s="319"/>
      <c r="AA20" s="319"/>
      <c r="AC20" s="319"/>
      <c r="AE20" s="319"/>
      <c r="AG20" s="319"/>
      <c r="AK20" s="319"/>
    </row>
    <row r="21" spans="1:37" ht="12.75" hidden="1">
      <c r="A21" s="318">
        <v>6</v>
      </c>
      <c r="B21" s="310" t="s">
        <v>538</v>
      </c>
      <c r="C21" s="319">
        <v>341863</v>
      </c>
      <c r="D21" s="319">
        <v>76460</v>
      </c>
      <c r="E21" s="319">
        <f>89272+93471</f>
        <v>182743</v>
      </c>
      <c r="F21" s="319">
        <v>41237</v>
      </c>
      <c r="G21" s="319">
        <v>105740</v>
      </c>
      <c r="H21" s="319">
        <f>C21-D21-E21-F21-G21</f>
        <v>-64317</v>
      </c>
      <c r="I21" s="319">
        <f>F21+44210+8994</f>
        <v>94441</v>
      </c>
      <c r="J21" s="319">
        <f>H21+I21</f>
        <v>30124</v>
      </c>
      <c r="K21" s="319"/>
      <c r="L21" s="317">
        <v>73</v>
      </c>
      <c r="N21" s="317">
        <f>J21-L21-M21</f>
        <v>30051</v>
      </c>
      <c r="S21" s="319"/>
      <c r="U21" s="319"/>
      <c r="W21" s="319"/>
      <c r="Y21" s="319"/>
      <c r="AA21" s="319"/>
      <c r="AC21" s="319"/>
      <c r="AE21" s="319"/>
      <c r="AG21" s="319"/>
      <c r="AK21" s="319"/>
    </row>
    <row r="22" spans="1:37" ht="12.75" hidden="1">
      <c r="A22" s="318">
        <v>7</v>
      </c>
      <c r="B22" s="310" t="s">
        <v>539</v>
      </c>
      <c r="C22" s="319">
        <v>502589</v>
      </c>
      <c r="D22" s="319">
        <f>43497+49493</f>
        <v>92990</v>
      </c>
      <c r="E22" s="319">
        <f>205636+63989</f>
        <v>269625</v>
      </c>
      <c r="F22" s="319">
        <v>42870</v>
      </c>
      <c r="G22" s="319">
        <v>118861</v>
      </c>
      <c r="H22" s="319">
        <f>C22-D22-E22-F22-G22</f>
        <v>-21757</v>
      </c>
      <c r="I22" s="319">
        <f>F22+6071</f>
        <v>48941</v>
      </c>
      <c r="J22" s="319">
        <f>H22+I22</f>
        <v>27184</v>
      </c>
      <c r="K22" s="319"/>
      <c r="L22" s="317">
        <f>1650+2760</f>
        <v>4410</v>
      </c>
      <c r="N22" s="317">
        <f>J22-L22-M22</f>
        <v>22774</v>
      </c>
      <c r="S22" s="319"/>
      <c r="U22" s="319"/>
      <c r="W22" s="319"/>
      <c r="Y22" s="319"/>
      <c r="AA22" s="319"/>
      <c r="AC22" s="319"/>
      <c r="AE22" s="319"/>
      <c r="AG22" s="319"/>
      <c r="AH22" s="316"/>
      <c r="AK22" s="319"/>
    </row>
    <row r="23" spans="1:37" ht="12.75" hidden="1">
      <c r="A23" s="318">
        <v>8</v>
      </c>
      <c r="B23" s="310" t="s">
        <v>540</v>
      </c>
      <c r="C23" s="319">
        <v>1067604</v>
      </c>
      <c r="D23" s="319">
        <f>61354+55494-1418</f>
        <v>115430</v>
      </c>
      <c r="E23" s="319">
        <f>135662+381409+428371</f>
        <v>945442</v>
      </c>
      <c r="F23" s="319">
        <f>47937+1418</f>
        <v>49355</v>
      </c>
      <c r="G23" s="319">
        <v>145610</v>
      </c>
      <c r="H23" s="319">
        <f>C23-D23-E23-F23-G23</f>
        <v>-188233</v>
      </c>
      <c r="I23" s="319">
        <f>F23+6072</f>
        <v>55427</v>
      </c>
      <c r="J23" s="319">
        <f>H23+I23</f>
        <v>-132806</v>
      </c>
      <c r="K23" s="319"/>
      <c r="L23" s="317">
        <v>0</v>
      </c>
      <c r="N23" s="317">
        <f>J23-L23-M23</f>
        <v>-132806</v>
      </c>
      <c r="P23" s="317"/>
      <c r="S23" s="319"/>
      <c r="U23" s="319"/>
      <c r="W23" s="319"/>
      <c r="Y23" s="319"/>
      <c r="AA23" s="319"/>
      <c r="AC23" s="319"/>
      <c r="AE23" s="319"/>
      <c r="AG23" s="319"/>
      <c r="AH23" s="298"/>
      <c r="AK23" s="319"/>
    </row>
    <row r="24" spans="1:37" ht="12.75" hidden="1">
      <c r="A24" s="318">
        <v>9</v>
      </c>
      <c r="B24" s="310"/>
      <c r="C24" s="319"/>
      <c r="D24" s="319"/>
      <c r="E24" s="319"/>
      <c r="F24" s="319"/>
      <c r="G24" s="319"/>
      <c r="H24" s="319"/>
      <c r="I24" s="319"/>
      <c r="J24" s="319"/>
      <c r="K24" s="319"/>
      <c r="L24" s="317"/>
      <c r="N24" s="317"/>
      <c r="P24" s="317"/>
      <c r="S24" s="319"/>
      <c r="U24" s="319"/>
      <c r="W24" s="319"/>
      <c r="Y24" s="319"/>
      <c r="AA24" s="319"/>
      <c r="AC24" s="319"/>
      <c r="AE24" s="319"/>
      <c r="AG24" s="319"/>
      <c r="AH24" s="298"/>
      <c r="AK24" s="319"/>
    </row>
    <row r="25" spans="1:37" ht="12.75" hidden="1">
      <c r="A25" s="318">
        <v>10</v>
      </c>
      <c r="B25" s="310" t="s">
        <v>541</v>
      </c>
      <c r="C25" s="319">
        <f>1549866-64125</f>
        <v>1485741</v>
      </c>
      <c r="D25" s="319">
        <f>55616+64508-5164</f>
        <v>114960</v>
      </c>
      <c r="E25" s="319">
        <f>73334+633007+549469</f>
        <v>1255810</v>
      </c>
      <c r="F25" s="319">
        <f>52803+5164</f>
        <v>57967</v>
      </c>
      <c r="G25" s="319">
        <v>153763</v>
      </c>
      <c r="H25" s="319">
        <f>C25-D25-E25-F25-G25</f>
        <v>-96759</v>
      </c>
      <c r="I25" s="319">
        <f>F25+6072</f>
        <v>64039</v>
      </c>
      <c r="J25" s="319">
        <f>H25+I25</f>
        <v>-32720</v>
      </c>
      <c r="K25" s="319"/>
      <c r="L25" s="317">
        <v>0</v>
      </c>
      <c r="N25" s="317">
        <f>J25-L25-M25</f>
        <v>-32720</v>
      </c>
      <c r="S25" s="319"/>
      <c r="U25" s="319"/>
      <c r="W25" s="319"/>
      <c r="Y25" s="319"/>
      <c r="AA25" s="319"/>
      <c r="AC25" s="319"/>
      <c r="AE25" s="319"/>
      <c r="AG25" s="319"/>
      <c r="AH25" s="298"/>
      <c r="AK25" s="319"/>
    </row>
    <row r="26" spans="1:37" ht="12.75" hidden="1">
      <c r="A26" s="318">
        <v>11</v>
      </c>
      <c r="B26" s="310" t="s">
        <v>542</v>
      </c>
      <c r="C26" s="319">
        <v>2248654</v>
      </c>
      <c r="D26" s="319">
        <v>146870</v>
      </c>
      <c r="E26" s="319">
        <v>1898859</v>
      </c>
      <c r="F26" s="319">
        <f>54008+13636</f>
        <v>67644</v>
      </c>
      <c r="G26" s="319">
        <v>170942</v>
      </c>
      <c r="H26" s="319">
        <f>C26-D26-E26-F26-G26</f>
        <v>-35661</v>
      </c>
      <c r="I26" s="319">
        <f>F26+189738</f>
        <v>257382</v>
      </c>
      <c r="J26" s="319">
        <f>H26+I26</f>
        <v>221721</v>
      </c>
      <c r="K26" s="319"/>
      <c r="L26" s="317">
        <f>1342+190952</f>
        <v>192294</v>
      </c>
      <c r="N26" s="317">
        <f>J26-L26-M26</f>
        <v>29427</v>
      </c>
      <c r="S26" s="319"/>
      <c r="U26" s="319"/>
      <c r="W26" s="319"/>
      <c r="Y26" s="319"/>
      <c r="AA26" s="319"/>
      <c r="AC26" s="319"/>
      <c r="AE26" s="319"/>
      <c r="AG26" s="319"/>
      <c r="AH26" s="316"/>
      <c r="AK26" s="319"/>
    </row>
    <row r="27" spans="1:37" ht="12.75" hidden="1">
      <c r="A27" s="318">
        <v>12</v>
      </c>
      <c r="B27" s="310" t="s">
        <v>543</v>
      </c>
      <c r="C27" s="319">
        <v>2371829</v>
      </c>
      <c r="D27" s="319">
        <f>74671+44018+14627+4348</f>
        <v>137664</v>
      </c>
      <c r="E27" s="319">
        <f>51079+51816+206272+357843+206239+16166+1008762+1</f>
        <v>1898178</v>
      </c>
      <c r="F27" s="319">
        <f>57987+17724</f>
        <v>75711</v>
      </c>
      <c r="G27" s="319">
        <v>173888</v>
      </c>
      <c r="H27" s="319">
        <f>C27-D27-E27-F27-G27</f>
        <v>86388</v>
      </c>
      <c r="I27" s="319">
        <f>F27</f>
        <v>75711</v>
      </c>
      <c r="J27" s="319">
        <f>H27+I27</f>
        <v>162099</v>
      </c>
      <c r="K27" s="319"/>
      <c r="L27" s="317">
        <v>37354</v>
      </c>
      <c r="N27" s="317">
        <f>J27-L27-M27</f>
        <v>124745</v>
      </c>
      <c r="S27" s="319"/>
      <c r="U27" s="319"/>
      <c r="W27" s="319"/>
      <c r="Y27" s="319"/>
      <c r="AA27" s="319"/>
      <c r="AC27" s="319"/>
      <c r="AE27" s="319"/>
      <c r="AG27" s="319"/>
      <c r="AK27" s="319"/>
    </row>
    <row r="28" spans="1:37" ht="12.75" hidden="1">
      <c r="A28" s="318">
        <v>13</v>
      </c>
      <c r="B28" s="310" t="s">
        <v>544</v>
      </c>
      <c r="C28" s="319">
        <v>2179326</v>
      </c>
      <c r="D28" s="319">
        <f>76520+41909+13847+3356</f>
        <v>135632</v>
      </c>
      <c r="E28" s="319">
        <f>37500+54116+199046+375937+176102+6074+1046379-1</f>
        <v>1895153</v>
      </c>
      <c r="F28" s="319">
        <f>60548+23614</f>
        <v>84162</v>
      </c>
      <c r="G28" s="319">
        <v>175257</v>
      </c>
      <c r="H28" s="319">
        <f>C28-D28-E28-F28-G28</f>
        <v>-110878</v>
      </c>
      <c r="I28" s="319">
        <f>F28</f>
        <v>84162</v>
      </c>
      <c r="J28" s="319">
        <f>H28+I28</f>
        <v>-26716</v>
      </c>
      <c r="K28" s="319"/>
      <c r="L28" s="317">
        <v>10587</v>
      </c>
      <c r="N28" s="317">
        <f>J28-L28-M28</f>
        <v>-37303</v>
      </c>
      <c r="S28" s="319"/>
      <c r="U28" s="319"/>
      <c r="W28" s="319"/>
      <c r="Y28" s="319"/>
      <c r="AA28" s="319"/>
      <c r="AC28" s="319"/>
      <c r="AE28" s="319"/>
      <c r="AG28" s="319"/>
      <c r="AK28" s="319"/>
    </row>
    <row r="29" spans="1:37" ht="12.75" hidden="1">
      <c r="A29" s="318">
        <v>14</v>
      </c>
      <c r="B29" s="310" t="s">
        <v>545</v>
      </c>
      <c r="C29" s="319">
        <f>1217315+796725</f>
        <v>2014040</v>
      </c>
      <c r="D29" s="319">
        <f>149231+4953</f>
        <v>154184</v>
      </c>
      <c r="E29" s="319">
        <f>17100+56538+199668+346352+183669+9428+1013956</f>
        <v>1826711</v>
      </c>
      <c r="F29" s="319">
        <f>63134+28418</f>
        <v>91552</v>
      </c>
      <c r="G29" s="319">
        <v>199448</v>
      </c>
      <c r="H29" s="319">
        <f>C29-D29-E29-F29-G29</f>
        <v>-257855</v>
      </c>
      <c r="I29" s="319">
        <f>F29</f>
        <v>91552</v>
      </c>
      <c r="J29" s="319">
        <f>H29+I29</f>
        <v>-166303</v>
      </c>
      <c r="K29" s="319"/>
      <c r="L29" s="317">
        <v>2471</v>
      </c>
      <c r="N29" s="317">
        <f>J29-L29-M29</f>
        <v>-168774</v>
      </c>
      <c r="S29" s="319"/>
      <c r="U29" s="319"/>
      <c r="W29" s="319"/>
      <c r="Y29" s="319"/>
      <c r="AA29" s="319"/>
      <c r="AC29" s="319"/>
      <c r="AE29" s="319"/>
      <c r="AG29" s="319"/>
      <c r="AK29" s="319"/>
    </row>
    <row r="30" ht="12.75" hidden="1">
      <c r="A30" s="318">
        <v>15</v>
      </c>
    </row>
    <row r="31" spans="1:37" ht="12.75" hidden="1">
      <c r="A31" s="318">
        <v>16</v>
      </c>
      <c r="B31" s="310" t="s">
        <v>546</v>
      </c>
      <c r="C31" s="319">
        <f>1541742+761737</f>
        <v>2303479</v>
      </c>
      <c r="D31" s="319">
        <v>183326</v>
      </c>
      <c r="E31" s="319">
        <v>1796029</v>
      </c>
      <c r="F31" s="319">
        <v>98288</v>
      </c>
      <c r="G31" s="319">
        <v>204416</v>
      </c>
      <c r="H31" s="319">
        <f>C31-D31-E31-F31-G31</f>
        <v>21420</v>
      </c>
      <c r="I31" s="319">
        <f>F31</f>
        <v>98288</v>
      </c>
      <c r="J31" s="319">
        <f>H31+I31</f>
        <v>119708</v>
      </c>
      <c r="K31" s="319"/>
      <c r="L31" s="317">
        <v>149778</v>
      </c>
      <c r="N31" s="317">
        <f>J31-L31-M31</f>
        <v>-30070</v>
      </c>
      <c r="S31" s="319"/>
      <c r="U31" s="319"/>
      <c r="W31" s="319"/>
      <c r="Y31" s="319"/>
      <c r="AA31" s="319"/>
      <c r="AC31" s="319"/>
      <c r="AE31" s="319"/>
      <c r="AG31" s="319"/>
      <c r="AK31" s="319"/>
    </row>
    <row r="32" spans="1:37" ht="12.75" hidden="1">
      <c r="A32" s="318">
        <v>17</v>
      </c>
      <c r="B32" s="310" t="s">
        <v>547</v>
      </c>
      <c r="C32" s="319">
        <v>2273508</v>
      </c>
      <c r="D32" s="319">
        <v>173694</v>
      </c>
      <c r="E32" s="319">
        <v>1760205</v>
      </c>
      <c r="F32" s="319">
        <v>100104</v>
      </c>
      <c r="G32" s="319">
        <v>189446</v>
      </c>
      <c r="H32" s="319">
        <f>C32-D32-E32-F32-G32</f>
        <v>50059</v>
      </c>
      <c r="I32" s="319">
        <f>F32</f>
        <v>100104</v>
      </c>
      <c r="J32" s="319">
        <f>H32+I32</f>
        <v>150163</v>
      </c>
      <c r="K32" s="319"/>
      <c r="L32" s="317">
        <v>32875</v>
      </c>
      <c r="N32" s="317">
        <f>J32-L32-M32</f>
        <v>117288</v>
      </c>
      <c r="S32" s="319"/>
      <c r="U32" s="319"/>
      <c r="W32" s="319"/>
      <c r="Y32" s="319"/>
      <c r="AA32" s="319"/>
      <c r="AC32" s="319"/>
      <c r="AE32" s="319"/>
      <c r="AG32" s="319"/>
      <c r="AK32" s="319"/>
    </row>
    <row r="33" spans="1:37" ht="12.75" hidden="1">
      <c r="A33" s="318">
        <v>18</v>
      </c>
      <c r="B33" s="310" t="s">
        <v>548</v>
      </c>
      <c r="C33" s="319">
        <v>2315035</v>
      </c>
      <c r="D33" s="319">
        <v>198721</v>
      </c>
      <c r="E33" s="319">
        <v>1527829</v>
      </c>
      <c r="F33" s="319">
        <v>105338</v>
      </c>
      <c r="G33" s="319">
        <v>197462</v>
      </c>
      <c r="H33" s="319">
        <f>C33-D33-E33-F33-G33</f>
        <v>285685</v>
      </c>
      <c r="I33" s="319">
        <f>F33</f>
        <v>105338</v>
      </c>
      <c r="J33" s="319">
        <f>H33+I33</f>
        <v>391023</v>
      </c>
      <c r="K33" s="319"/>
      <c r="L33" s="317">
        <v>63336</v>
      </c>
      <c r="N33" s="317">
        <f>J33-L33-M33</f>
        <v>327687</v>
      </c>
      <c r="S33" s="319"/>
      <c r="U33" s="319"/>
      <c r="W33" s="319"/>
      <c r="Y33" s="319"/>
      <c r="AA33" s="319"/>
      <c r="AC33" s="319"/>
      <c r="AE33" s="319"/>
      <c r="AG33" s="319"/>
      <c r="AK33" s="319"/>
    </row>
    <row r="34" spans="1:37" ht="12.75" hidden="1">
      <c r="A34" s="318">
        <v>19</v>
      </c>
      <c r="B34" s="310" t="s">
        <v>549</v>
      </c>
      <c r="C34" s="319">
        <v>2482482</v>
      </c>
      <c r="D34" s="319">
        <v>216777</v>
      </c>
      <c r="E34" s="319">
        <v>1572046</v>
      </c>
      <c r="F34" s="319">
        <v>103047</v>
      </c>
      <c r="G34" s="319">
        <v>167559</v>
      </c>
      <c r="H34" s="319">
        <f>C34-D34-E34-F34-G34</f>
        <v>423053</v>
      </c>
      <c r="I34" s="319">
        <f>F34</f>
        <v>103047</v>
      </c>
      <c r="J34" s="319">
        <f>H34+I34</f>
        <v>526100</v>
      </c>
      <c r="K34" s="319"/>
      <c r="L34" s="317">
        <v>114583</v>
      </c>
      <c r="N34" s="317">
        <f>J34-L34-M34</f>
        <v>411517</v>
      </c>
      <c r="S34" s="319"/>
      <c r="U34" s="319"/>
      <c r="W34" s="319"/>
      <c r="Y34" s="319"/>
      <c r="AA34" s="319"/>
      <c r="AC34" s="319"/>
      <c r="AE34" s="319"/>
      <c r="AG34" s="319"/>
      <c r="AK34" s="319"/>
    </row>
    <row r="35" spans="1:37" ht="12.75" hidden="1">
      <c r="A35" s="318">
        <v>20</v>
      </c>
      <c r="B35" s="310" t="s">
        <v>550</v>
      </c>
      <c r="C35" s="319">
        <v>2142645</v>
      </c>
      <c r="D35" s="319">
        <v>287360</v>
      </c>
      <c r="E35" s="319">
        <v>1821930</v>
      </c>
      <c r="F35" s="319">
        <v>110403</v>
      </c>
      <c r="G35" s="319">
        <v>169711</v>
      </c>
      <c r="H35" s="319">
        <f>C35-D35-E35-F35-G35</f>
        <v>-246759</v>
      </c>
      <c r="I35" s="319">
        <f>F35</f>
        <v>110403</v>
      </c>
      <c r="J35" s="319">
        <f>H35+I35</f>
        <v>-136356</v>
      </c>
      <c r="K35" s="319"/>
      <c r="L35" s="317">
        <v>57543</v>
      </c>
      <c r="N35" s="317">
        <f>J35-L35-M35</f>
        <v>-193899</v>
      </c>
      <c r="S35" s="319"/>
      <c r="U35" s="319"/>
      <c r="W35" s="319"/>
      <c r="Y35" s="319"/>
      <c r="AA35" s="319"/>
      <c r="AC35" s="319"/>
      <c r="AE35" s="319"/>
      <c r="AG35" s="319"/>
      <c r="AK35" s="319"/>
    </row>
    <row r="36" spans="1:37" ht="12.75" hidden="1">
      <c r="A36" s="318">
        <v>21</v>
      </c>
      <c r="B36" s="310"/>
      <c r="C36" s="319"/>
      <c r="D36" s="319"/>
      <c r="E36" s="319"/>
      <c r="F36" s="319"/>
      <c r="G36" s="319"/>
      <c r="H36" s="319"/>
      <c r="I36" s="319"/>
      <c r="J36" s="319"/>
      <c r="K36" s="319"/>
      <c r="L36" s="317"/>
      <c r="N36" s="317"/>
      <c r="S36" s="319"/>
      <c r="U36" s="319"/>
      <c r="W36" s="319"/>
      <c r="Y36" s="319"/>
      <c r="AA36" s="319"/>
      <c r="AC36" s="319"/>
      <c r="AE36" s="319"/>
      <c r="AG36" s="319"/>
      <c r="AK36" s="319"/>
    </row>
    <row r="37" spans="1:37" ht="12.75" hidden="1">
      <c r="A37" s="318">
        <v>22</v>
      </c>
      <c r="B37" s="310" t="s">
        <v>551</v>
      </c>
      <c r="C37" s="319">
        <v>2233989</v>
      </c>
      <c r="D37" s="319">
        <v>309915</v>
      </c>
      <c r="E37" s="319">
        <v>1868863</v>
      </c>
      <c r="F37" s="349">
        <v>118143</v>
      </c>
      <c r="G37" s="319">
        <v>186455</v>
      </c>
      <c r="H37" s="319">
        <f>C37-D37-E37-F37-G37</f>
        <v>-249387</v>
      </c>
      <c r="I37" s="319">
        <f>F37</f>
        <v>118143</v>
      </c>
      <c r="J37" s="319">
        <f>H37+I37</f>
        <v>-131244</v>
      </c>
      <c r="K37" s="319"/>
      <c r="L37" s="317">
        <v>117974</v>
      </c>
      <c r="N37" s="317">
        <f>J37-L37-M37</f>
        <v>-249218</v>
      </c>
      <c r="S37" s="319"/>
      <c r="U37" s="319"/>
      <c r="W37" s="319"/>
      <c r="Y37" s="319"/>
      <c r="AA37" s="319"/>
      <c r="AC37" s="319"/>
      <c r="AE37" s="319"/>
      <c r="AG37" s="319"/>
      <c r="AK37" s="319"/>
    </row>
    <row r="38" spans="1:37" ht="12.75" hidden="1">
      <c r="A38" s="318">
        <v>23</v>
      </c>
      <c r="B38" s="322">
        <v>1994</v>
      </c>
      <c r="C38" s="323">
        <v>2536059</v>
      </c>
      <c r="D38" s="319">
        <v>316352</v>
      </c>
      <c r="E38" s="319">
        <v>1934944</v>
      </c>
      <c r="F38" s="349">
        <v>125396</v>
      </c>
      <c r="G38" s="319">
        <v>197222</v>
      </c>
      <c r="H38" s="319">
        <f>C38-D38-E38-F38-G38</f>
        <v>-37855</v>
      </c>
      <c r="I38" s="319">
        <f>F38</f>
        <v>125396</v>
      </c>
      <c r="J38" s="319">
        <f>H38+I38</f>
        <v>87541</v>
      </c>
      <c r="K38" s="319"/>
      <c r="L38" s="317">
        <v>135018</v>
      </c>
      <c r="N38" s="317">
        <f>J38-L38-M38</f>
        <v>-47477</v>
      </c>
      <c r="S38" s="319"/>
      <c r="U38" s="319"/>
      <c r="W38" s="319"/>
      <c r="Y38" s="319"/>
      <c r="AA38" s="319"/>
      <c r="AC38" s="319"/>
      <c r="AE38" s="319"/>
      <c r="AG38" s="319"/>
      <c r="AK38" s="319"/>
    </row>
    <row r="39" spans="1:37" ht="12.75" hidden="1">
      <c r="A39" s="318">
        <v>24</v>
      </c>
      <c r="B39" s="322">
        <v>1995</v>
      </c>
      <c r="C39" s="323">
        <v>2704285</v>
      </c>
      <c r="D39" s="319">
        <v>327420</v>
      </c>
      <c r="E39" s="319">
        <v>1915529</v>
      </c>
      <c r="F39" s="349">
        <v>141798</v>
      </c>
      <c r="G39" s="319">
        <v>215850</v>
      </c>
      <c r="H39" s="319">
        <f>C39-D39-E39-F39-G39</f>
        <v>103688</v>
      </c>
      <c r="I39" s="319">
        <f>F39</f>
        <v>141798</v>
      </c>
      <c r="J39" s="319">
        <f>H39+I39</f>
        <v>245486</v>
      </c>
      <c r="K39" s="319"/>
      <c r="L39" s="317">
        <v>196544</v>
      </c>
      <c r="N39" s="317">
        <f>J39-L39-M39</f>
        <v>48942</v>
      </c>
      <c r="S39" s="319"/>
      <c r="U39" s="319"/>
      <c r="W39" s="319"/>
      <c r="Y39" s="319"/>
      <c r="AA39" s="319"/>
      <c r="AC39" s="319"/>
      <c r="AE39" s="319"/>
      <c r="AG39" s="319"/>
      <c r="AK39" s="319"/>
    </row>
    <row r="40" spans="1:37" ht="12.75" hidden="1">
      <c r="A40" s="318">
        <v>25</v>
      </c>
      <c r="B40" s="322">
        <v>1996</v>
      </c>
      <c r="C40" s="319">
        <f>1893145+851365</f>
        <v>2744510</v>
      </c>
      <c r="D40" s="319">
        <v>366808</v>
      </c>
      <c r="E40" s="319">
        <v>1959406</v>
      </c>
      <c r="F40" s="319">
        <v>151122</v>
      </c>
      <c r="G40" s="319">
        <v>208509</v>
      </c>
      <c r="H40" s="319">
        <f>C40-D40-E40-F40-G40</f>
        <v>58665</v>
      </c>
      <c r="I40" s="319">
        <f>F40+2902</f>
        <v>154024</v>
      </c>
      <c r="J40" s="319">
        <f>H40+I40-15000</f>
        <v>197689</v>
      </c>
      <c r="K40" s="319"/>
      <c r="L40" s="317">
        <v>135010</v>
      </c>
      <c r="M40" s="317"/>
      <c r="N40" s="317">
        <f>J40-L40-M40</f>
        <v>62679</v>
      </c>
      <c r="S40" s="319"/>
      <c r="U40" s="319"/>
      <c r="W40" s="319"/>
      <c r="Y40" s="319"/>
      <c r="AA40" s="319"/>
      <c r="AC40" s="319"/>
      <c r="AE40" s="319"/>
      <c r="AF40" s="298"/>
      <c r="AG40" s="319"/>
      <c r="AK40" s="319"/>
    </row>
    <row r="41" spans="1:14" ht="12.75" hidden="1">
      <c r="A41" s="318">
        <v>26</v>
      </c>
      <c r="B41" s="322">
        <v>1997</v>
      </c>
      <c r="C41" s="319">
        <f>1996003+436</f>
        <v>1996439</v>
      </c>
      <c r="D41" s="292">
        <f>403212+209749</f>
        <v>612961</v>
      </c>
      <c r="E41" s="292">
        <v>924789</v>
      </c>
      <c r="F41" s="292">
        <f>76910+71305</f>
        <v>148215</v>
      </c>
      <c r="G41" s="292">
        <v>197238</v>
      </c>
      <c r="H41" s="319">
        <f>C41-D41-E41-F41-G41</f>
        <v>113236</v>
      </c>
      <c r="I41" s="319">
        <f>F41-43583+1324</f>
        <v>105956</v>
      </c>
      <c r="J41" s="319">
        <f>H41+I41</f>
        <v>219192</v>
      </c>
      <c r="K41" s="319"/>
      <c r="L41" s="297">
        <f>108114-M41</f>
        <v>82971</v>
      </c>
      <c r="M41" s="317">
        <v>25143</v>
      </c>
      <c r="N41" s="317">
        <f>J41-L41-M41</f>
        <v>111078</v>
      </c>
    </row>
    <row r="42" spans="1:15" ht="12.75" hidden="1">
      <c r="A42" s="318">
        <v>27</v>
      </c>
      <c r="B42" s="324"/>
      <c r="O42" s="325"/>
    </row>
    <row r="43" spans="1:15" ht="12.75" hidden="1">
      <c r="A43" s="318">
        <v>28</v>
      </c>
      <c r="B43" s="322">
        <v>1998</v>
      </c>
      <c r="C43" s="292">
        <f>2056052+4698</f>
        <v>2060750</v>
      </c>
      <c r="D43" s="292">
        <f>420912+244093</f>
        <v>665005</v>
      </c>
      <c r="E43" s="292">
        <v>1091678</v>
      </c>
      <c r="F43" s="292">
        <v>162562</v>
      </c>
      <c r="G43" s="292">
        <f>201930</f>
        <v>201930</v>
      </c>
      <c r="H43" s="319">
        <f>C43-D43-E43-F43-G43</f>
        <v>-60425</v>
      </c>
      <c r="I43" s="319">
        <f>F43-44122+452</f>
        <v>118892</v>
      </c>
      <c r="J43" s="319">
        <f>H43+I43+20000-1655</f>
        <v>76812</v>
      </c>
      <c r="K43" s="319"/>
      <c r="L43" s="297">
        <v>61000</v>
      </c>
      <c r="N43" s="317">
        <f>J43-L43-M43</f>
        <v>15812</v>
      </c>
      <c r="O43" s="312"/>
    </row>
    <row r="44" spans="1:15" ht="12.75" hidden="1">
      <c r="A44" s="318">
        <v>29</v>
      </c>
      <c r="B44" s="322">
        <v>1999</v>
      </c>
      <c r="C44" s="292">
        <v>2366423</v>
      </c>
      <c r="D44" s="292">
        <f>443669+259048</f>
        <v>702717</v>
      </c>
      <c r="E44" s="292">
        <v>1196308</v>
      </c>
      <c r="F44" s="292">
        <v>162008</v>
      </c>
      <c r="G44" s="292">
        <v>182079</v>
      </c>
      <c r="H44" s="319">
        <f>C44-D44-E44-F44-G44</f>
        <v>123311</v>
      </c>
      <c r="I44" s="319">
        <f>F44-44122+1065</f>
        <v>118951</v>
      </c>
      <c r="J44" s="319">
        <f>H44+I44+74000-5179</f>
        <v>311083</v>
      </c>
      <c r="K44" s="319"/>
      <c r="L44" s="297">
        <v>25000</v>
      </c>
      <c r="N44" s="317">
        <f>J44-L44-M44</f>
        <v>286083</v>
      </c>
      <c r="O44" s="312"/>
    </row>
    <row r="45" spans="1:37" ht="12.75" hidden="1">
      <c r="A45" s="318">
        <v>30</v>
      </c>
      <c r="B45" s="322">
        <v>2000</v>
      </c>
      <c r="C45" s="292">
        <v>2720940</v>
      </c>
      <c r="D45" s="292">
        <v>723377</v>
      </c>
      <c r="E45" s="292">
        <v>1410029</v>
      </c>
      <c r="F45" s="292">
        <v>165874</v>
      </c>
      <c r="G45" s="292">
        <v>169320</v>
      </c>
      <c r="H45" s="319">
        <f>C45-D45-E45-F45-G45</f>
        <v>252340</v>
      </c>
      <c r="I45" s="319">
        <f>F45-47755+1065</f>
        <v>119184</v>
      </c>
      <c r="J45" s="319">
        <f>H45+I45-5179</f>
        <v>366345</v>
      </c>
      <c r="K45" s="319"/>
      <c r="L45" s="297">
        <v>175338</v>
      </c>
      <c r="M45" s="317"/>
      <c r="N45" s="317">
        <f>J45-L45-M45</f>
        <v>191007</v>
      </c>
      <c r="S45" s="319"/>
      <c r="U45" s="319"/>
      <c r="W45" s="319"/>
      <c r="Y45" s="319"/>
      <c r="AA45" s="319"/>
      <c r="AC45" s="319"/>
      <c r="AE45" s="319"/>
      <c r="AF45" s="298"/>
      <c r="AG45" s="319"/>
      <c r="AI45" s="319"/>
      <c r="AK45" s="319"/>
    </row>
    <row r="46" spans="1:37" ht="12.75" hidden="1">
      <c r="A46" s="318">
        <v>31</v>
      </c>
      <c r="B46" s="322">
        <v>2001</v>
      </c>
      <c r="C46" s="319">
        <v>3888051</v>
      </c>
      <c r="D46" s="319">
        <v>819270</v>
      </c>
      <c r="E46" s="319">
        <v>2945886</v>
      </c>
      <c r="F46" s="319">
        <v>168433</v>
      </c>
      <c r="G46" s="319">
        <v>166504</v>
      </c>
      <c r="H46" s="319">
        <f>C46-D46-E46-F46-G46</f>
        <v>-212042</v>
      </c>
      <c r="I46" s="319">
        <f>F46-47992+1065</f>
        <v>121506</v>
      </c>
      <c r="J46" s="319">
        <f>H46+I46-53056</f>
        <v>-143592</v>
      </c>
      <c r="K46" s="319"/>
      <c r="L46" s="317">
        <f>167622-M46</f>
        <v>151062</v>
      </c>
      <c r="M46" s="297">
        <v>16560</v>
      </c>
      <c r="N46" s="317">
        <f>J46-L46-M46</f>
        <v>-311214</v>
      </c>
      <c r="P46" s="317"/>
      <c r="Q46" s="317"/>
      <c r="S46" s="319"/>
      <c r="U46" s="319"/>
      <c r="W46" s="319"/>
      <c r="Y46" s="319"/>
      <c r="AA46" s="319"/>
      <c r="AC46" s="319"/>
      <c r="AE46" s="319"/>
      <c r="AF46" s="298"/>
      <c r="AG46" s="319"/>
      <c r="AI46" s="319"/>
      <c r="AK46" s="319"/>
    </row>
    <row r="47" spans="1:37" ht="12.75" hidden="1">
      <c r="A47" s="318">
        <v>32</v>
      </c>
      <c r="B47" s="322">
        <f>B46+1</f>
        <v>2002</v>
      </c>
      <c r="C47" s="319">
        <v>3047803</v>
      </c>
      <c r="D47" s="319">
        <v>833606</v>
      </c>
      <c r="E47" s="319">
        <v>1925873</v>
      </c>
      <c r="F47" s="319">
        <v>174164</v>
      </c>
      <c r="G47" s="319">
        <v>201582</v>
      </c>
      <c r="H47" s="319">
        <f>C47-D47-E47-F47-G47</f>
        <v>-87422</v>
      </c>
      <c r="I47" s="319">
        <f>F47-47738+1065</f>
        <v>127491</v>
      </c>
      <c r="J47" s="319">
        <f>H47+I47-43483</f>
        <v>-3414</v>
      </c>
      <c r="K47" s="319"/>
      <c r="L47" s="317">
        <v>373345</v>
      </c>
      <c r="M47" s="317"/>
      <c r="N47" s="317">
        <f>J47-L47-M47</f>
        <v>-376759</v>
      </c>
      <c r="P47" s="317"/>
      <c r="Q47" s="317"/>
      <c r="S47" s="319"/>
      <c r="U47" s="319"/>
      <c r="W47" s="319"/>
      <c r="Y47" s="319"/>
      <c r="AA47" s="319"/>
      <c r="AC47" s="319"/>
      <c r="AE47" s="319"/>
      <c r="AG47" s="319"/>
      <c r="AI47" s="319"/>
      <c r="AK47" s="319"/>
    </row>
    <row r="48" spans="1:37" ht="12.75" hidden="1">
      <c r="A48" s="318">
        <v>33</v>
      </c>
      <c r="B48" s="322"/>
      <c r="C48" s="319"/>
      <c r="D48" s="319"/>
      <c r="E48" s="319"/>
      <c r="F48" s="319"/>
      <c r="G48" s="319"/>
      <c r="H48" s="319"/>
      <c r="I48" s="319"/>
      <c r="J48" s="319"/>
      <c r="K48" s="319"/>
      <c r="L48" s="317"/>
      <c r="M48" s="317"/>
      <c r="N48" s="317"/>
      <c r="P48" s="317"/>
      <c r="Q48" s="317"/>
      <c r="S48" s="319"/>
      <c r="U48" s="319"/>
      <c r="W48" s="319"/>
      <c r="Y48" s="319"/>
      <c r="AA48" s="319"/>
      <c r="AC48" s="319"/>
      <c r="AE48" s="319"/>
      <c r="AG48" s="319"/>
      <c r="AI48" s="319"/>
      <c r="AK48" s="319"/>
    </row>
    <row r="49" spans="1:37" ht="12.75" hidden="1">
      <c r="A49" s="318">
        <v>1</v>
      </c>
      <c r="B49" s="322">
        <v>2002</v>
      </c>
      <c r="C49" s="319">
        <f aca="true" t="shared" si="0" ref="C49:N49">SUM(C17:C48)</f>
        <v>53734071</v>
      </c>
      <c r="D49" s="319">
        <f t="shared" si="0"/>
        <v>8765016</v>
      </c>
      <c r="E49" s="319">
        <f t="shared" si="0"/>
        <v>36248938</v>
      </c>
      <c r="F49" s="319">
        <f t="shared" si="0"/>
        <v>3428034</v>
      </c>
      <c r="G49" s="319">
        <f t="shared" si="0"/>
        <v>5499734</v>
      </c>
      <c r="H49" s="319">
        <f t="shared" si="0"/>
        <v>-207651</v>
      </c>
      <c r="I49" s="319">
        <f t="shared" si="0"/>
        <v>3436330</v>
      </c>
      <c r="J49" s="319">
        <f t="shared" si="0"/>
        <v>3199127</v>
      </c>
      <c r="K49" s="319"/>
      <c r="L49" s="317">
        <f t="shared" si="0"/>
        <v>2754877</v>
      </c>
      <c r="M49" s="317">
        <f t="shared" si="0"/>
        <v>41703</v>
      </c>
      <c r="N49" s="317">
        <f t="shared" si="0"/>
        <v>402547</v>
      </c>
      <c r="P49" s="317"/>
      <c r="Q49" s="317"/>
      <c r="S49" s="319"/>
      <c r="U49" s="319"/>
      <c r="W49" s="319"/>
      <c r="Y49" s="319"/>
      <c r="AA49" s="319"/>
      <c r="AC49" s="319"/>
      <c r="AE49" s="319"/>
      <c r="AG49" s="319"/>
      <c r="AI49" s="319"/>
      <c r="AK49" s="319"/>
    </row>
    <row r="50" spans="1:37" ht="12.75" hidden="1">
      <c r="A50" s="318">
        <v>2</v>
      </c>
      <c r="B50" s="322"/>
      <c r="C50" s="319"/>
      <c r="D50" s="319"/>
      <c r="E50" s="319"/>
      <c r="F50" s="319"/>
      <c r="G50" s="319"/>
      <c r="H50" s="319"/>
      <c r="I50" s="319"/>
      <c r="J50" s="319"/>
      <c r="K50" s="319"/>
      <c r="L50" s="317"/>
      <c r="M50" s="317"/>
      <c r="N50" s="317"/>
      <c r="P50" s="317"/>
      <c r="Q50" s="317"/>
      <c r="S50" s="319"/>
      <c r="U50" s="319"/>
      <c r="W50" s="319"/>
      <c r="Y50" s="319"/>
      <c r="AA50" s="319"/>
      <c r="AC50" s="319"/>
      <c r="AE50" s="319"/>
      <c r="AG50" s="319"/>
      <c r="AI50" s="319"/>
      <c r="AK50" s="319"/>
    </row>
    <row r="51" spans="1:37" ht="12.75" hidden="1">
      <c r="A51" s="318">
        <v>3</v>
      </c>
      <c r="C51" s="319"/>
      <c r="D51" s="319"/>
      <c r="E51" s="319"/>
      <c r="F51" s="319"/>
      <c r="G51" s="319"/>
      <c r="H51" s="319"/>
      <c r="I51" s="319"/>
      <c r="J51" s="319"/>
      <c r="K51" s="319"/>
      <c r="L51" s="317"/>
      <c r="M51" s="317"/>
      <c r="N51" s="317"/>
      <c r="P51" s="317"/>
      <c r="Q51" s="317"/>
      <c r="S51" s="319"/>
      <c r="U51" s="319"/>
      <c r="W51" s="319"/>
      <c r="Y51" s="319"/>
      <c r="AA51" s="319"/>
      <c r="AC51" s="319"/>
      <c r="AE51" s="319"/>
      <c r="AG51" s="319"/>
      <c r="AI51" s="319"/>
      <c r="AK51" s="319"/>
    </row>
    <row r="52" spans="1:37" ht="12.75" hidden="1">
      <c r="A52" s="318">
        <v>4</v>
      </c>
      <c r="B52" s="322">
        <v>2003</v>
      </c>
      <c r="C52" s="319">
        <v>3144811</v>
      </c>
      <c r="D52" s="319">
        <v>705289</v>
      </c>
      <c r="E52" s="319">
        <v>1841035</v>
      </c>
      <c r="F52" s="319">
        <v>178896</v>
      </c>
      <c r="G52" s="319">
        <v>176595</v>
      </c>
      <c r="H52" s="319">
        <v>242996</v>
      </c>
      <c r="I52" s="319">
        <v>131592</v>
      </c>
      <c r="J52" s="319">
        <v>314144</v>
      </c>
      <c r="K52" s="319"/>
      <c r="L52" s="317">
        <v>73000</v>
      </c>
      <c r="M52" s="317"/>
      <c r="N52" s="317">
        <v>241144</v>
      </c>
      <c r="P52" s="317"/>
      <c r="Q52" s="317"/>
      <c r="S52" s="319"/>
      <c r="U52" s="319"/>
      <c r="W52" s="319"/>
      <c r="Y52" s="319"/>
      <c r="AA52" s="319"/>
      <c r="AC52" s="319"/>
      <c r="AE52" s="319"/>
      <c r="AG52" s="319"/>
      <c r="AI52" s="319"/>
      <c r="AK52" s="319"/>
    </row>
    <row r="53" spans="1:37" ht="12.75" hidden="1">
      <c r="A53" s="318">
        <v>5</v>
      </c>
      <c r="B53" s="322">
        <v>2004</v>
      </c>
      <c r="C53" s="319">
        <v>2738898</v>
      </c>
      <c r="D53" s="319">
        <v>713549</v>
      </c>
      <c r="E53" s="319">
        <v>1366265</v>
      </c>
      <c r="F53" s="319">
        <v>177298</v>
      </c>
      <c r="G53" s="319">
        <v>162531</v>
      </c>
      <c r="H53" s="319">
        <v>319255</v>
      </c>
      <c r="I53" s="319">
        <v>129789</v>
      </c>
      <c r="J53" s="319">
        <v>354413</v>
      </c>
      <c r="K53" s="319"/>
      <c r="L53" s="317">
        <v>233000</v>
      </c>
      <c r="M53" s="317">
        <v>739</v>
      </c>
      <c r="N53" s="317">
        <v>120674</v>
      </c>
      <c r="P53" s="317"/>
      <c r="Q53" s="317"/>
      <c r="S53" s="319"/>
      <c r="U53" s="319"/>
      <c r="W53" s="319"/>
      <c r="Y53" s="319"/>
      <c r="AA53" s="319"/>
      <c r="AC53" s="319"/>
      <c r="AE53" s="319"/>
      <c r="AG53" s="319"/>
      <c r="AI53" s="319"/>
      <c r="AK53" s="319"/>
    </row>
    <row r="54" spans="1:37" ht="12.75" hidden="1">
      <c r="A54" s="318">
        <v>6</v>
      </c>
      <c r="B54" s="322">
        <v>2005</v>
      </c>
      <c r="C54" s="319">
        <v>2814224</v>
      </c>
      <c r="D54" s="319">
        <v>711713</v>
      </c>
      <c r="E54" s="319">
        <v>1420735</v>
      </c>
      <c r="F54" s="319">
        <v>186099</v>
      </c>
      <c r="G54" s="319">
        <v>166610</v>
      </c>
      <c r="H54" s="319">
        <v>329067</v>
      </c>
      <c r="I54" s="319">
        <v>-98072</v>
      </c>
      <c r="J54" s="319">
        <v>320734</v>
      </c>
      <c r="K54" s="319"/>
      <c r="L54" s="317">
        <v>271301</v>
      </c>
      <c r="M54" s="317"/>
      <c r="N54" s="317">
        <v>49433</v>
      </c>
      <c r="P54" s="317"/>
      <c r="Q54" s="317"/>
      <c r="S54" s="319"/>
      <c r="U54" s="319"/>
      <c r="W54" s="319"/>
      <c r="Y54" s="319"/>
      <c r="AA54" s="319"/>
      <c r="AC54" s="319"/>
      <c r="AE54" s="319"/>
      <c r="AG54" s="319"/>
      <c r="AI54" s="319"/>
      <c r="AK54" s="319"/>
    </row>
    <row r="55" spans="1:37" ht="12.75" hidden="1">
      <c r="A55" s="318">
        <v>7</v>
      </c>
      <c r="B55" s="322">
        <v>2006</v>
      </c>
      <c r="C55" s="319">
        <v>2853659</v>
      </c>
      <c r="D55" s="319">
        <v>773510</v>
      </c>
      <c r="E55" s="319">
        <v>1436548</v>
      </c>
      <c r="F55" s="319">
        <v>181878</v>
      </c>
      <c r="G55" s="319">
        <v>157609</v>
      </c>
      <c r="H55" s="319">
        <v>304114</v>
      </c>
      <c r="I55" s="319">
        <v>-84357</v>
      </c>
      <c r="J55" s="319">
        <v>537237</v>
      </c>
      <c r="K55" s="319"/>
      <c r="L55" s="317">
        <v>261276</v>
      </c>
      <c r="N55" s="317">
        <v>275961</v>
      </c>
      <c r="P55" s="317"/>
      <c r="Q55" s="317"/>
      <c r="S55" s="319"/>
      <c r="U55" s="319"/>
      <c r="W55" s="319"/>
      <c r="Y55" s="319"/>
      <c r="AA55" s="319"/>
      <c r="AC55" s="319"/>
      <c r="AE55" s="319"/>
      <c r="AG55" s="319"/>
      <c r="AI55" s="319"/>
      <c r="AK55" s="319"/>
    </row>
    <row r="56" spans="1:37" ht="12.75" hidden="1">
      <c r="A56" s="318">
        <v>8</v>
      </c>
      <c r="B56" s="322">
        <f>B55+1</f>
        <v>2007</v>
      </c>
      <c r="C56" s="319">
        <v>2657891</v>
      </c>
      <c r="D56" s="319">
        <v>818494</v>
      </c>
      <c r="E56" s="319">
        <v>1361837</v>
      </c>
      <c r="F56" s="319">
        <v>176204</v>
      </c>
      <c r="G56" s="319">
        <v>145516</v>
      </c>
      <c r="H56" s="319">
        <v>155840</v>
      </c>
      <c r="I56" s="319">
        <v>133875</v>
      </c>
      <c r="J56" s="319">
        <v>289715</v>
      </c>
      <c r="K56" s="319"/>
      <c r="L56" s="317">
        <v>246300</v>
      </c>
      <c r="M56" s="317"/>
      <c r="N56" s="317">
        <v>43415</v>
      </c>
      <c r="P56" s="317"/>
      <c r="Q56" s="317"/>
      <c r="S56" s="319"/>
      <c r="U56" s="319"/>
      <c r="W56" s="319"/>
      <c r="Y56" s="319"/>
      <c r="AA56" s="319"/>
      <c r="AC56" s="319"/>
      <c r="AE56" s="319"/>
      <c r="AG56" s="319"/>
      <c r="AI56" s="319"/>
      <c r="AK56" s="319"/>
    </row>
    <row r="57" spans="1:37" ht="12.75" hidden="1">
      <c r="A57" s="318">
        <v>9</v>
      </c>
      <c r="B57" s="322">
        <f>B56+1</f>
        <v>2008</v>
      </c>
      <c r="C57" s="319">
        <v>2383688</v>
      </c>
      <c r="D57" s="319">
        <v>802849</v>
      </c>
      <c r="E57" s="319">
        <v>1224722</v>
      </c>
      <c r="F57" s="319">
        <v>183466</v>
      </c>
      <c r="G57" s="319">
        <v>142746</v>
      </c>
      <c r="H57" s="319">
        <v>29905</v>
      </c>
      <c r="I57" s="319">
        <v>28438</v>
      </c>
      <c r="J57" s="319">
        <v>195087</v>
      </c>
      <c r="K57" s="319"/>
      <c r="L57" s="317">
        <v>277483</v>
      </c>
      <c r="M57" s="297">
        <v>2950</v>
      </c>
      <c r="N57" s="317">
        <v>-85346</v>
      </c>
      <c r="P57" s="317"/>
      <c r="Q57" s="317"/>
      <c r="S57" s="319"/>
      <c r="U57" s="319"/>
      <c r="W57" s="319"/>
      <c r="Y57" s="319"/>
      <c r="AA57" s="319"/>
      <c r="AC57" s="319"/>
      <c r="AE57" s="319"/>
      <c r="AG57" s="319"/>
      <c r="AI57" s="319"/>
      <c r="AK57" s="319"/>
    </row>
    <row r="58" spans="1:37" ht="12.75" hidden="1">
      <c r="A58" s="318">
        <v>10</v>
      </c>
      <c r="B58" s="322">
        <f>B57+1</f>
        <v>2009</v>
      </c>
      <c r="C58" s="319">
        <v>2234695</v>
      </c>
      <c r="D58" s="319">
        <v>871705</v>
      </c>
      <c r="E58" s="319">
        <v>1265997</v>
      </c>
      <c r="F58" s="319">
        <v>180788</v>
      </c>
      <c r="G58" s="319">
        <v>151508</v>
      </c>
      <c r="H58" s="319">
        <v>-235303</v>
      </c>
      <c r="I58" s="319">
        <v>166189</v>
      </c>
      <c r="J58" s="319">
        <v>-69114</v>
      </c>
      <c r="K58" s="319"/>
      <c r="L58" s="317">
        <v>219360</v>
      </c>
      <c r="M58" s="317"/>
      <c r="N58" s="317">
        <v>-288474</v>
      </c>
      <c r="P58" s="317"/>
      <c r="Q58" s="317"/>
      <c r="S58" s="319"/>
      <c r="U58" s="319"/>
      <c r="W58" s="319"/>
      <c r="Y58" s="319"/>
      <c r="AA58" s="319"/>
      <c r="AC58" s="319"/>
      <c r="AE58" s="319"/>
      <c r="AG58" s="319"/>
      <c r="AI58" s="319"/>
      <c r="AK58" s="319"/>
    </row>
    <row r="59" spans="1:37" ht="12.75" hidden="1">
      <c r="A59" s="318">
        <v>11</v>
      </c>
      <c r="B59" s="326">
        <v>2010</v>
      </c>
      <c r="C59" s="319">
        <v>2385607</v>
      </c>
      <c r="D59" s="319">
        <v>883540</v>
      </c>
      <c r="E59" s="319">
        <v>1393796</v>
      </c>
      <c r="F59" s="319">
        <v>184989</v>
      </c>
      <c r="G59" s="319">
        <v>176928</v>
      </c>
      <c r="H59" s="319">
        <v>-253646</v>
      </c>
      <c r="I59" s="319">
        <v>120913</v>
      </c>
      <c r="J59" s="319">
        <v>-132733</v>
      </c>
      <c r="K59" s="319"/>
      <c r="L59" s="317">
        <v>244673</v>
      </c>
      <c r="M59" s="317"/>
      <c r="N59" s="317">
        <v>-377406</v>
      </c>
      <c r="P59" s="317"/>
      <c r="Q59" s="317"/>
      <c r="S59" s="319"/>
      <c r="U59" s="319"/>
      <c r="W59" s="319"/>
      <c r="Y59" s="319"/>
      <c r="AA59" s="319"/>
      <c r="AC59" s="319"/>
      <c r="AE59" s="319"/>
      <c r="AG59" s="319"/>
      <c r="AI59" s="319"/>
      <c r="AK59" s="319"/>
    </row>
    <row r="60" spans="1:37" ht="12.75" hidden="1">
      <c r="A60" s="318">
        <v>12</v>
      </c>
      <c r="B60" s="326">
        <v>2011</v>
      </c>
      <c r="C60" s="319">
        <v>2619038</v>
      </c>
      <c r="D60" s="319">
        <v>934466</v>
      </c>
      <c r="E60" s="319">
        <v>1283304</v>
      </c>
      <c r="F60" s="319">
        <v>201106</v>
      </c>
      <c r="G60" s="319">
        <v>182860</v>
      </c>
      <c r="H60" s="319">
        <v>17302</v>
      </c>
      <c r="I60" s="319">
        <v>155354</v>
      </c>
      <c r="J60" s="319">
        <v>169132</v>
      </c>
      <c r="K60" s="319"/>
      <c r="L60" s="317">
        <v>162163</v>
      </c>
      <c r="M60" s="317"/>
      <c r="N60" s="317">
        <v>6969</v>
      </c>
      <c r="P60" s="317"/>
      <c r="Q60" s="317"/>
      <c r="S60" s="319"/>
      <c r="U60" s="319"/>
      <c r="W60" s="319"/>
      <c r="Y60" s="319"/>
      <c r="AA60" s="319"/>
      <c r="AC60" s="319"/>
      <c r="AE60" s="319"/>
      <c r="AG60" s="319"/>
      <c r="AI60" s="319"/>
      <c r="AK60" s="319"/>
    </row>
    <row r="61" spans="1:37" ht="12.75" hidden="1">
      <c r="A61" s="318">
        <v>13</v>
      </c>
      <c r="B61" s="326">
        <v>2012</v>
      </c>
      <c r="C61" s="319">
        <v>2631334</v>
      </c>
      <c r="D61" s="319">
        <v>962711</v>
      </c>
      <c r="E61" s="319">
        <v>1260404</v>
      </c>
      <c r="F61" s="319">
        <v>199286</v>
      </c>
      <c r="G61" s="319">
        <v>169748</v>
      </c>
      <c r="H61" s="319">
        <v>39185</v>
      </c>
      <c r="I61" s="319">
        <v>153534</v>
      </c>
      <c r="J61" s="319">
        <v>174395</v>
      </c>
      <c r="K61" s="319"/>
      <c r="L61" s="317">
        <v>193000</v>
      </c>
      <c r="M61" s="317">
        <v>1182</v>
      </c>
      <c r="N61" s="317">
        <v>-19787</v>
      </c>
      <c r="P61" s="317"/>
      <c r="Q61" s="317"/>
      <c r="S61" s="319"/>
      <c r="U61" s="319"/>
      <c r="W61" s="319"/>
      <c r="Y61" s="319"/>
      <c r="AA61" s="319"/>
      <c r="AC61" s="319"/>
      <c r="AE61" s="319"/>
      <c r="AG61" s="319"/>
      <c r="AI61" s="319"/>
      <c r="AK61" s="319"/>
    </row>
    <row r="62" spans="1:37" ht="12.75" hidden="1">
      <c r="A62" s="318">
        <v>14</v>
      </c>
      <c r="B62" s="326">
        <v>2013</v>
      </c>
      <c r="C62" s="319">
        <v>2647095</v>
      </c>
      <c r="D62" s="319">
        <v>1011463</v>
      </c>
      <c r="E62" s="319">
        <v>1260527</v>
      </c>
      <c r="F62" s="319">
        <v>218103</v>
      </c>
      <c r="G62" s="319">
        <v>207798</v>
      </c>
      <c r="H62" s="319">
        <v>-50796</v>
      </c>
      <c r="I62" s="319">
        <v>164704</v>
      </c>
      <c r="J62" s="319">
        <v>110384</v>
      </c>
      <c r="K62" s="319"/>
      <c r="L62" s="317">
        <v>122799</v>
      </c>
      <c r="M62" s="317">
        <v>58823</v>
      </c>
      <c r="N62" s="317">
        <v>-71238</v>
      </c>
      <c r="P62" s="317"/>
      <c r="Q62" s="317"/>
      <c r="S62" s="319"/>
      <c r="U62" s="319"/>
      <c r="W62" s="319"/>
      <c r="Y62" s="319"/>
      <c r="AA62" s="319"/>
      <c r="AC62" s="319"/>
      <c r="AE62" s="319"/>
      <c r="AG62" s="319"/>
      <c r="AI62" s="319"/>
      <c r="AK62" s="319"/>
    </row>
    <row r="63" spans="1:37" ht="12.75" hidden="1">
      <c r="A63" s="318">
        <v>15</v>
      </c>
      <c r="B63" s="322">
        <v>2014</v>
      </c>
      <c r="C63" s="320">
        <v>2810919.3256600006</v>
      </c>
      <c r="D63" s="320">
        <v>1017269.02247</v>
      </c>
      <c r="E63" s="320">
        <v>896127.2825199999</v>
      </c>
      <c r="F63" s="320">
        <v>227267.03862</v>
      </c>
      <c r="G63" s="320">
        <v>196360.94574</v>
      </c>
      <c r="H63" s="320">
        <v>473895.0363100007</v>
      </c>
      <c r="I63" s="320">
        <v>143049.12777000002</v>
      </c>
      <c r="J63" s="320">
        <v>596116.3492438365</v>
      </c>
      <c r="K63" s="320"/>
      <c r="L63" s="327">
        <v>462575</v>
      </c>
      <c r="M63" s="327">
        <v>52546.864</v>
      </c>
      <c r="N63" s="328">
        <v>80994.48524383648</v>
      </c>
      <c r="P63" s="317"/>
      <c r="Q63" s="317"/>
      <c r="S63" s="319"/>
      <c r="U63" s="319"/>
      <c r="W63" s="319"/>
      <c r="Y63" s="319"/>
      <c r="AA63" s="319"/>
      <c r="AC63" s="319"/>
      <c r="AE63" s="319"/>
      <c r="AG63" s="319"/>
      <c r="AI63" s="319"/>
      <c r="AK63" s="319"/>
    </row>
    <row r="64" spans="2:37" ht="12.75" hidden="1">
      <c r="B64" s="322"/>
      <c r="C64" s="320"/>
      <c r="D64" s="320"/>
      <c r="E64" s="320"/>
      <c r="F64" s="320"/>
      <c r="G64" s="320"/>
      <c r="H64" s="320"/>
      <c r="I64" s="320"/>
      <c r="J64" s="320"/>
      <c r="K64" s="320"/>
      <c r="L64" s="327"/>
      <c r="M64" s="327"/>
      <c r="N64" s="328"/>
      <c r="P64" s="317"/>
      <c r="Q64" s="317"/>
      <c r="S64" s="319"/>
      <c r="U64" s="319"/>
      <c r="W64" s="319"/>
      <c r="Y64" s="319"/>
      <c r="AA64" s="319"/>
      <c r="AC64" s="319"/>
      <c r="AE64" s="319"/>
      <c r="AG64" s="319"/>
      <c r="AI64" s="319"/>
      <c r="AK64" s="319"/>
    </row>
    <row r="65" spans="1:37" ht="12.75">
      <c r="A65" s="318">
        <v>1</v>
      </c>
      <c r="B65" s="322">
        <f>+'Revised Evans Table'!B66</f>
        <v>2017</v>
      </c>
      <c r="C65" s="420">
        <f>+'Revised Evans Table'!C66</f>
        <v>93566685.81835</v>
      </c>
      <c r="D65" s="420">
        <f>+'Revised Evans Table'!D66</f>
        <v>22293538.39544</v>
      </c>
      <c r="E65" s="420">
        <f>+'Revised Evans Table'!E66</f>
        <v>54914505.60815</v>
      </c>
      <c r="F65" s="420">
        <f>+'Revised Evans Table'!F66</f>
        <v>6394200.5300900005</v>
      </c>
      <c r="G65" s="420">
        <f>+'Revised Evans Table'!G66</f>
        <v>8030072.55988</v>
      </c>
      <c r="H65" s="420">
        <f>+'Revised Evans Table'!H66</f>
        <v>1934368.7247900004</v>
      </c>
      <c r="I65" s="420">
        <f>+'Revised Evans Table'!I66</f>
        <v>5323561.922380001</v>
      </c>
      <c r="J65" s="420">
        <f>+'Revised Evans Table'!J66</f>
        <v>8222501.132413836</v>
      </c>
      <c r="K65" s="420">
        <f>+'Revised Evans Table'!K66</f>
        <v>0</v>
      </c>
      <c r="L65" s="420">
        <f>+'Revised Evans Table'!L66</f>
        <v>7774328</v>
      </c>
      <c r="M65" s="420">
        <f>+'Revised Evans Table'!M66</f>
        <v>329962.53</v>
      </c>
      <c r="N65" s="420">
        <f>+'Revised Evans Table'!N66</f>
        <v>118210.6024138355</v>
      </c>
      <c r="P65" s="317"/>
      <c r="Q65" s="317"/>
      <c r="S65" s="319"/>
      <c r="U65" s="319"/>
      <c r="W65" s="319"/>
      <c r="Y65" s="319"/>
      <c r="AA65" s="319"/>
      <c r="AC65" s="319"/>
      <c r="AE65" s="319"/>
      <c r="AG65" s="319"/>
      <c r="AI65" s="319"/>
      <c r="AK65" s="319"/>
    </row>
    <row r="66" spans="1:37" ht="12.75">
      <c r="A66" s="318">
        <v>2</v>
      </c>
      <c r="B66" s="377" t="s">
        <v>330</v>
      </c>
      <c r="C66" s="320"/>
      <c r="D66" s="320"/>
      <c r="E66" s="320"/>
      <c r="F66" s="320"/>
      <c r="G66" s="320"/>
      <c r="H66" s="320"/>
      <c r="I66" s="320"/>
      <c r="J66" s="320"/>
      <c r="K66" s="320"/>
      <c r="L66" s="327"/>
      <c r="M66" s="327"/>
      <c r="N66" s="328"/>
      <c r="P66" s="317"/>
      <c r="Q66" s="317"/>
      <c r="S66" s="319"/>
      <c r="U66" s="319"/>
      <c r="W66" s="319"/>
      <c r="Y66" s="319"/>
      <c r="AA66" s="319"/>
      <c r="AC66" s="319"/>
      <c r="AE66" s="319"/>
      <c r="AG66" s="319"/>
      <c r="AI66" s="319"/>
      <c r="AK66" s="319"/>
    </row>
    <row r="67" spans="1:37" ht="12.75">
      <c r="A67" s="318">
        <v>3</v>
      </c>
      <c r="B67" s="322">
        <f>+'Revised Evans Table'!B68</f>
        <v>2018</v>
      </c>
      <c r="C67" s="420">
        <f>+'Revised Evans Table'!C68</f>
        <v>2862774</v>
      </c>
      <c r="D67" s="420">
        <f>+'Revised Evans Table'!D68</f>
        <v>1117823.1373400004</v>
      </c>
      <c r="E67" s="420">
        <f>+'Revised Evans Table'!E68</f>
        <v>683250.5065</v>
      </c>
      <c r="F67" s="420">
        <f>+'Revised Evans Table'!F68</f>
        <v>221031</v>
      </c>
      <c r="G67" s="420">
        <f>+'Revised Evans Table'!G68</f>
        <v>73686</v>
      </c>
      <c r="H67" s="420">
        <f>+'Revised Evans Table'!H68</f>
        <v>766983.3561599995</v>
      </c>
      <c r="I67" s="420">
        <f>+'Revised Evans Table'!I68</f>
        <v>221031</v>
      </c>
      <c r="J67" s="420">
        <f>+'Revised Evans Table'!J68</f>
        <v>295852.808</v>
      </c>
      <c r="K67" s="420">
        <f>+'Revised Evans Table'!K68</f>
        <v>0</v>
      </c>
      <c r="L67" s="420">
        <f>+'Revised Evans Table'!L68</f>
        <v>388138</v>
      </c>
      <c r="M67" s="420">
        <f>+'Revised Evans Table'!M68</f>
        <v>13209.984</v>
      </c>
      <c r="N67" s="420">
        <f>+'Revised Evans Table'!N68</f>
        <v>-105495.17599999998</v>
      </c>
      <c r="P67" s="317"/>
      <c r="Q67" s="317"/>
      <c r="S67" s="319"/>
      <c r="U67" s="319"/>
      <c r="W67" s="319"/>
      <c r="Y67" s="319"/>
      <c r="AA67" s="319"/>
      <c r="AC67" s="319"/>
      <c r="AE67" s="319"/>
      <c r="AG67" s="319"/>
      <c r="AI67" s="319"/>
      <c r="AK67" s="319"/>
    </row>
    <row r="68" spans="1:37" ht="12.75">
      <c r="A68" s="318">
        <v>4</v>
      </c>
      <c r="B68" s="322">
        <f>+'Revised Evans Table'!B69</f>
        <v>2019</v>
      </c>
      <c r="C68" s="420">
        <f>+'Revised Evans Table'!C69</f>
        <v>2817848.19067</v>
      </c>
      <c r="D68" s="420">
        <f>+'Revised Evans Table'!D69</f>
        <v>1129514.4084400001</v>
      </c>
      <c r="E68" s="420">
        <f>+'Revised Evans Table'!E69</f>
        <v>1139849.6848199998</v>
      </c>
      <c r="F68" s="420">
        <f>+'Revised Evans Table'!F69</f>
        <v>225210.77425</v>
      </c>
      <c r="G68" s="420">
        <f>+'Revised Evans Table'!G69</f>
        <v>65484.27381000001</v>
      </c>
      <c r="H68" s="420">
        <f>+'Revised Evans Table'!H69</f>
        <v>257789.0493499999</v>
      </c>
      <c r="I68" s="420">
        <f>+'Revised Evans Table'!I69</f>
        <v>222644.7742</v>
      </c>
      <c r="J68" s="420">
        <f>+'Revised Evans Table'!J69</f>
        <v>810433.8235499999</v>
      </c>
      <c r="K68" s="420">
        <f>+'Revised Evans Table'!K69</f>
        <v>141088</v>
      </c>
      <c r="L68" s="420">
        <f>+'Revised Evans Table'!L69</f>
        <v>422705.707</v>
      </c>
      <c r="M68" s="420">
        <f>+'Revised Evans Table'!M69</f>
        <v>56573</v>
      </c>
      <c r="N68" s="420">
        <f>+'Revised Evans Table'!N69</f>
        <v>190067.2717</v>
      </c>
      <c r="P68" s="317"/>
      <c r="Q68" s="317"/>
      <c r="S68" s="319"/>
      <c r="U68" s="319"/>
      <c r="W68" s="319"/>
      <c r="Y68" s="319"/>
      <c r="AA68" s="319"/>
      <c r="AC68" s="319"/>
      <c r="AE68" s="319"/>
      <c r="AG68" s="319"/>
      <c r="AI68" s="319"/>
      <c r="AK68" s="319"/>
    </row>
    <row r="69" spans="1:37" ht="12.75">
      <c r="A69" s="318">
        <v>5</v>
      </c>
      <c r="B69" s="322">
        <f>+'Revised Evans Table'!B70</f>
        <v>2020</v>
      </c>
      <c r="C69" s="420">
        <f>+'Revised Evans Table'!C70</f>
        <v>2814257.0160700004</v>
      </c>
      <c r="D69" s="420">
        <f>+'Revised Evans Table'!D70</f>
        <v>1117823.1373400004</v>
      </c>
      <c r="E69" s="420">
        <f>+'Revised Evans Table'!E70</f>
        <v>683250.5065</v>
      </c>
      <c r="F69" s="420">
        <f>+'Revised Evans Table'!F70</f>
        <v>478985.49648000003</v>
      </c>
      <c r="G69" s="420">
        <f>+'Revised Evans Table'!G70</f>
        <v>279085.11825</v>
      </c>
      <c r="H69" s="420">
        <f>+'Revised Evans Table'!H70</f>
        <v>255112.7574999999</v>
      </c>
      <c r="I69" s="420">
        <f>+'Revised Evans Table'!I70</f>
        <v>447520.2425000001</v>
      </c>
      <c r="J69" s="420">
        <f>+'Revised Evans Table'!J70</f>
        <v>702633</v>
      </c>
      <c r="K69" s="420">
        <f>+'Revised Evans Table'!K70</f>
        <v>274610</v>
      </c>
      <c r="L69" s="420">
        <f>+'Revised Evans Table'!L70</f>
        <v>171410</v>
      </c>
      <c r="M69" s="420">
        <f>+'Revised Evans Table'!M70</f>
        <v>24129</v>
      </c>
      <c r="N69" s="420">
        <f>+'Revised Evans Table'!N70</f>
        <v>232483.7283</v>
      </c>
      <c r="P69" s="317"/>
      <c r="Q69" s="317"/>
      <c r="S69" s="319"/>
      <c r="U69" s="319"/>
      <c r="W69" s="319"/>
      <c r="Y69" s="319"/>
      <c r="AA69" s="319"/>
      <c r="AC69" s="319"/>
      <c r="AE69" s="319"/>
      <c r="AG69" s="319"/>
      <c r="AI69" s="319"/>
      <c r="AK69" s="319"/>
    </row>
    <row r="70" spans="1:37" ht="12.75">
      <c r="A70" s="318">
        <v>6</v>
      </c>
      <c r="B70" s="322">
        <f>+'Revised Evans Table'!B71</f>
        <v>2021</v>
      </c>
      <c r="C70" s="420">
        <f>+'Revised Evans Table'!C71</f>
        <v>2933198</v>
      </c>
      <c r="D70" s="420">
        <f>+'Revised Evans Table'!D71</f>
        <v>1132497.64219</v>
      </c>
      <c r="E70" s="420">
        <f>+'Revised Evans Table'!E71</f>
        <v>854827.2483</v>
      </c>
      <c r="F70" s="420">
        <f>+'Revised Evans Table'!F71</f>
        <v>488363.00966000004</v>
      </c>
      <c r="G70" s="420">
        <f>+'Revised Evans Table'!G71</f>
        <v>59831.395560000004</v>
      </c>
      <c r="H70" s="420">
        <f>+'Revised Evans Table'!H71</f>
        <v>397678.7042899999</v>
      </c>
      <c r="I70" s="423">
        <f>+'Revised Evans Table'!I71</f>
        <v>262017.29571000003</v>
      </c>
      <c r="J70" s="423">
        <f>+'Revised Evans Table'!J71</f>
        <v>659696</v>
      </c>
      <c r="K70" s="423">
        <f>+'Revised Evans Table'!K71</f>
        <v>104905</v>
      </c>
      <c r="L70" s="420">
        <f>+'Revised Evans Table'!L71</f>
        <v>519000</v>
      </c>
      <c r="M70" s="420">
        <f>+'Revised Evans Table'!M71</f>
        <v>22112</v>
      </c>
      <c r="N70" s="420">
        <f>+'Revised Evans Table'!N71</f>
        <v>13679</v>
      </c>
      <c r="P70" s="317"/>
      <c r="Q70" s="317"/>
      <c r="S70" s="319"/>
      <c r="U70" s="319"/>
      <c r="W70" s="319"/>
      <c r="Y70" s="319"/>
      <c r="AA70" s="319"/>
      <c r="AC70" s="319"/>
      <c r="AE70" s="319"/>
      <c r="AG70" s="319"/>
      <c r="AI70" s="319"/>
      <c r="AK70" s="319"/>
    </row>
    <row r="71" spans="1:37" ht="12.75">
      <c r="A71" s="318">
        <v>7</v>
      </c>
      <c r="B71" s="322">
        <f>+'Revised Evans Table'!B72</f>
        <v>2022</v>
      </c>
      <c r="C71" s="420">
        <f>+'Revised Evans Table'!C72</f>
        <v>3701138.37396</v>
      </c>
      <c r="D71" s="420">
        <f>+'Revised Evans Table'!D72</f>
        <v>1175087.07239</v>
      </c>
      <c r="E71" s="420">
        <f>+'Revised Evans Table'!E72</f>
        <v>946728.78016</v>
      </c>
      <c r="F71" s="420">
        <f>+'Revised Evans Table'!F72</f>
        <v>502246.698289</v>
      </c>
      <c r="G71" s="420">
        <f>+'Revised Evans Table'!G72</f>
        <v>218283.05201999997</v>
      </c>
      <c r="H71" s="420">
        <f>+'Revised Evans Table'!H72</f>
        <v>858792.7711010001</v>
      </c>
      <c r="I71" s="423">
        <f>+'Revised Evans Table'!I72</f>
        <v>541014.228899</v>
      </c>
      <c r="J71" s="423">
        <f>+'Revised Evans Table'!J72</f>
        <v>1399807</v>
      </c>
      <c r="K71" s="423">
        <f>+'Revised Evans Table'!K72</f>
        <v>108065</v>
      </c>
      <c r="L71" s="420">
        <f>+'Revised Evans Table'!L72</f>
        <v>479300</v>
      </c>
      <c r="M71" s="420">
        <f>+'Revised Evans Table'!M72</f>
        <v>17064</v>
      </c>
      <c r="N71" s="420">
        <f>+'Revised Evans Table'!N72</f>
        <v>795378</v>
      </c>
      <c r="P71" s="317"/>
      <c r="Q71" s="317"/>
      <c r="S71" s="319"/>
      <c r="U71" s="319"/>
      <c r="W71" s="319"/>
      <c r="Y71" s="319"/>
      <c r="AA71" s="319"/>
      <c r="AC71" s="319"/>
      <c r="AE71" s="319"/>
      <c r="AG71" s="319"/>
      <c r="AI71" s="319"/>
      <c r="AK71" s="319"/>
    </row>
    <row r="72" spans="1:37" ht="12.75">
      <c r="A72" s="318">
        <v>8</v>
      </c>
      <c r="B72" s="322" t="s">
        <v>552</v>
      </c>
      <c r="C72" s="319"/>
      <c r="D72" s="319"/>
      <c r="E72" s="319"/>
      <c r="F72" s="319"/>
      <c r="G72" s="319"/>
      <c r="H72" s="319"/>
      <c r="I72" s="320"/>
      <c r="J72" s="320"/>
      <c r="K72" s="320"/>
      <c r="L72" s="317"/>
      <c r="N72" s="317"/>
      <c r="P72" s="317"/>
      <c r="Q72" s="317"/>
      <c r="S72" s="319"/>
      <c r="U72" s="319"/>
      <c r="W72" s="319"/>
      <c r="Y72" s="319"/>
      <c r="AA72" s="319"/>
      <c r="AC72" s="319"/>
      <c r="AE72" s="319"/>
      <c r="AG72" s="319"/>
      <c r="AI72" s="319"/>
      <c r="AK72" s="319"/>
    </row>
    <row r="73" spans="1:37" ht="12.75">
      <c r="A73" s="318">
        <v>9</v>
      </c>
      <c r="B73" s="322" t="s">
        <v>553</v>
      </c>
      <c r="C73" s="320"/>
      <c r="D73" s="320"/>
      <c r="E73" s="320"/>
      <c r="F73" s="320"/>
      <c r="G73" s="320"/>
      <c r="H73" s="320"/>
      <c r="I73" s="320"/>
      <c r="J73" s="320"/>
      <c r="K73" s="320"/>
      <c r="L73" s="328"/>
      <c r="M73" s="327"/>
      <c r="N73" s="328"/>
      <c r="P73" s="317"/>
      <c r="Q73" s="317"/>
      <c r="S73" s="319"/>
      <c r="U73" s="319"/>
      <c r="W73" s="319"/>
      <c r="Y73" s="319"/>
      <c r="AA73" s="319"/>
      <c r="AC73" s="319"/>
      <c r="AE73" s="319"/>
      <c r="AG73" s="319"/>
      <c r="AI73" s="319"/>
      <c r="AK73" s="319"/>
    </row>
    <row r="74" spans="1:37" ht="12.75">
      <c r="A74" s="318">
        <v>10</v>
      </c>
      <c r="B74" s="322">
        <f>+'Revised Evans Table'!B75</f>
        <v>2023</v>
      </c>
      <c r="C74" s="420">
        <f>+'Revised Evans Table'!C75</f>
        <v>2756984.039138802</v>
      </c>
      <c r="D74" s="420">
        <f>+'Revised Evans Table'!D75</f>
        <v>1224490.9160799996</v>
      </c>
      <c r="E74" s="420">
        <f>+'Revised Evans Table'!E75</f>
        <v>707257.1039300001</v>
      </c>
      <c r="F74" s="420">
        <f>+'Revised Evans Table'!F75</f>
        <v>499836.9197733613</v>
      </c>
      <c r="G74" s="420">
        <f>+'Revised Evans Table'!G75</f>
        <v>227911.81223432207</v>
      </c>
      <c r="H74" s="420">
        <f>+'Revised Evans Table'!H75</f>
        <v>97487.28712111874</v>
      </c>
      <c r="I74" s="420">
        <f>+'Revised Evans Table'!I75</f>
        <v>454430.840111273</v>
      </c>
      <c r="J74" s="420">
        <f>+'Revised Evans Table'!J75</f>
        <v>558918.1272323917</v>
      </c>
      <c r="K74" s="420">
        <f>+'Revised Evans Table'!K75</f>
        <v>21111.400000000005</v>
      </c>
      <c r="L74" s="420">
        <f>+'Revised Evans Table'!L75</f>
        <v>525000</v>
      </c>
      <c r="M74" s="420">
        <f>+'Revised Evans Table'!M75</f>
        <v>12762.085</v>
      </c>
      <c r="N74" s="420">
        <f>+'Revised Evans Table'!N75</f>
        <v>44.64223239171406</v>
      </c>
      <c r="P74" s="330"/>
      <c r="Q74" s="330"/>
      <c r="S74" s="319"/>
      <c r="U74" s="319"/>
      <c r="W74" s="319"/>
      <c r="Y74" s="319"/>
      <c r="AA74" s="319"/>
      <c r="AC74" s="319"/>
      <c r="AE74" s="319"/>
      <c r="AG74" s="319"/>
      <c r="AI74" s="319"/>
      <c r="AK74" s="319"/>
    </row>
    <row r="75" spans="1:37" ht="12.75">
      <c r="A75" s="318">
        <v>11</v>
      </c>
      <c r="B75" s="322" t="s">
        <v>554</v>
      </c>
      <c r="L75" s="292"/>
      <c r="M75" s="292"/>
      <c r="P75" s="330"/>
      <c r="Q75" s="330"/>
      <c r="S75" s="319"/>
      <c r="U75" s="319"/>
      <c r="W75" s="319"/>
      <c r="Y75" s="319"/>
      <c r="AA75" s="319"/>
      <c r="AC75" s="319"/>
      <c r="AE75" s="319"/>
      <c r="AG75" s="319"/>
      <c r="AI75" s="319"/>
      <c r="AK75" s="319"/>
    </row>
    <row r="76" spans="1:37" ht="12.75">
      <c r="A76" s="318">
        <v>12</v>
      </c>
      <c r="B76" s="322" t="s">
        <v>553</v>
      </c>
      <c r="L76" s="292"/>
      <c r="M76" s="292"/>
      <c r="P76" s="330"/>
      <c r="Q76" s="330"/>
      <c r="S76" s="319"/>
      <c r="U76" s="319"/>
      <c r="W76" s="319"/>
      <c r="Y76" s="319"/>
      <c r="AA76" s="319"/>
      <c r="AC76" s="319"/>
      <c r="AE76" s="319"/>
      <c r="AG76" s="319"/>
      <c r="AI76" s="319"/>
      <c r="AK76" s="319"/>
    </row>
    <row r="77" spans="1:37" ht="12.75">
      <c r="A77" s="318">
        <v>13</v>
      </c>
      <c r="B77" s="322">
        <v>2024</v>
      </c>
      <c r="C77" s="292">
        <f>+'Current Revenue Test'!E7</f>
        <v>2956126</v>
      </c>
      <c r="D77" s="292">
        <f>+'Revised Evans Table'!D78</f>
        <v>1289069.13154</v>
      </c>
      <c r="E77" s="292">
        <f>+'Revised Evans Table'!E78</f>
        <v>811169.0229600001</v>
      </c>
      <c r="F77" s="292">
        <f>+'Revised Evans Table'!F78</f>
        <v>492233.21625808446</v>
      </c>
      <c r="G77" s="292">
        <f>+'Current Revenue Test'!E42</f>
        <v>209960.52663095828</v>
      </c>
      <c r="H77" s="319">
        <f aca="true" t="shared" si="1" ref="H77">C77-D77-E77-F77-G77</f>
        <v>153694.1026109572</v>
      </c>
      <c r="I77" s="292">
        <f>+'Revised Evans Table'!I78</f>
        <v>340075.41309712717</v>
      </c>
      <c r="J77" s="319">
        <f aca="true" t="shared" si="2" ref="J77:J78">H77+I77</f>
        <v>493769.51570808433</v>
      </c>
      <c r="K77" s="292">
        <f>+'Revised Evans Table'!K78</f>
        <v>27167.200000000008</v>
      </c>
      <c r="L77" s="292">
        <f>+'Revised Evans Table'!L78</f>
        <v>459999</v>
      </c>
      <c r="M77" s="292">
        <f>+'Revised Evans Table'!M78</f>
        <v>8067</v>
      </c>
      <c r="N77" s="317">
        <f>J77-L77-M77-K77</f>
        <v>-1463.6842919156734</v>
      </c>
      <c r="P77" s="336"/>
      <c r="S77" s="319"/>
      <c r="U77" s="319"/>
      <c r="W77" s="319"/>
      <c r="Y77" s="319"/>
      <c r="AA77" s="319"/>
      <c r="AC77" s="319"/>
      <c r="AE77" s="319"/>
      <c r="AG77" s="319"/>
      <c r="AI77" s="319"/>
      <c r="AK77" s="319"/>
    </row>
    <row r="78" spans="1:37" ht="12.75">
      <c r="A78" s="318">
        <v>14</v>
      </c>
      <c r="B78" s="322">
        <v>2025</v>
      </c>
      <c r="C78" s="292">
        <f>+'Current Revenue Test'!F7</f>
        <v>2898053</v>
      </c>
      <c r="D78" s="292">
        <f>+'Revised Evans Table'!D79</f>
        <v>1303492.1349400003</v>
      </c>
      <c r="E78" s="292">
        <f>+'Revised Evans Table'!E79</f>
        <v>946534.15404</v>
      </c>
      <c r="F78" s="292">
        <f>+'Revised Evans Table'!F79</f>
        <v>501464.59792169806</v>
      </c>
      <c r="G78" s="292">
        <f>+'Current Revenue Test'!F42</f>
        <v>175848.2336554973</v>
      </c>
      <c r="H78" s="319">
        <f>C78-D78-E78-F78-G78</f>
        <v>-29286.120557195653</v>
      </c>
      <c r="I78" s="292">
        <f>+'Revised Evans Table'!I79</f>
        <v>325771.7079644901</v>
      </c>
      <c r="J78" s="319">
        <f t="shared" si="2"/>
        <v>296485.5874072944</v>
      </c>
      <c r="K78" s="292">
        <f>+'Revised Evans Table'!K79</f>
        <v>21092.85</v>
      </c>
      <c r="L78" s="292">
        <f>+'Revised Evans Table'!L79</f>
        <v>446000</v>
      </c>
      <c r="M78" s="292">
        <f>+'Revised Evans Table'!M79</f>
        <v>14006</v>
      </c>
      <c r="N78" s="317">
        <f aca="true" t="shared" si="3" ref="N78">J78-L78-M78-K78</f>
        <v>-184613.26259270558</v>
      </c>
      <c r="P78" s="331"/>
      <c r="Q78" s="331"/>
      <c r="S78" s="319"/>
      <c r="U78" s="319"/>
      <c r="W78" s="319"/>
      <c r="Y78" s="319"/>
      <c r="AA78" s="319"/>
      <c r="AC78" s="319"/>
      <c r="AE78" s="319"/>
      <c r="AG78" s="319"/>
      <c r="AI78" s="319"/>
      <c r="AK78" s="319"/>
    </row>
    <row r="79" spans="1:37" ht="12.75">
      <c r="A79" s="318">
        <v>15</v>
      </c>
      <c r="B79" s="322" t="s">
        <v>555</v>
      </c>
      <c r="C79" s="319"/>
      <c r="D79" s="319"/>
      <c r="E79" s="319"/>
      <c r="F79" s="319"/>
      <c r="G79" s="319"/>
      <c r="H79" s="319"/>
      <c r="I79" s="319"/>
      <c r="J79" s="319"/>
      <c r="K79" s="319"/>
      <c r="L79" s="331"/>
      <c r="M79" s="331"/>
      <c r="N79" s="317"/>
      <c r="P79" s="331"/>
      <c r="Q79" s="331"/>
      <c r="S79" s="319"/>
      <c r="U79" s="319"/>
      <c r="W79" s="319"/>
      <c r="Y79" s="319"/>
      <c r="AA79" s="319"/>
      <c r="AC79" s="319"/>
      <c r="AE79" s="319"/>
      <c r="AG79" s="319"/>
      <c r="AI79" s="319"/>
      <c r="AK79" s="319"/>
    </row>
    <row r="80" spans="1:37" ht="12.75">
      <c r="A80" s="318">
        <v>16</v>
      </c>
      <c r="B80" s="322" t="s">
        <v>553</v>
      </c>
      <c r="C80" s="319"/>
      <c r="D80" s="319"/>
      <c r="E80" s="319"/>
      <c r="F80" s="319"/>
      <c r="G80" s="319"/>
      <c r="H80" s="319"/>
      <c r="I80" s="319"/>
      <c r="J80" s="319"/>
      <c r="K80" s="319"/>
      <c r="L80" s="331"/>
      <c r="M80" s="331"/>
      <c r="N80" s="317"/>
      <c r="P80" s="331"/>
      <c r="Q80" s="331"/>
      <c r="S80" s="319"/>
      <c r="U80" s="319"/>
      <c r="W80" s="319"/>
      <c r="Y80" s="319"/>
      <c r="AA80" s="319"/>
      <c r="AC80" s="319"/>
      <c r="AE80" s="319"/>
      <c r="AG80" s="319"/>
      <c r="AI80" s="319"/>
      <c r="AK80" s="319"/>
    </row>
    <row r="81" spans="1:37" ht="12.75">
      <c r="A81" s="318">
        <v>17</v>
      </c>
      <c r="B81" s="322">
        <f>B78+1</f>
        <v>2026</v>
      </c>
      <c r="C81" s="319">
        <f>+$C$78</f>
        <v>2898053</v>
      </c>
      <c r="D81" s="319">
        <f>+$D$78</f>
        <v>1303492.1349400003</v>
      </c>
      <c r="E81" s="319">
        <f>+$E$78</f>
        <v>946534.15404</v>
      </c>
      <c r="F81" s="319">
        <f>+$F$78</f>
        <v>501464.59792169806</v>
      </c>
      <c r="G81" s="319">
        <f>+'Revised Evans Table'!G82</f>
        <v>209362.3998009006</v>
      </c>
      <c r="H81" s="319">
        <f>C81-D81-E81-F81-G81</f>
        <v>-62800.28670259897</v>
      </c>
      <c r="I81" s="319">
        <f>F81+SUM('Current Revenue Test'!$F$63,'Current Revenue Test'!$F$66:$F$73)</f>
        <v>360061.31465249014</v>
      </c>
      <c r="J81" s="319">
        <f>H81+I81</f>
        <v>297261.02794989117</v>
      </c>
      <c r="K81" s="319">
        <f>+'Revised Evans Table'!K82</f>
        <v>96150</v>
      </c>
      <c r="L81" s="319">
        <f>+'Revised Evans Table'!L82</f>
        <v>379529.762</v>
      </c>
      <c r="M81" s="319">
        <f>+'Revised Evans Table'!M82</f>
        <v>20317.096</v>
      </c>
      <c r="N81" s="317">
        <f>J81-L81-M81-K81</f>
        <v>-198735.83005010884</v>
      </c>
      <c r="P81" s="331"/>
      <c r="Q81" s="331"/>
      <c r="S81" s="319"/>
      <c r="U81" s="319"/>
      <c r="W81" s="319"/>
      <c r="Y81" s="319"/>
      <c r="AA81" s="319"/>
      <c r="AC81" s="319"/>
      <c r="AE81" s="319"/>
      <c r="AG81" s="319"/>
      <c r="AI81" s="319"/>
      <c r="AK81" s="319"/>
    </row>
    <row r="82" spans="1:37" ht="12.75">
      <c r="A82" s="318">
        <v>18</v>
      </c>
      <c r="B82" s="322">
        <f aca="true" t="shared" si="4" ref="B82:B130">B81+1</f>
        <v>2027</v>
      </c>
      <c r="C82" s="319">
        <f aca="true" t="shared" si="5" ref="C82:C130">+$C$78</f>
        <v>2898053</v>
      </c>
      <c r="D82" s="319">
        <f aca="true" t="shared" si="6" ref="D82:D130">+$D$78</f>
        <v>1303492.1349400003</v>
      </c>
      <c r="E82" s="319">
        <f aca="true" t="shared" si="7" ref="E82:E130">+$E$78</f>
        <v>946534.15404</v>
      </c>
      <c r="F82" s="319">
        <f aca="true" t="shared" si="8" ref="F82:F130">+$F$78</f>
        <v>501464.59792169806</v>
      </c>
      <c r="G82" s="319">
        <f>+'Revised Evans Table'!G83</f>
        <v>192820.2800736414</v>
      </c>
      <c r="H82" s="319">
        <f aca="true" t="shared" si="9" ref="H82:H112">C82-D82-E82-F82-G82</f>
        <v>-46258.16697533976</v>
      </c>
      <c r="I82" s="319">
        <f>F82+SUM('Current Revenue Test'!$F$63,'Current Revenue Test'!$F$66:$F$73)</f>
        <v>360061.31465249014</v>
      </c>
      <c r="J82" s="319">
        <f aca="true" t="shared" si="10" ref="J82:J128">H82+I82</f>
        <v>313803.1476771504</v>
      </c>
      <c r="K82" s="319">
        <f>+'Revised Evans Table'!K83</f>
        <v>405711.25</v>
      </c>
      <c r="L82" s="319">
        <f>+'Revised Evans Table'!L83</f>
        <v>102236.485</v>
      </c>
      <c r="M82" s="319">
        <f>+'Revised Evans Table'!M83</f>
        <v>6264.624</v>
      </c>
      <c r="N82" s="317">
        <f aca="true" t="shared" si="11" ref="N82:N128">J82-L82-M82-K82</f>
        <v>-200409.21132284962</v>
      </c>
      <c r="P82" s="331"/>
      <c r="Q82" s="331"/>
      <c r="S82" s="319"/>
      <c r="U82" s="319"/>
      <c r="W82" s="319"/>
      <c r="Y82" s="319"/>
      <c r="AA82" s="319"/>
      <c r="AC82" s="319"/>
      <c r="AE82" s="319"/>
      <c r="AG82" s="319"/>
      <c r="AI82" s="319"/>
      <c r="AK82" s="319"/>
    </row>
    <row r="83" spans="1:37" ht="12.75">
      <c r="A83" s="318">
        <v>19</v>
      </c>
      <c r="B83" s="322">
        <f>B82+1</f>
        <v>2028</v>
      </c>
      <c r="C83" s="319">
        <f t="shared" si="5"/>
        <v>2898053</v>
      </c>
      <c r="D83" s="319">
        <f t="shared" si="6"/>
        <v>1303492.1349400003</v>
      </c>
      <c r="E83" s="319">
        <f t="shared" si="7"/>
        <v>946534.15404</v>
      </c>
      <c r="F83" s="319">
        <f t="shared" si="8"/>
        <v>501464.59792169806</v>
      </c>
      <c r="G83" s="319">
        <f>+'Revised Evans Table'!G84</f>
        <v>174147.37467238307</v>
      </c>
      <c r="H83" s="319">
        <f t="shared" si="9"/>
        <v>-27585.261574081436</v>
      </c>
      <c r="I83" s="319">
        <f>F83+SUM('Current Revenue Test'!$F$63,'Current Revenue Test'!$F$66:$F$73)</f>
        <v>360061.31465249014</v>
      </c>
      <c r="J83" s="319">
        <f t="shared" si="10"/>
        <v>332476.0530784087</v>
      </c>
      <c r="K83" s="319">
        <f>+'Revised Evans Table'!K84</f>
        <v>416482.5</v>
      </c>
      <c r="L83" s="319">
        <f>+'Revised Evans Table'!L84</f>
        <v>101391.959</v>
      </c>
      <c r="M83" s="319">
        <f>+'Revised Evans Table'!M84</f>
        <v>11447.036</v>
      </c>
      <c r="N83" s="317">
        <f t="shared" si="11"/>
        <v>-196845.4419215913</v>
      </c>
      <c r="P83" s="331"/>
      <c r="Q83" s="331"/>
      <c r="S83" s="319"/>
      <c r="U83" s="319"/>
      <c r="W83" s="319"/>
      <c r="Y83" s="319"/>
      <c r="AA83" s="319"/>
      <c r="AC83" s="319"/>
      <c r="AE83" s="319"/>
      <c r="AG83" s="319"/>
      <c r="AI83" s="319"/>
      <c r="AK83" s="319"/>
    </row>
    <row r="84" spans="1:37" ht="12.75">
      <c r="A84" s="318">
        <v>20</v>
      </c>
      <c r="B84" s="322">
        <f t="shared" si="4"/>
        <v>2029</v>
      </c>
      <c r="C84" s="319">
        <f t="shared" si="5"/>
        <v>2898053</v>
      </c>
      <c r="D84" s="319">
        <f t="shared" si="6"/>
        <v>1303492.1349400003</v>
      </c>
      <c r="E84" s="319">
        <f t="shared" si="7"/>
        <v>946534.15404</v>
      </c>
      <c r="F84" s="319">
        <f t="shared" si="8"/>
        <v>501464.59792169806</v>
      </c>
      <c r="G84" s="319">
        <f>+'Revised Evans Table'!G85</f>
        <v>156748.8266768547</v>
      </c>
      <c r="H84" s="319">
        <f t="shared" si="9"/>
        <v>-10186.713578553055</v>
      </c>
      <c r="I84" s="319">
        <f>F84+SUM('Current Revenue Test'!$F$63,'Current Revenue Test'!$F$66:$F$73)</f>
        <v>360061.31465249014</v>
      </c>
      <c r="J84" s="319">
        <f t="shared" si="10"/>
        <v>349874.6010739371</v>
      </c>
      <c r="K84" s="319">
        <f>+'Revised Evans Table'!K85</f>
        <v>136556.0505</v>
      </c>
      <c r="L84" s="319">
        <f>+'Revised Evans Table'!L85</f>
        <v>405103.724</v>
      </c>
      <c r="M84" s="319">
        <f>+'Revised Evans Table'!M85</f>
        <v>4064.635</v>
      </c>
      <c r="N84" s="317">
        <f t="shared" si="11"/>
        <v>-195849.80842606293</v>
      </c>
      <c r="P84" s="331"/>
      <c r="Q84" s="331"/>
      <c r="S84" s="319"/>
      <c r="U84" s="319"/>
      <c r="W84" s="319"/>
      <c r="Y84" s="319"/>
      <c r="AA84" s="319"/>
      <c r="AC84" s="319"/>
      <c r="AE84" s="319"/>
      <c r="AG84" s="319"/>
      <c r="AI84" s="319"/>
      <c r="AK84" s="319"/>
    </row>
    <row r="85" spans="1:37" ht="12.75">
      <c r="A85" s="318">
        <v>21</v>
      </c>
      <c r="B85" s="322">
        <f t="shared" si="4"/>
        <v>2030</v>
      </c>
      <c r="C85" s="319">
        <f t="shared" si="5"/>
        <v>2898053</v>
      </c>
      <c r="D85" s="319">
        <f t="shared" si="6"/>
        <v>1303492.1349400003</v>
      </c>
      <c r="E85" s="319">
        <f t="shared" si="7"/>
        <v>946534.15404</v>
      </c>
      <c r="F85" s="319">
        <f t="shared" si="8"/>
        <v>501464.59792169806</v>
      </c>
      <c r="G85" s="319">
        <f>+'Revised Evans Table'!G86</f>
        <v>138451.24267685466</v>
      </c>
      <c r="H85" s="319">
        <f t="shared" si="9"/>
        <v>8110.870421446976</v>
      </c>
      <c r="I85" s="319">
        <f>F85+SUM('Current Revenue Test'!$F$63,'Current Revenue Test'!$F$66:$F$73)</f>
        <v>360061.31465249014</v>
      </c>
      <c r="J85" s="319">
        <f t="shared" si="10"/>
        <v>368172.1850739371</v>
      </c>
      <c r="K85" s="319">
        <f>+'Revised Evans Table'!K86</f>
        <v>283505.172</v>
      </c>
      <c r="L85" s="319">
        <f>+'Revised Evans Table'!L86</f>
        <v>266304.564</v>
      </c>
      <c r="M85" s="319">
        <f>+'Revised Evans Table'!M86</f>
        <v>1995.733</v>
      </c>
      <c r="N85" s="317">
        <f t="shared" si="11"/>
        <v>-183633.28392606293</v>
      </c>
      <c r="P85" s="331"/>
      <c r="Q85" s="331"/>
      <c r="S85" s="319"/>
      <c r="U85" s="319"/>
      <c r="W85" s="319"/>
      <c r="Y85" s="319"/>
      <c r="AA85" s="319"/>
      <c r="AC85" s="319"/>
      <c r="AE85" s="319"/>
      <c r="AG85" s="319"/>
      <c r="AI85" s="319"/>
      <c r="AK85" s="319"/>
    </row>
    <row r="86" spans="1:37" ht="12.75">
      <c r="A86" s="318">
        <v>22</v>
      </c>
      <c r="B86" s="322">
        <f t="shared" si="4"/>
        <v>2031</v>
      </c>
      <c r="C86" s="319">
        <f t="shared" si="5"/>
        <v>2898053</v>
      </c>
      <c r="D86" s="319">
        <f t="shared" si="6"/>
        <v>1303492.1349400003</v>
      </c>
      <c r="E86" s="319">
        <f t="shared" si="7"/>
        <v>946534.15404</v>
      </c>
      <c r="F86" s="319">
        <f t="shared" si="8"/>
        <v>501464.59792169806</v>
      </c>
      <c r="G86" s="319">
        <f>+'Revised Evans Table'!G87</f>
        <v>135375.5476768547</v>
      </c>
      <c r="H86" s="319">
        <f t="shared" si="9"/>
        <v>11186.565421446925</v>
      </c>
      <c r="I86" s="319">
        <f>F86+SUM('Current Revenue Test'!$F$63,'Current Revenue Test'!$F$66:$F$73)</f>
        <v>360061.31465249014</v>
      </c>
      <c r="J86" s="319">
        <f t="shared" si="10"/>
        <v>371247.88007393706</v>
      </c>
      <c r="K86" s="319">
        <f>+'Revised Evans Table'!K87</f>
        <v>314353.33375</v>
      </c>
      <c r="L86" s="319">
        <f>+'Revised Evans Table'!L87</f>
        <v>243290.649</v>
      </c>
      <c r="M86" s="319">
        <f>+'Revised Evans Table'!M87</f>
        <v>10916.377</v>
      </c>
      <c r="N86" s="317">
        <f t="shared" si="11"/>
        <v>-197312.47967606294</v>
      </c>
      <c r="P86" s="331"/>
      <c r="Q86" s="331"/>
      <c r="S86" s="319"/>
      <c r="U86" s="319"/>
      <c r="W86" s="319"/>
      <c r="Y86" s="319"/>
      <c r="AA86" s="319"/>
      <c r="AC86" s="319"/>
      <c r="AE86" s="319"/>
      <c r="AG86" s="319"/>
      <c r="AI86" s="319"/>
      <c r="AK86" s="319"/>
    </row>
    <row r="87" spans="1:37" ht="12.75">
      <c r="A87" s="318">
        <v>23</v>
      </c>
      <c r="B87" s="322">
        <f t="shared" si="4"/>
        <v>2032</v>
      </c>
      <c r="C87" s="319">
        <f t="shared" si="5"/>
        <v>2898053</v>
      </c>
      <c r="D87" s="319">
        <f t="shared" si="6"/>
        <v>1303492.1349400003</v>
      </c>
      <c r="E87" s="319">
        <f t="shared" si="7"/>
        <v>946534.15404</v>
      </c>
      <c r="F87" s="319">
        <f t="shared" si="8"/>
        <v>501464.59792169806</v>
      </c>
      <c r="G87" s="319">
        <f>+'Revised Evans Table'!G88</f>
        <v>110454.88367685469</v>
      </c>
      <c r="H87" s="319">
        <f t="shared" si="9"/>
        <v>36107.229421446944</v>
      </c>
      <c r="I87" s="319">
        <f>F87+SUM('Current Revenue Test'!$F$63,'Current Revenue Test'!$F$66:$F$73)</f>
        <v>360061.31465249014</v>
      </c>
      <c r="J87" s="319">
        <f t="shared" si="10"/>
        <v>396168.5440739371</v>
      </c>
      <c r="K87" s="319">
        <f>+'Revised Evans Table'!K88</f>
        <v>347330.6755</v>
      </c>
      <c r="L87" s="319">
        <f>+'Revised Evans Table'!L88</f>
        <v>225386.601</v>
      </c>
      <c r="M87" s="319">
        <f>+'Revised Evans Table'!M88</f>
        <v>0</v>
      </c>
      <c r="N87" s="317">
        <f t="shared" si="11"/>
        <v>-176548.7324260629</v>
      </c>
      <c r="P87" s="331"/>
      <c r="Q87" s="331"/>
      <c r="S87" s="319"/>
      <c r="U87" s="319"/>
      <c r="W87" s="319"/>
      <c r="Y87" s="319"/>
      <c r="AA87" s="319"/>
      <c r="AC87" s="319"/>
      <c r="AE87" s="319"/>
      <c r="AG87" s="319"/>
      <c r="AI87" s="319"/>
      <c r="AK87" s="319"/>
    </row>
    <row r="88" spans="1:37" ht="12.75">
      <c r="A88" s="318">
        <v>24</v>
      </c>
      <c r="B88" s="322">
        <f t="shared" si="4"/>
        <v>2033</v>
      </c>
      <c r="C88" s="319">
        <f t="shared" si="5"/>
        <v>2898053</v>
      </c>
      <c r="D88" s="319">
        <f t="shared" si="6"/>
        <v>1303492.1349400003</v>
      </c>
      <c r="E88" s="319">
        <f t="shared" si="7"/>
        <v>946534.15404</v>
      </c>
      <c r="F88" s="319">
        <f t="shared" si="8"/>
        <v>501464.59792169806</v>
      </c>
      <c r="G88" s="319">
        <f>+'Revised Evans Table'!G89</f>
        <v>111421.67267685471</v>
      </c>
      <c r="H88" s="319">
        <f t="shared" si="9"/>
        <v>35140.440421446925</v>
      </c>
      <c r="I88" s="319">
        <f>F88+SUM('Current Revenue Test'!$F$63,'Current Revenue Test'!$F$66:$F$73)</f>
        <v>360061.31465249014</v>
      </c>
      <c r="J88" s="319">
        <f t="shared" si="10"/>
        <v>395201.75507393706</v>
      </c>
      <c r="K88" s="319">
        <f>+'Revised Evans Table'!K89</f>
        <v>335061.015</v>
      </c>
      <c r="L88" s="319">
        <f>+'Revised Evans Table'!L89</f>
        <v>242791.56</v>
      </c>
      <c r="M88" s="319">
        <f>+'Revised Evans Table'!M89</f>
        <v>4346.935</v>
      </c>
      <c r="N88" s="317">
        <f t="shared" si="11"/>
        <v>-186997.75492606295</v>
      </c>
      <c r="P88" s="331"/>
      <c r="Q88" s="331"/>
      <c r="S88" s="319"/>
      <c r="U88" s="319"/>
      <c r="W88" s="319"/>
      <c r="Y88" s="319"/>
      <c r="AA88" s="319"/>
      <c r="AC88" s="319"/>
      <c r="AE88" s="319"/>
      <c r="AG88" s="319"/>
      <c r="AI88" s="319"/>
      <c r="AK88" s="319"/>
    </row>
    <row r="89" spans="1:37" ht="12.75">
      <c r="A89" s="318">
        <v>25</v>
      </c>
      <c r="B89" s="322">
        <f t="shared" si="4"/>
        <v>2034</v>
      </c>
      <c r="C89" s="319">
        <f t="shared" si="5"/>
        <v>2898053</v>
      </c>
      <c r="D89" s="319">
        <f t="shared" si="6"/>
        <v>1303492.1349400003</v>
      </c>
      <c r="E89" s="319">
        <f t="shared" si="7"/>
        <v>946534.15404</v>
      </c>
      <c r="F89" s="319">
        <f t="shared" si="8"/>
        <v>501464.59792169806</v>
      </c>
      <c r="G89" s="319">
        <f>+'Revised Evans Table'!G90</f>
        <v>102490.2036768547</v>
      </c>
      <c r="H89" s="319">
        <f t="shared" si="9"/>
        <v>44071.90942144694</v>
      </c>
      <c r="I89" s="319">
        <f>F89+SUM('Current Revenue Test'!$F$63,'Current Revenue Test'!$F$66:$F$73)</f>
        <v>360061.31465249014</v>
      </c>
      <c r="J89" s="319">
        <f t="shared" si="10"/>
        <v>404133.22407393705</v>
      </c>
      <c r="K89" s="319">
        <f>+'Revised Evans Table'!K90</f>
        <v>322194.0745</v>
      </c>
      <c r="L89" s="319">
        <f>+'Revised Evans Table'!L90</f>
        <v>308419.93</v>
      </c>
      <c r="M89" s="319">
        <f>+'Revised Evans Table'!M90</f>
        <v>0</v>
      </c>
      <c r="N89" s="317">
        <f t="shared" si="11"/>
        <v>-226480.78042606293</v>
      </c>
      <c r="P89" s="331"/>
      <c r="Q89" s="331"/>
      <c r="S89" s="319"/>
      <c r="U89" s="319"/>
      <c r="W89" s="319"/>
      <c r="Y89" s="319"/>
      <c r="AA89" s="319"/>
      <c r="AC89" s="319"/>
      <c r="AE89" s="319"/>
      <c r="AG89" s="319"/>
      <c r="AI89" s="319"/>
      <c r="AK89" s="319"/>
    </row>
    <row r="90" spans="1:37" ht="12.75">
      <c r="A90" s="318">
        <v>26</v>
      </c>
      <c r="B90" s="322">
        <f t="shared" si="4"/>
        <v>2035</v>
      </c>
      <c r="C90" s="319">
        <f t="shared" si="5"/>
        <v>2898053</v>
      </c>
      <c r="D90" s="319">
        <f t="shared" si="6"/>
        <v>1303492.1349400003</v>
      </c>
      <c r="E90" s="319">
        <f t="shared" si="7"/>
        <v>946534.15404</v>
      </c>
      <c r="F90" s="319">
        <f t="shared" si="8"/>
        <v>501464.59792169806</v>
      </c>
      <c r="G90" s="319">
        <f>+'Revised Evans Table'!G91</f>
        <v>16181.560676854677</v>
      </c>
      <c r="H90" s="319">
        <f t="shared" si="9"/>
        <v>130380.55242144696</v>
      </c>
      <c r="I90" s="319">
        <f>F90+SUM('Current Revenue Test'!$F$63,'Current Revenue Test'!$F$66:$F$73)</f>
        <v>360061.31465249014</v>
      </c>
      <c r="J90" s="319">
        <f t="shared" si="10"/>
        <v>490441.8670739371</v>
      </c>
      <c r="K90" s="319">
        <f>+'Revised Evans Table'!K91</f>
        <v>323225.8075</v>
      </c>
      <c r="L90" s="319">
        <f>+'Revised Evans Table'!L91</f>
        <v>295453.823</v>
      </c>
      <c r="M90" s="319">
        <f>+'Revised Evans Table'!M91</f>
        <v>8050.909</v>
      </c>
      <c r="N90" s="317">
        <f t="shared" si="11"/>
        <v>-136288.67242606287</v>
      </c>
      <c r="P90" s="331"/>
      <c r="Q90" s="331"/>
      <c r="S90" s="319"/>
      <c r="U90" s="319"/>
      <c r="W90" s="319"/>
      <c r="Y90" s="319"/>
      <c r="AA90" s="319"/>
      <c r="AC90" s="319"/>
      <c r="AE90" s="319"/>
      <c r="AG90" s="319"/>
      <c r="AI90" s="319"/>
      <c r="AK90" s="319"/>
    </row>
    <row r="91" spans="1:37" ht="12.75">
      <c r="A91" s="318">
        <v>27</v>
      </c>
      <c r="B91" s="322">
        <f>B90+1</f>
        <v>2036</v>
      </c>
      <c r="C91" s="319">
        <f t="shared" si="5"/>
        <v>2898053</v>
      </c>
      <c r="D91" s="319">
        <f t="shared" si="6"/>
        <v>1303492.1349400003</v>
      </c>
      <c r="E91" s="319">
        <f t="shared" si="7"/>
        <v>946534.15404</v>
      </c>
      <c r="F91" s="319">
        <f t="shared" si="8"/>
        <v>501464.59792169806</v>
      </c>
      <c r="G91" s="319">
        <f>+'Revised Evans Table'!G92</f>
        <v>32694.051676854673</v>
      </c>
      <c r="H91" s="319">
        <f t="shared" si="9"/>
        <v>113868.06142144697</v>
      </c>
      <c r="I91" s="319">
        <f>F91+SUM('Current Revenue Test'!$F$63,'Current Revenue Test'!$F$66:$F$73)</f>
        <v>360061.31465249014</v>
      </c>
      <c r="J91" s="319">
        <f t="shared" si="10"/>
        <v>473929.3760739371</v>
      </c>
      <c r="K91" s="319">
        <f>+'Revised Evans Table'!K92</f>
        <v>341464.028</v>
      </c>
      <c r="L91" s="319">
        <f>+'Revised Evans Table'!L92</f>
        <v>238680.961</v>
      </c>
      <c r="M91" s="319">
        <f>+'Revised Evans Table'!M92</f>
        <v>28920.449</v>
      </c>
      <c r="N91" s="317">
        <f t="shared" si="11"/>
        <v>-135136.0619260629</v>
      </c>
      <c r="P91" s="331"/>
      <c r="Q91" s="331"/>
      <c r="S91" s="319"/>
      <c r="U91" s="319"/>
      <c r="W91" s="319"/>
      <c r="Y91" s="319"/>
      <c r="AA91" s="319"/>
      <c r="AC91" s="319"/>
      <c r="AE91" s="319"/>
      <c r="AG91" s="319"/>
      <c r="AI91" s="319"/>
      <c r="AK91" s="319"/>
    </row>
    <row r="92" spans="1:37" ht="12.75">
      <c r="A92" s="318">
        <v>28</v>
      </c>
      <c r="B92" s="322">
        <f t="shared" si="4"/>
        <v>2037</v>
      </c>
      <c r="C92" s="319">
        <f t="shared" si="5"/>
        <v>2898053</v>
      </c>
      <c r="D92" s="319">
        <f t="shared" si="6"/>
        <v>1303492.1349400003</v>
      </c>
      <c r="E92" s="319">
        <f t="shared" si="7"/>
        <v>946534.15404</v>
      </c>
      <c r="F92" s="319">
        <f t="shared" si="8"/>
        <v>501464.59792169806</v>
      </c>
      <c r="G92" s="319">
        <f>+'Revised Evans Table'!G93</f>
        <v>78105.57867685467</v>
      </c>
      <c r="H92" s="319">
        <f t="shared" si="9"/>
        <v>68456.53442144697</v>
      </c>
      <c r="I92" s="319">
        <f>F92+SUM('Current Revenue Test'!$F$63,'Current Revenue Test'!$F$66:$F$73)</f>
        <v>360061.31465249014</v>
      </c>
      <c r="J92" s="319">
        <f t="shared" si="10"/>
        <v>428517.8490739371</v>
      </c>
      <c r="K92" s="319">
        <f>+'Revised Evans Table'!K93</f>
        <v>310490.9875</v>
      </c>
      <c r="L92" s="319">
        <f>+'Revised Evans Table'!L93</f>
        <v>297261.515</v>
      </c>
      <c r="M92" s="319">
        <f>+'Revised Evans Table'!M93</f>
        <v>15882.552</v>
      </c>
      <c r="N92" s="317">
        <f t="shared" si="11"/>
        <v>-195117.2054260629</v>
      </c>
      <c r="P92" s="331"/>
      <c r="Q92" s="331"/>
      <c r="S92" s="319"/>
      <c r="U92" s="319"/>
      <c r="W92" s="319"/>
      <c r="Y92" s="319"/>
      <c r="AA92" s="319"/>
      <c r="AC92" s="319"/>
      <c r="AE92" s="319"/>
      <c r="AG92" s="319"/>
      <c r="AI92" s="319"/>
      <c r="AK92" s="319"/>
    </row>
    <row r="93" spans="1:37" ht="12.75">
      <c r="A93" s="318">
        <v>29</v>
      </c>
      <c r="B93" s="322">
        <f t="shared" si="4"/>
        <v>2038</v>
      </c>
      <c r="C93" s="319">
        <f t="shared" si="5"/>
        <v>2898053</v>
      </c>
      <c r="D93" s="319">
        <f t="shared" si="6"/>
        <v>1303492.1349400003</v>
      </c>
      <c r="E93" s="319">
        <f t="shared" si="7"/>
        <v>946534.15404</v>
      </c>
      <c r="F93" s="319">
        <f t="shared" si="8"/>
        <v>501464.59792169806</v>
      </c>
      <c r="G93" s="319">
        <f>+'Revised Evans Table'!G94</f>
        <v>63381.96167685467</v>
      </c>
      <c r="H93" s="319">
        <f t="shared" si="9"/>
        <v>83180.15142144696</v>
      </c>
      <c r="I93" s="319">
        <f>F93+SUM('Current Revenue Test'!$F$63,'Current Revenue Test'!$F$66:$F$73)</f>
        <v>360061.31465249014</v>
      </c>
      <c r="J93" s="319">
        <f t="shared" si="10"/>
        <v>443241.46607393713</v>
      </c>
      <c r="K93" s="319">
        <f>+'Revised Evans Table'!K94</f>
        <v>226372.69375</v>
      </c>
      <c r="L93" s="319">
        <f>+'Revised Evans Table'!L94</f>
        <v>413535.201</v>
      </c>
      <c r="M93" s="319">
        <f>+'Revised Evans Table'!M94</f>
        <v>0</v>
      </c>
      <c r="N93" s="317">
        <f t="shared" si="11"/>
        <v>-196666.42867606287</v>
      </c>
      <c r="P93" s="331"/>
      <c r="Q93" s="331"/>
      <c r="S93" s="319"/>
      <c r="U93" s="319"/>
      <c r="W93" s="319"/>
      <c r="Y93" s="319"/>
      <c r="AA93" s="319"/>
      <c r="AC93" s="319"/>
      <c r="AE93" s="319"/>
      <c r="AG93" s="319"/>
      <c r="AI93" s="319"/>
      <c r="AK93" s="319"/>
    </row>
    <row r="94" spans="1:37" ht="12.75">
      <c r="A94" s="318">
        <v>30</v>
      </c>
      <c r="B94" s="322">
        <f t="shared" si="4"/>
        <v>2039</v>
      </c>
      <c r="C94" s="319">
        <f t="shared" si="5"/>
        <v>2898053</v>
      </c>
      <c r="D94" s="319">
        <f t="shared" si="6"/>
        <v>1303492.1349400003</v>
      </c>
      <c r="E94" s="319">
        <f t="shared" si="7"/>
        <v>946534.15404</v>
      </c>
      <c r="F94" s="319">
        <f t="shared" si="8"/>
        <v>501464.59792169806</v>
      </c>
      <c r="G94" s="319">
        <f>+'Revised Evans Table'!G95</f>
        <v>46779.12167685468</v>
      </c>
      <c r="H94" s="319">
        <f t="shared" si="9"/>
        <v>99782.99142144696</v>
      </c>
      <c r="I94" s="319">
        <f>F94+SUM('Current Revenue Test'!$F$63,'Current Revenue Test'!$F$66:$F$73)</f>
        <v>360061.31465249014</v>
      </c>
      <c r="J94" s="319">
        <f t="shared" si="10"/>
        <v>459844.3060739371</v>
      </c>
      <c r="K94" s="319">
        <f>+'Revised Evans Table'!K95</f>
        <v>210052.704</v>
      </c>
      <c r="L94" s="319">
        <f>+'Revised Evans Table'!L95</f>
        <v>430204.92</v>
      </c>
      <c r="M94" s="319">
        <f>+'Revised Evans Table'!M95</f>
        <v>13974.958</v>
      </c>
      <c r="N94" s="317">
        <f t="shared" si="11"/>
        <v>-194388.2759260629</v>
      </c>
      <c r="P94" s="331"/>
      <c r="Q94" s="331"/>
      <c r="S94" s="319"/>
      <c r="U94" s="319"/>
      <c r="W94" s="319"/>
      <c r="Y94" s="319"/>
      <c r="AA94" s="319"/>
      <c r="AC94" s="319"/>
      <c r="AE94" s="319"/>
      <c r="AG94" s="319"/>
      <c r="AI94" s="319"/>
      <c r="AK94" s="319"/>
    </row>
    <row r="95" spans="1:37" ht="12.75">
      <c r="A95" s="318">
        <v>31</v>
      </c>
      <c r="B95" s="322">
        <f t="shared" si="4"/>
        <v>2040</v>
      </c>
      <c r="C95" s="319">
        <f t="shared" si="5"/>
        <v>2898053</v>
      </c>
      <c r="D95" s="319">
        <f t="shared" si="6"/>
        <v>1303492.1349400003</v>
      </c>
      <c r="E95" s="319">
        <f t="shared" si="7"/>
        <v>946534.15404</v>
      </c>
      <c r="F95" s="319">
        <f t="shared" si="8"/>
        <v>501464.59792169806</v>
      </c>
      <c r="G95" s="319">
        <f>+'Revised Evans Table'!G96</f>
        <v>32360.43467685469</v>
      </c>
      <c r="H95" s="319">
        <f t="shared" si="9"/>
        <v>114201.67842144694</v>
      </c>
      <c r="I95" s="319">
        <f>F95+SUM('Current Revenue Test'!$F$63,'Current Revenue Test'!$F$66:$F$73)</f>
        <v>360061.31465249014</v>
      </c>
      <c r="J95" s="319">
        <f t="shared" si="10"/>
        <v>474262.9930739371</v>
      </c>
      <c r="K95" s="319">
        <f>+'Revised Evans Table'!K96</f>
        <v>209469.6305</v>
      </c>
      <c r="L95" s="319">
        <f>+'Revised Evans Table'!L96</f>
        <v>459141.825</v>
      </c>
      <c r="M95" s="319">
        <f>+'Revised Evans Table'!M96</f>
        <v>0</v>
      </c>
      <c r="N95" s="317">
        <f t="shared" si="11"/>
        <v>-194348.46242606294</v>
      </c>
      <c r="P95" s="331"/>
      <c r="Q95" s="331"/>
      <c r="S95" s="319"/>
      <c r="U95" s="319"/>
      <c r="W95" s="319"/>
      <c r="Y95" s="319"/>
      <c r="AA95" s="319"/>
      <c r="AC95" s="319"/>
      <c r="AE95" s="319"/>
      <c r="AG95" s="319"/>
      <c r="AI95" s="319"/>
      <c r="AK95" s="319"/>
    </row>
    <row r="96" spans="1:37" ht="12.75">
      <c r="A96" s="318">
        <v>32</v>
      </c>
      <c r="B96" s="322">
        <f>B95+1</f>
        <v>2041</v>
      </c>
      <c r="C96" s="319">
        <f t="shared" si="5"/>
        <v>2898053</v>
      </c>
      <c r="D96" s="319">
        <f t="shared" si="6"/>
        <v>1303492.1349400003</v>
      </c>
      <c r="E96" s="319">
        <f t="shared" si="7"/>
        <v>946534.15404</v>
      </c>
      <c r="F96" s="319">
        <f t="shared" si="8"/>
        <v>501464.59792169806</v>
      </c>
      <c r="G96" s="319">
        <f>+'Revised Evans Table'!G97</f>
        <v>17941.56067685468</v>
      </c>
      <c r="H96" s="319">
        <f t="shared" si="9"/>
        <v>128620.55242144695</v>
      </c>
      <c r="I96" s="319">
        <f>F96+SUM('Current Revenue Test'!$F$63,'Current Revenue Test'!$F$66:$F$73)</f>
        <v>360061.31465249014</v>
      </c>
      <c r="J96" s="319">
        <f t="shared" si="10"/>
        <v>488681.8670739371</v>
      </c>
      <c r="K96" s="319">
        <f>+'Revised Evans Table'!K97</f>
        <v>216734.63725</v>
      </c>
      <c r="L96" s="319">
        <f>+'Revised Evans Table'!L97</f>
        <v>392043.876</v>
      </c>
      <c r="M96" s="319">
        <f>+'Revised Evans Table'!M97</f>
        <v>73659</v>
      </c>
      <c r="N96" s="317">
        <f t="shared" si="11"/>
        <v>-193755.6461760629</v>
      </c>
      <c r="P96" s="331"/>
      <c r="Q96" s="331"/>
      <c r="S96" s="319"/>
      <c r="U96" s="319"/>
      <c r="W96" s="319"/>
      <c r="Y96" s="319"/>
      <c r="AA96" s="319"/>
      <c r="AC96" s="319"/>
      <c r="AE96" s="319"/>
      <c r="AG96" s="319"/>
      <c r="AI96" s="319"/>
      <c r="AK96" s="319"/>
    </row>
    <row r="97" spans="1:37" ht="12.75">
      <c r="A97" s="318">
        <v>33</v>
      </c>
      <c r="B97" s="322">
        <f t="shared" si="4"/>
        <v>2042</v>
      </c>
      <c r="C97" s="319">
        <f t="shared" si="5"/>
        <v>2898053</v>
      </c>
      <c r="D97" s="319">
        <f t="shared" si="6"/>
        <v>1303492.1349400003</v>
      </c>
      <c r="E97" s="319">
        <f t="shared" si="7"/>
        <v>946534.15404</v>
      </c>
      <c r="F97" s="319">
        <f t="shared" si="8"/>
        <v>501464.59792169806</v>
      </c>
      <c r="G97" s="319">
        <f>+'Revised Evans Table'!G98</f>
        <v>4101.502676854672</v>
      </c>
      <c r="H97" s="319">
        <f t="shared" si="9"/>
        <v>142460.61042144697</v>
      </c>
      <c r="I97" s="319">
        <f>F97+SUM('Current Revenue Test'!$F$63,'Current Revenue Test'!$F$66:$F$73)</f>
        <v>360061.31465249014</v>
      </c>
      <c r="J97" s="319">
        <f t="shared" si="10"/>
        <v>502521.9250739371</v>
      </c>
      <c r="K97" s="319">
        <f>+'Revised Evans Table'!K98</f>
        <v>211137.698</v>
      </c>
      <c r="L97" s="319">
        <f>+'Revised Evans Table'!L98</f>
        <v>485646.901</v>
      </c>
      <c r="M97" s="319">
        <f>+'Revised Evans Table'!M98</f>
        <v>0</v>
      </c>
      <c r="N97" s="317">
        <f t="shared" si="11"/>
        <v>-194262.6739260629</v>
      </c>
      <c r="P97" s="331"/>
      <c r="Q97" s="331"/>
      <c r="S97" s="319"/>
      <c r="U97" s="319"/>
      <c r="W97" s="319"/>
      <c r="Y97" s="319"/>
      <c r="AA97" s="319"/>
      <c r="AC97" s="319"/>
      <c r="AE97" s="319"/>
      <c r="AG97" s="319"/>
      <c r="AI97" s="319"/>
      <c r="AK97" s="319"/>
    </row>
    <row r="98" spans="1:37" ht="12.75">
      <c r="A98" s="318">
        <v>34</v>
      </c>
      <c r="B98" s="322">
        <f t="shared" si="4"/>
        <v>2043</v>
      </c>
      <c r="C98" s="319">
        <f t="shared" si="5"/>
        <v>2898053</v>
      </c>
      <c r="D98" s="319">
        <f t="shared" si="6"/>
        <v>1303492.1349400003</v>
      </c>
      <c r="E98" s="319">
        <f t="shared" si="7"/>
        <v>946534.15404</v>
      </c>
      <c r="F98" s="319">
        <f t="shared" si="8"/>
        <v>501464.59792169806</v>
      </c>
      <c r="G98" s="319">
        <f>+'Revised Evans Table'!G99</f>
        <v>-10299.58232314532</v>
      </c>
      <c r="H98" s="319">
        <f t="shared" si="9"/>
        <v>156861.69542144696</v>
      </c>
      <c r="I98" s="319">
        <f>F98+SUM('Current Revenue Test'!$F$63,'Current Revenue Test'!$F$66:$F$73)</f>
        <v>360061.31465249014</v>
      </c>
      <c r="J98" s="319">
        <f t="shared" si="10"/>
        <v>516923.0100739371</v>
      </c>
      <c r="K98" s="319">
        <f>+'Revised Evans Table'!K99</f>
        <v>115076.3465</v>
      </c>
      <c r="L98" s="319">
        <f>+'Revised Evans Table'!L99</f>
        <v>598972.217</v>
      </c>
      <c r="M98" s="319">
        <f>+'Revised Evans Table'!M99</f>
        <v>0</v>
      </c>
      <c r="N98" s="317">
        <f t="shared" si="11"/>
        <v>-197125.5534260628</v>
      </c>
      <c r="O98" s="336"/>
      <c r="P98" s="336"/>
      <c r="Q98" s="336"/>
      <c r="R98" s="336"/>
      <c r="S98" s="336"/>
      <c r="T98" s="336"/>
      <c r="U98" s="336"/>
      <c r="V98" s="336"/>
      <c r="W98" s="336"/>
      <c r="X98" s="336"/>
      <c r="Y98" s="336"/>
      <c r="Z98" s="336"/>
      <c r="AA98" s="336"/>
      <c r="AC98" s="319"/>
      <c r="AE98" s="319"/>
      <c r="AG98" s="319"/>
      <c r="AI98" s="319"/>
      <c r="AK98" s="319"/>
    </row>
    <row r="99" spans="1:37" ht="12.75">
      <c r="A99" s="318">
        <v>35</v>
      </c>
      <c r="B99" s="322">
        <f>B98+1</f>
        <v>2044</v>
      </c>
      <c r="C99" s="319">
        <f t="shared" si="5"/>
        <v>2898053</v>
      </c>
      <c r="D99" s="319">
        <f t="shared" si="6"/>
        <v>1303492.1349400003</v>
      </c>
      <c r="E99" s="319">
        <f t="shared" si="7"/>
        <v>946534.15404</v>
      </c>
      <c r="F99" s="319">
        <f t="shared" si="8"/>
        <v>501464.59792169806</v>
      </c>
      <c r="G99" s="319">
        <f>+'Revised Evans Table'!G100</f>
        <v>-27927.54732314532</v>
      </c>
      <c r="H99" s="319">
        <f t="shared" si="9"/>
        <v>174489.66042144696</v>
      </c>
      <c r="I99" s="319">
        <f>F99+SUM('Current Revenue Test'!$F$63,'Current Revenue Test'!$F$66:$F$73)</f>
        <v>360061.31465249014</v>
      </c>
      <c r="J99" s="319">
        <f t="shared" si="10"/>
        <v>534550.9750739371</v>
      </c>
      <c r="K99" s="319">
        <f>+'Revised Evans Table'!K100</f>
        <v>226470.72625</v>
      </c>
      <c r="L99" s="319">
        <f>+'Revised Evans Table'!L100</f>
        <v>500785.773</v>
      </c>
      <c r="M99" s="319">
        <f>+'Revised Evans Table'!M100</f>
        <v>0</v>
      </c>
      <c r="N99" s="317">
        <f t="shared" si="11"/>
        <v>-192705.5241760629</v>
      </c>
      <c r="P99" s="331"/>
      <c r="Q99" s="331"/>
      <c r="S99" s="319"/>
      <c r="U99" s="319"/>
      <c r="W99" s="319"/>
      <c r="Y99" s="319"/>
      <c r="AA99" s="319"/>
      <c r="AC99" s="319"/>
      <c r="AE99" s="319"/>
      <c r="AG99" s="319"/>
      <c r="AI99" s="319"/>
      <c r="AK99" s="319"/>
    </row>
    <row r="100" spans="1:37" ht="12.75">
      <c r="A100" s="318">
        <v>36</v>
      </c>
      <c r="B100" s="322">
        <f t="shared" si="4"/>
        <v>2045</v>
      </c>
      <c r="C100" s="319">
        <f t="shared" si="5"/>
        <v>2898053</v>
      </c>
      <c r="D100" s="319">
        <f t="shared" si="6"/>
        <v>1303492.1349400003</v>
      </c>
      <c r="E100" s="319">
        <f t="shared" si="7"/>
        <v>946534.15404</v>
      </c>
      <c r="F100" s="319">
        <f t="shared" si="8"/>
        <v>501464.59792169806</v>
      </c>
      <c r="G100" s="319">
        <f>+'Revised Evans Table'!G101</f>
        <v>-40787.483323145316</v>
      </c>
      <c r="H100" s="319">
        <f t="shared" si="9"/>
        <v>187349.59642144694</v>
      </c>
      <c r="I100" s="319">
        <f>F100+SUM('Current Revenue Test'!$F$63,'Current Revenue Test'!$F$66:$F$73)</f>
        <v>360061.31465249014</v>
      </c>
      <c r="J100" s="319">
        <f t="shared" si="10"/>
        <v>547410.9110739371</v>
      </c>
      <c r="K100" s="319">
        <f>+'Revised Evans Table'!K101</f>
        <v>489036.0925</v>
      </c>
      <c r="L100" s="319">
        <f>+'Revised Evans Table'!L101</f>
        <v>232332.147</v>
      </c>
      <c r="M100" s="319">
        <f>+'Revised Evans Table'!M101</f>
        <v>12011.051</v>
      </c>
      <c r="N100" s="317">
        <f t="shared" si="11"/>
        <v>-185968.37942606292</v>
      </c>
      <c r="P100" s="331"/>
      <c r="Q100" s="331"/>
      <c r="S100" s="319"/>
      <c r="U100" s="319"/>
      <c r="W100" s="319"/>
      <c r="Y100" s="319"/>
      <c r="AA100" s="319"/>
      <c r="AC100" s="319"/>
      <c r="AE100" s="319"/>
      <c r="AG100" s="319"/>
      <c r="AI100" s="319"/>
      <c r="AK100" s="319"/>
    </row>
    <row r="101" spans="1:37" ht="12.75">
      <c r="A101" s="318">
        <v>37</v>
      </c>
      <c r="B101" s="322">
        <f>B100+1</f>
        <v>2046</v>
      </c>
      <c r="C101" s="319">
        <f t="shared" si="5"/>
        <v>2898053</v>
      </c>
      <c r="D101" s="319">
        <f t="shared" si="6"/>
        <v>1303492.1349400003</v>
      </c>
      <c r="E101" s="319">
        <f t="shared" si="7"/>
        <v>946534.15404</v>
      </c>
      <c r="F101" s="319">
        <f t="shared" si="8"/>
        <v>501464.59792169806</v>
      </c>
      <c r="G101" s="319">
        <f>+'Revised Evans Table'!G102</f>
        <v>-46042.27332314532</v>
      </c>
      <c r="H101" s="319">
        <f t="shared" si="9"/>
        <v>192604.38642144695</v>
      </c>
      <c r="I101" s="319">
        <f>F101+SUM('Current Revenue Test'!$F$63,'Current Revenue Test'!$F$66:$F$73)</f>
        <v>360061.31465249014</v>
      </c>
      <c r="J101" s="319">
        <f t="shared" si="10"/>
        <v>552665.7010739371</v>
      </c>
      <c r="K101" s="319">
        <f>+'Revised Evans Table'!K102</f>
        <v>489035.1625</v>
      </c>
      <c r="L101" s="319">
        <f>+'Revised Evans Table'!L102</f>
        <v>243541.454</v>
      </c>
      <c r="M101" s="319">
        <f>+'Revised Evans Table'!M102</f>
        <v>0</v>
      </c>
      <c r="N101" s="317">
        <f t="shared" si="11"/>
        <v>-179910.9154260629</v>
      </c>
      <c r="P101" s="331"/>
      <c r="Q101" s="331"/>
      <c r="S101" s="319"/>
      <c r="U101" s="319"/>
      <c r="W101" s="319"/>
      <c r="Y101" s="319"/>
      <c r="AA101" s="319"/>
      <c r="AC101" s="319"/>
      <c r="AE101" s="319"/>
      <c r="AG101" s="319"/>
      <c r="AI101" s="319"/>
      <c r="AK101" s="319"/>
    </row>
    <row r="102" spans="1:37" ht="12.75">
      <c r="A102" s="318">
        <v>38</v>
      </c>
      <c r="B102" s="322">
        <f t="shared" si="4"/>
        <v>2047</v>
      </c>
      <c r="C102" s="319">
        <f t="shared" si="5"/>
        <v>2898053</v>
      </c>
      <c r="D102" s="319">
        <f t="shared" si="6"/>
        <v>1303492.1349400003</v>
      </c>
      <c r="E102" s="319">
        <f t="shared" si="7"/>
        <v>946534.15404</v>
      </c>
      <c r="F102" s="319">
        <f t="shared" si="8"/>
        <v>501464.59792169806</v>
      </c>
      <c r="G102" s="319">
        <f>+'Revised Evans Table'!G103</f>
        <v>-45237.60032314532</v>
      </c>
      <c r="H102" s="319">
        <f t="shared" si="9"/>
        <v>191799.71342144697</v>
      </c>
      <c r="I102" s="319">
        <f>F102+SUM('Current Revenue Test'!$F$63,'Current Revenue Test'!$F$66:$F$73)</f>
        <v>360061.31465249014</v>
      </c>
      <c r="J102" s="319">
        <f t="shared" si="10"/>
        <v>551861.0280739372</v>
      </c>
      <c r="K102" s="319">
        <f>+'Revised Evans Table'!K103</f>
        <v>489037.305</v>
      </c>
      <c r="L102" s="319">
        <f>+'Revised Evans Table'!L103</f>
        <v>242925.969</v>
      </c>
      <c r="M102" s="319">
        <f>+'Revised Evans Table'!M103</f>
        <v>0</v>
      </c>
      <c r="N102" s="317">
        <f t="shared" si="11"/>
        <v>-180102.24592606287</v>
      </c>
      <c r="P102" s="331"/>
      <c r="Q102" s="331"/>
      <c r="S102" s="319"/>
      <c r="U102" s="319"/>
      <c r="W102" s="319"/>
      <c r="Y102" s="319"/>
      <c r="AA102" s="319"/>
      <c r="AC102" s="319"/>
      <c r="AE102" s="319"/>
      <c r="AG102" s="319"/>
      <c r="AI102" s="319"/>
      <c r="AK102" s="319"/>
    </row>
    <row r="103" spans="1:37" ht="12.75">
      <c r="A103" s="318">
        <v>39</v>
      </c>
      <c r="B103" s="322">
        <f t="shared" si="4"/>
        <v>2048</v>
      </c>
      <c r="C103" s="319">
        <f t="shared" si="5"/>
        <v>2898053</v>
      </c>
      <c r="D103" s="319">
        <f t="shared" si="6"/>
        <v>1303492.1349400003</v>
      </c>
      <c r="E103" s="319">
        <f t="shared" si="7"/>
        <v>946534.15404</v>
      </c>
      <c r="F103" s="319">
        <f t="shared" si="8"/>
        <v>501464.59792169806</v>
      </c>
      <c r="G103" s="319">
        <f>+'Revised Evans Table'!G104</f>
        <v>-44622.25732314531</v>
      </c>
      <c r="H103" s="319">
        <f t="shared" si="9"/>
        <v>191184.37042144695</v>
      </c>
      <c r="I103" s="319">
        <f>F103+SUM('Current Revenue Test'!$F$63,'Current Revenue Test'!$F$66:$F$73)</f>
        <v>360061.31465249014</v>
      </c>
      <c r="J103" s="319">
        <f t="shared" si="10"/>
        <v>551245.685073937</v>
      </c>
      <c r="K103" s="319">
        <f>+'Revised Evans Table'!K104</f>
        <v>489035.14</v>
      </c>
      <c r="L103" s="319">
        <f>+'Revised Evans Table'!L104</f>
        <v>242292.497</v>
      </c>
      <c r="M103" s="319">
        <f>+'Revised Evans Table'!M104</f>
        <v>0</v>
      </c>
      <c r="N103" s="317">
        <f t="shared" si="11"/>
        <v>-180081.95192606293</v>
      </c>
      <c r="P103" s="331"/>
      <c r="Q103" s="331"/>
      <c r="S103" s="319"/>
      <c r="U103" s="319"/>
      <c r="W103" s="319"/>
      <c r="Y103" s="319"/>
      <c r="AA103" s="319"/>
      <c r="AC103" s="319"/>
      <c r="AE103" s="319"/>
      <c r="AG103" s="319"/>
      <c r="AI103" s="319"/>
      <c r="AK103" s="319"/>
    </row>
    <row r="104" spans="1:37" ht="12.75">
      <c r="A104" s="318">
        <v>40</v>
      </c>
      <c r="B104" s="322">
        <f t="shared" si="4"/>
        <v>2049</v>
      </c>
      <c r="C104" s="319">
        <f t="shared" si="5"/>
        <v>2898053</v>
      </c>
      <c r="D104" s="319">
        <f t="shared" si="6"/>
        <v>1303492.1349400003</v>
      </c>
      <c r="E104" s="319">
        <f t="shared" si="7"/>
        <v>946534.15404</v>
      </c>
      <c r="F104" s="319">
        <f t="shared" si="8"/>
        <v>501464.59792169806</v>
      </c>
      <c r="G104" s="319">
        <f>+'Revised Evans Table'!G105</f>
        <v>-43986.620323145326</v>
      </c>
      <c r="H104" s="319">
        <f t="shared" si="9"/>
        <v>190548.73342144696</v>
      </c>
      <c r="I104" s="319">
        <f>F104+SUM('Current Revenue Test'!$F$63,'Current Revenue Test'!$F$66:$F$73)</f>
        <v>360061.31465249014</v>
      </c>
      <c r="J104" s="319">
        <f t="shared" si="10"/>
        <v>550610.0480739371</v>
      </c>
      <c r="K104" s="319">
        <f>+'Revised Evans Table'!K105</f>
        <v>489035.925</v>
      </c>
      <c r="L104" s="319">
        <f>+'Revised Evans Table'!L105</f>
        <v>241632.984</v>
      </c>
      <c r="M104" s="319">
        <f>+'Revised Evans Table'!M105</f>
        <v>0</v>
      </c>
      <c r="N104" s="317">
        <f t="shared" si="11"/>
        <v>-180058.86092606292</v>
      </c>
      <c r="P104" s="331"/>
      <c r="Q104" s="331"/>
      <c r="S104" s="319"/>
      <c r="U104" s="319"/>
      <c r="W104" s="319"/>
      <c r="Y104" s="319"/>
      <c r="AA104" s="319"/>
      <c r="AC104" s="319"/>
      <c r="AE104" s="319"/>
      <c r="AG104" s="319"/>
      <c r="AI104" s="319"/>
      <c r="AK104" s="319"/>
    </row>
    <row r="105" spans="1:37" ht="12.75">
      <c r="A105" s="318">
        <v>41</v>
      </c>
      <c r="B105" s="322">
        <f t="shared" si="4"/>
        <v>2050</v>
      </c>
      <c r="C105" s="319">
        <f t="shared" si="5"/>
        <v>2898053</v>
      </c>
      <c r="D105" s="319">
        <f t="shared" si="6"/>
        <v>1303492.1349400003</v>
      </c>
      <c r="E105" s="319">
        <f t="shared" si="7"/>
        <v>946534.15404</v>
      </c>
      <c r="F105" s="319">
        <f t="shared" si="8"/>
        <v>501464.59792169806</v>
      </c>
      <c r="G105" s="319">
        <f>+'Revised Evans Table'!G106</f>
        <v>-43325.89232314532</v>
      </c>
      <c r="H105" s="319">
        <f t="shared" si="9"/>
        <v>189888.00542144696</v>
      </c>
      <c r="I105" s="319">
        <f>F105+SUM('Current Revenue Test'!$F$63,'Current Revenue Test'!$F$66:$F$73)</f>
        <v>360061.31465249014</v>
      </c>
      <c r="J105" s="319">
        <f t="shared" si="10"/>
        <v>549949.3200739371</v>
      </c>
      <c r="K105" s="319">
        <f>+'Revised Evans Table'!K106</f>
        <v>489035.685</v>
      </c>
      <c r="L105" s="319">
        <f>+'Revised Evans Table'!L106</f>
        <v>240950.538</v>
      </c>
      <c r="M105" s="319">
        <f>+'Revised Evans Table'!M106</f>
        <v>0</v>
      </c>
      <c r="N105" s="317">
        <f t="shared" si="11"/>
        <v>-180036.90292606293</v>
      </c>
      <c r="P105" s="331"/>
      <c r="Q105" s="331"/>
      <c r="S105" s="319"/>
      <c r="U105" s="319"/>
      <c r="W105" s="319"/>
      <c r="Y105" s="319"/>
      <c r="AA105" s="319"/>
      <c r="AC105" s="319"/>
      <c r="AE105" s="319"/>
      <c r="AG105" s="319"/>
      <c r="AI105" s="319"/>
      <c r="AK105" s="319"/>
    </row>
    <row r="106" spans="1:37" ht="12.75">
      <c r="A106" s="318">
        <v>42</v>
      </c>
      <c r="B106" s="322">
        <f>B105+1</f>
        <v>2051</v>
      </c>
      <c r="C106" s="319">
        <f t="shared" si="5"/>
        <v>2898053</v>
      </c>
      <c r="D106" s="319">
        <f t="shared" si="6"/>
        <v>1303492.1349400003</v>
      </c>
      <c r="E106" s="319">
        <f t="shared" si="7"/>
        <v>946534.15404</v>
      </c>
      <c r="F106" s="319">
        <f t="shared" si="8"/>
        <v>501464.59792169806</v>
      </c>
      <c r="G106" s="319">
        <f>+'Revised Evans Table'!G107</f>
        <v>-42643.20632314532</v>
      </c>
      <c r="H106" s="319">
        <f t="shared" si="9"/>
        <v>189205.31942144694</v>
      </c>
      <c r="I106" s="319">
        <f>F106+SUM('Current Revenue Test'!$F$63,'Current Revenue Test'!$F$66:$F$73)</f>
        <v>360061.31465249014</v>
      </c>
      <c r="J106" s="319">
        <f t="shared" si="10"/>
        <v>549266.6340739371</v>
      </c>
      <c r="K106" s="319">
        <f>+'Revised Evans Table'!K107</f>
        <v>489034.7925</v>
      </c>
      <c r="L106" s="319">
        <f>+'Revised Evans Table'!L107</f>
        <v>240243.944</v>
      </c>
      <c r="M106" s="319">
        <f>+'Revised Evans Table'!M107</f>
        <v>0</v>
      </c>
      <c r="N106" s="317">
        <f t="shared" si="11"/>
        <v>-180012.10242606292</v>
      </c>
      <c r="P106" s="331"/>
      <c r="Q106" s="331"/>
      <c r="S106" s="319"/>
      <c r="U106" s="319"/>
      <c r="W106" s="319"/>
      <c r="Y106" s="319"/>
      <c r="AA106" s="319"/>
      <c r="AC106" s="319"/>
      <c r="AE106" s="319"/>
      <c r="AG106" s="319"/>
      <c r="AI106" s="319"/>
      <c r="AK106" s="319"/>
    </row>
    <row r="107" spans="1:37" ht="12.75">
      <c r="A107" s="318">
        <v>43</v>
      </c>
      <c r="B107" s="322">
        <f t="shared" si="4"/>
        <v>2052</v>
      </c>
      <c r="C107" s="319">
        <f t="shared" si="5"/>
        <v>2898053</v>
      </c>
      <c r="D107" s="319">
        <f t="shared" si="6"/>
        <v>1303492.1349400003</v>
      </c>
      <c r="E107" s="319">
        <f t="shared" si="7"/>
        <v>946534.15404</v>
      </c>
      <c r="F107" s="319">
        <f t="shared" si="8"/>
        <v>501464.59792169806</v>
      </c>
      <c r="G107" s="319">
        <f>+'Revised Evans Table'!G108</f>
        <v>-41933.71932314531</v>
      </c>
      <c r="H107" s="319">
        <f t="shared" si="9"/>
        <v>188495.83242144695</v>
      </c>
      <c r="I107" s="319">
        <f>F107+SUM('Current Revenue Test'!$F$63,'Current Revenue Test'!$F$66:$F$73)</f>
        <v>360061.31465249014</v>
      </c>
      <c r="J107" s="319">
        <f t="shared" si="10"/>
        <v>548557.1470739371</v>
      </c>
      <c r="K107" s="319">
        <f>+'Revised Evans Table'!K108</f>
        <v>489035.1775</v>
      </c>
      <c r="L107" s="319">
        <f>+'Revised Evans Table'!L108</f>
        <v>239510.356</v>
      </c>
      <c r="M107" s="319">
        <f>+'Revised Evans Table'!M108</f>
        <v>0</v>
      </c>
      <c r="N107" s="317">
        <f t="shared" si="11"/>
        <v>-179988.3864260629</v>
      </c>
      <c r="P107" s="331"/>
      <c r="Q107" s="331"/>
      <c r="S107" s="319"/>
      <c r="U107" s="319"/>
      <c r="W107" s="319"/>
      <c r="Y107" s="319"/>
      <c r="AA107" s="319"/>
      <c r="AC107" s="319"/>
      <c r="AE107" s="319"/>
      <c r="AG107" s="319"/>
      <c r="AI107" s="319"/>
      <c r="AK107" s="319"/>
    </row>
    <row r="108" spans="1:37" ht="12.75">
      <c r="A108" s="318">
        <v>44</v>
      </c>
      <c r="B108" s="322">
        <f t="shared" si="4"/>
        <v>2053</v>
      </c>
      <c r="C108" s="319">
        <f t="shared" si="5"/>
        <v>2898053</v>
      </c>
      <c r="D108" s="319">
        <f t="shared" si="6"/>
        <v>1303492.1349400003</v>
      </c>
      <c r="E108" s="319">
        <f t="shared" si="7"/>
        <v>946534.15404</v>
      </c>
      <c r="F108" s="319">
        <f t="shared" si="8"/>
        <v>501464.59792169806</v>
      </c>
      <c r="G108" s="319">
        <f>+'Revised Evans Table'!G109</f>
        <v>-41198.51632314532</v>
      </c>
      <c r="H108" s="319">
        <f t="shared" si="9"/>
        <v>187760.62942144694</v>
      </c>
      <c r="I108" s="319">
        <f>F108+SUM('Current Revenue Test'!$F$63,'Current Revenue Test'!$F$66:$F$73)</f>
        <v>360061.31465249014</v>
      </c>
      <c r="J108" s="319">
        <f t="shared" si="10"/>
        <v>547821.9440739371</v>
      </c>
      <c r="K108" s="319">
        <f>+'Revised Evans Table'!K109</f>
        <v>489035.1825</v>
      </c>
      <c r="L108" s="319">
        <f>+'Revised Evans Table'!L109</f>
        <v>238750.482</v>
      </c>
      <c r="M108" s="319">
        <f>+'Revised Evans Table'!M109</f>
        <v>0</v>
      </c>
      <c r="N108" s="317">
        <f t="shared" si="11"/>
        <v>-179963.72042606282</v>
      </c>
      <c r="P108" s="331"/>
      <c r="Q108" s="331"/>
      <c r="S108" s="319"/>
      <c r="U108" s="319"/>
      <c r="W108" s="319"/>
      <c r="Y108" s="319"/>
      <c r="AA108" s="319"/>
      <c r="AC108" s="319"/>
      <c r="AE108" s="319"/>
      <c r="AG108" s="319"/>
      <c r="AI108" s="319"/>
      <c r="AK108" s="319"/>
    </row>
    <row r="109" spans="1:37" ht="12.75">
      <c r="A109" s="318">
        <v>45</v>
      </c>
      <c r="B109" s="322">
        <f t="shared" si="4"/>
        <v>2054</v>
      </c>
      <c r="C109" s="319">
        <f t="shared" si="5"/>
        <v>2898053</v>
      </c>
      <c r="D109" s="319">
        <f t="shared" si="6"/>
        <v>1303492.1349400003</v>
      </c>
      <c r="E109" s="319">
        <f t="shared" si="7"/>
        <v>946534.15404</v>
      </c>
      <c r="F109" s="319">
        <f t="shared" si="8"/>
        <v>501464.59792169806</v>
      </c>
      <c r="G109" s="319">
        <f>+'Revised Evans Table'!G110</f>
        <v>-40438.64832314532</v>
      </c>
      <c r="H109" s="319">
        <f t="shared" si="9"/>
        <v>187000.76142144695</v>
      </c>
      <c r="I109" s="319">
        <f>F109+SUM('Current Revenue Test'!$F$63,'Current Revenue Test'!$F$66:$F$73)</f>
        <v>360061.31465249014</v>
      </c>
      <c r="J109" s="319">
        <f t="shared" si="10"/>
        <v>547062.0760739371</v>
      </c>
      <c r="K109" s="319">
        <f>+'Revised Evans Table'!K110</f>
        <v>489035.9575</v>
      </c>
      <c r="L109" s="319">
        <f>+'Revised Evans Table'!L110</f>
        <v>237962.196</v>
      </c>
      <c r="M109" s="319">
        <f>+'Revised Evans Table'!M110</f>
        <v>0</v>
      </c>
      <c r="N109" s="317">
        <f t="shared" si="11"/>
        <v>-179936.0774260629</v>
      </c>
      <c r="P109" s="331"/>
      <c r="Q109" s="331"/>
      <c r="S109" s="319"/>
      <c r="U109" s="319"/>
      <c r="W109" s="319"/>
      <c r="Y109" s="319"/>
      <c r="AA109" s="319"/>
      <c r="AC109" s="319"/>
      <c r="AE109" s="319"/>
      <c r="AG109" s="319"/>
      <c r="AI109" s="319"/>
      <c r="AK109" s="319"/>
    </row>
    <row r="110" spans="1:37" ht="12.75">
      <c r="A110" s="318">
        <v>46</v>
      </c>
      <c r="B110" s="322">
        <f t="shared" si="4"/>
        <v>2055</v>
      </c>
      <c r="C110" s="319">
        <f t="shared" si="5"/>
        <v>2898053</v>
      </c>
      <c r="D110" s="319">
        <f t="shared" si="6"/>
        <v>1303492.1349400003</v>
      </c>
      <c r="E110" s="319">
        <f t="shared" si="7"/>
        <v>946534.15404</v>
      </c>
      <c r="F110" s="319">
        <f t="shared" si="8"/>
        <v>501464.59792169806</v>
      </c>
      <c r="G110" s="319">
        <f>+'Revised Evans Table'!G111</f>
        <v>-39649.13732314532</v>
      </c>
      <c r="H110" s="319">
        <f t="shared" si="9"/>
        <v>186211.25042144695</v>
      </c>
      <c r="I110" s="319">
        <f>F110+SUM('Current Revenue Test'!$F$63,'Current Revenue Test'!$F$66:$F$73)</f>
        <v>360061.31465249014</v>
      </c>
      <c r="J110" s="319">
        <f t="shared" si="10"/>
        <v>546272.5650739371</v>
      </c>
      <c r="K110" s="319">
        <f>+'Revised Evans Table'!K111</f>
        <v>489036.2425</v>
      </c>
      <c r="L110" s="319">
        <f>+'Revised Evans Table'!L111</f>
        <v>237145.748</v>
      </c>
      <c r="M110" s="319">
        <f>+'Revised Evans Table'!M111</f>
        <v>0</v>
      </c>
      <c r="N110" s="317">
        <f t="shared" si="11"/>
        <v>-179909.42542606295</v>
      </c>
      <c r="P110" s="331"/>
      <c r="Q110" s="331"/>
      <c r="S110" s="319"/>
      <c r="U110" s="319"/>
      <c r="W110" s="319"/>
      <c r="Y110" s="319"/>
      <c r="AA110" s="319"/>
      <c r="AC110" s="319"/>
      <c r="AE110" s="319"/>
      <c r="AG110" s="319"/>
      <c r="AI110" s="319"/>
      <c r="AK110" s="319"/>
    </row>
    <row r="111" spans="1:37" ht="12.75">
      <c r="A111" s="318">
        <v>47</v>
      </c>
      <c r="B111" s="322">
        <f>B110+1</f>
        <v>2056</v>
      </c>
      <c r="C111" s="319">
        <f t="shared" si="5"/>
        <v>2898053</v>
      </c>
      <c r="D111" s="319">
        <f t="shared" si="6"/>
        <v>1303492.1349400003</v>
      </c>
      <c r="E111" s="319">
        <f t="shared" si="7"/>
        <v>946534.15404</v>
      </c>
      <c r="F111" s="319">
        <f t="shared" si="8"/>
        <v>501464.59792169806</v>
      </c>
      <c r="G111" s="319">
        <f>+'Revised Evans Table'!G112</f>
        <v>-38832.97432314532</v>
      </c>
      <c r="H111" s="319">
        <f t="shared" si="9"/>
        <v>185395.08742144695</v>
      </c>
      <c r="I111" s="319">
        <f>F111+SUM('Current Revenue Test'!$F$63,'Current Revenue Test'!$F$66:$F$73)</f>
        <v>360061.31465249014</v>
      </c>
      <c r="J111" s="319">
        <f t="shared" si="10"/>
        <v>545456.4020739371</v>
      </c>
      <c r="K111" s="319">
        <f>+'Revised Evans Table'!K112</f>
        <v>489033.69</v>
      </c>
      <c r="L111" s="319">
        <f>+'Revised Evans Table'!L112</f>
        <v>236302.509</v>
      </c>
      <c r="M111" s="319">
        <f>+'Revised Evans Table'!M112</f>
        <v>0</v>
      </c>
      <c r="N111" s="317">
        <f t="shared" si="11"/>
        <v>-179879.79692606285</v>
      </c>
      <c r="P111" s="331"/>
      <c r="Q111" s="331"/>
      <c r="S111" s="319"/>
      <c r="U111" s="319"/>
      <c r="W111" s="319"/>
      <c r="Y111" s="319"/>
      <c r="AA111" s="319"/>
      <c r="AC111" s="319"/>
      <c r="AE111" s="319"/>
      <c r="AG111" s="319"/>
      <c r="AI111" s="319"/>
      <c r="AK111" s="319"/>
    </row>
    <row r="112" spans="1:37" ht="12.75">
      <c r="A112" s="318">
        <v>48</v>
      </c>
      <c r="B112" s="322">
        <f t="shared" si="4"/>
        <v>2057</v>
      </c>
      <c r="C112" s="319">
        <f t="shared" si="5"/>
        <v>2898053</v>
      </c>
      <c r="D112" s="319">
        <f t="shared" si="6"/>
        <v>1303492.1349400003</v>
      </c>
      <c r="E112" s="319">
        <f t="shared" si="7"/>
        <v>946534.15404</v>
      </c>
      <c r="F112" s="319">
        <f t="shared" si="8"/>
        <v>501464.59792169806</v>
      </c>
      <c r="G112" s="319">
        <f>+'Revised Evans Table'!G113</f>
        <v>-37985.182323145316</v>
      </c>
      <c r="H112" s="319">
        <f t="shared" si="9"/>
        <v>184547.29542144696</v>
      </c>
      <c r="I112" s="319">
        <f>F112+SUM('Current Revenue Test'!$F$63,'Current Revenue Test'!$F$66:$F$73)</f>
        <v>360061.31465249014</v>
      </c>
      <c r="J112" s="319">
        <f t="shared" si="10"/>
        <v>544608.6100739371</v>
      </c>
      <c r="K112" s="319">
        <f>+'Revised Evans Table'!K113</f>
        <v>489033.615</v>
      </c>
      <c r="L112" s="319">
        <f>+'Revised Evans Table'!L113</f>
        <v>235426.084</v>
      </c>
      <c r="M112" s="319">
        <f>+'Revised Evans Table'!M113</f>
        <v>0</v>
      </c>
      <c r="N112" s="317">
        <f t="shared" si="11"/>
        <v>-179851.08892606292</v>
      </c>
      <c r="P112" s="331"/>
      <c r="Q112" s="331"/>
      <c r="S112" s="319"/>
      <c r="U112" s="319"/>
      <c r="W112" s="319"/>
      <c r="Y112" s="319"/>
      <c r="AA112" s="319"/>
      <c r="AC112" s="319"/>
      <c r="AE112" s="319"/>
      <c r="AG112" s="319"/>
      <c r="AI112" s="319"/>
      <c r="AK112" s="319"/>
    </row>
    <row r="113" spans="1:37" ht="12.75">
      <c r="A113" s="318">
        <v>49</v>
      </c>
      <c r="B113" s="322">
        <f t="shared" si="4"/>
        <v>2058</v>
      </c>
      <c r="C113" s="319">
        <f t="shared" si="5"/>
        <v>2898053</v>
      </c>
      <c r="D113" s="319">
        <f t="shared" si="6"/>
        <v>1303492.1349400003</v>
      </c>
      <c r="E113" s="319">
        <f t="shared" si="7"/>
        <v>946534.15404</v>
      </c>
      <c r="F113" s="319">
        <f t="shared" si="8"/>
        <v>501464.59792169806</v>
      </c>
      <c r="G113" s="319">
        <f>+'Revised Evans Table'!G114</f>
        <v>-37106.68232314532</v>
      </c>
      <c r="H113" s="319">
        <f aca="true" t="shared" si="12" ref="H113:H128">C113-D113-E113-F113-G113</f>
        <v>183668.79542144696</v>
      </c>
      <c r="I113" s="319">
        <f>F113+SUM('Current Revenue Test'!$F$63,'Current Revenue Test'!$F$66:$F$73)</f>
        <v>360061.31465249014</v>
      </c>
      <c r="J113" s="319">
        <f t="shared" si="10"/>
        <v>543730.1100739371</v>
      </c>
      <c r="K113" s="319">
        <f>+'Revised Evans Table'!K114</f>
        <v>489034.7375</v>
      </c>
      <c r="L113" s="319">
        <f>+'Revised Evans Table'!L114</f>
        <v>234516.571</v>
      </c>
      <c r="M113" s="319">
        <f>+'Revised Evans Table'!M114</f>
        <v>0</v>
      </c>
      <c r="N113" s="317">
        <f t="shared" si="11"/>
        <v>-179821.19842606288</v>
      </c>
      <c r="P113" s="331"/>
      <c r="Q113" s="331"/>
      <c r="S113" s="319"/>
      <c r="U113" s="319"/>
      <c r="W113" s="319"/>
      <c r="Y113" s="319"/>
      <c r="AA113" s="319"/>
      <c r="AC113" s="319"/>
      <c r="AE113" s="319"/>
      <c r="AG113" s="319"/>
      <c r="AI113" s="319"/>
      <c r="AK113" s="319"/>
    </row>
    <row r="114" spans="1:37" ht="12.75">
      <c r="A114" s="318">
        <v>50</v>
      </c>
      <c r="B114" s="322">
        <f t="shared" si="4"/>
        <v>2059</v>
      </c>
      <c r="C114" s="319">
        <f t="shared" si="5"/>
        <v>2898053</v>
      </c>
      <c r="D114" s="319">
        <f t="shared" si="6"/>
        <v>1303492.1349400003</v>
      </c>
      <c r="E114" s="319">
        <f t="shared" si="7"/>
        <v>946534.15404</v>
      </c>
      <c r="F114" s="319">
        <f t="shared" si="8"/>
        <v>501464.59792169806</v>
      </c>
      <c r="G114" s="319">
        <f>+'Revised Evans Table'!G115</f>
        <v>-36196.292323145324</v>
      </c>
      <c r="H114" s="319">
        <f t="shared" si="12"/>
        <v>182758.40542144695</v>
      </c>
      <c r="I114" s="319">
        <f>F114+SUM('Current Revenue Test'!$F$63,'Current Revenue Test'!$F$66:$F$73)</f>
        <v>360061.31465249014</v>
      </c>
      <c r="J114" s="319">
        <f t="shared" si="10"/>
        <v>542819.7200739371</v>
      </c>
      <c r="K114" s="319">
        <f>+'Revised Evans Table'!K115</f>
        <v>489038.2225</v>
      </c>
      <c r="L114" s="319">
        <f>+'Revised Evans Table'!L115</f>
        <v>233571.58</v>
      </c>
      <c r="M114" s="319">
        <f>+'Revised Evans Table'!M115</f>
        <v>0</v>
      </c>
      <c r="N114" s="317">
        <f t="shared" si="11"/>
        <v>-179790.08242606284</v>
      </c>
      <c r="P114" s="331"/>
      <c r="Q114" s="331"/>
      <c r="S114" s="319"/>
      <c r="U114" s="319"/>
      <c r="W114" s="319"/>
      <c r="Y114" s="319"/>
      <c r="AA114" s="319"/>
      <c r="AC114" s="319"/>
      <c r="AE114" s="319"/>
      <c r="AG114" s="319"/>
      <c r="AI114" s="319"/>
      <c r="AK114" s="319"/>
    </row>
    <row r="115" spans="1:37" ht="12.75">
      <c r="A115" s="318">
        <v>51</v>
      </c>
      <c r="B115" s="322">
        <f t="shared" si="4"/>
        <v>2060</v>
      </c>
      <c r="C115" s="319">
        <f t="shared" si="5"/>
        <v>2898053</v>
      </c>
      <c r="D115" s="319">
        <f t="shared" si="6"/>
        <v>1303492.1349400003</v>
      </c>
      <c r="E115" s="319">
        <f t="shared" si="7"/>
        <v>946534.15404</v>
      </c>
      <c r="F115" s="319">
        <f t="shared" si="8"/>
        <v>501464.59792169806</v>
      </c>
      <c r="G115" s="319">
        <f>+'Revised Evans Table'!G116</f>
        <v>-35254.78632314532</v>
      </c>
      <c r="H115" s="319">
        <f t="shared" si="12"/>
        <v>181816.89942144696</v>
      </c>
      <c r="I115" s="319">
        <f>F115+SUM('Current Revenue Test'!$F$63,'Current Revenue Test'!$F$66:$F$73)</f>
        <v>360061.31465249014</v>
      </c>
      <c r="J115" s="319">
        <f t="shared" si="10"/>
        <v>541878.2140739372</v>
      </c>
      <c r="K115" s="319">
        <f>+'Revised Evans Table'!K116</f>
        <v>489037.4625</v>
      </c>
      <c r="L115" s="319">
        <f>+'Revised Evans Table'!L116</f>
        <v>232596.56</v>
      </c>
      <c r="M115" s="319">
        <f>+'Revised Evans Table'!M116</f>
        <v>0</v>
      </c>
      <c r="N115" s="317">
        <f t="shared" si="11"/>
        <v>-179755.80842606287</v>
      </c>
      <c r="P115" s="331"/>
      <c r="Q115" s="331"/>
      <c r="S115" s="319"/>
      <c r="U115" s="319"/>
      <c r="W115" s="319"/>
      <c r="Y115" s="319"/>
      <c r="AA115" s="319"/>
      <c r="AC115" s="319"/>
      <c r="AE115" s="319"/>
      <c r="AG115" s="319"/>
      <c r="AI115" s="319"/>
      <c r="AK115" s="319"/>
    </row>
    <row r="116" spans="1:37" ht="12.75">
      <c r="A116" s="318">
        <v>52</v>
      </c>
      <c r="B116" s="322">
        <f>B115+1</f>
        <v>2061</v>
      </c>
      <c r="C116" s="319">
        <f t="shared" si="5"/>
        <v>2898053</v>
      </c>
      <c r="D116" s="319">
        <f t="shared" si="6"/>
        <v>1303492.1349400003</v>
      </c>
      <c r="E116" s="319">
        <f t="shared" si="7"/>
        <v>946534.15404</v>
      </c>
      <c r="F116" s="319">
        <f t="shared" si="8"/>
        <v>501464.59792169806</v>
      </c>
      <c r="G116" s="319">
        <f>+'Revised Evans Table'!G117</f>
        <v>-34277.00532314531</v>
      </c>
      <c r="H116" s="319">
        <f t="shared" si="12"/>
        <v>180839.11842144694</v>
      </c>
      <c r="I116" s="319">
        <f>F116+SUM('Current Revenue Test'!$F$63,'Current Revenue Test'!$F$66:$F$73)</f>
        <v>360061.31465249014</v>
      </c>
      <c r="J116" s="319">
        <f t="shared" si="10"/>
        <v>540900.4330739371</v>
      </c>
      <c r="K116" s="319">
        <f>+'Revised Evans Table'!K117</f>
        <v>489037.19</v>
      </c>
      <c r="L116" s="319">
        <f>+'Revised Evans Table'!L117</f>
        <v>231585.591</v>
      </c>
      <c r="M116" s="319">
        <f>+'Revised Evans Table'!M117</f>
        <v>0</v>
      </c>
      <c r="N116" s="317">
        <f t="shared" si="11"/>
        <v>-179722.34792606294</v>
      </c>
      <c r="P116" s="331"/>
      <c r="Q116" s="331"/>
      <c r="S116" s="319"/>
      <c r="U116" s="319"/>
      <c r="W116" s="319"/>
      <c r="Y116" s="319"/>
      <c r="AA116" s="319"/>
      <c r="AC116" s="319"/>
      <c r="AE116" s="319"/>
      <c r="AG116" s="319"/>
      <c r="AI116" s="319"/>
      <c r="AK116" s="319"/>
    </row>
    <row r="117" spans="1:37" ht="12.75">
      <c r="A117" s="318">
        <v>53</v>
      </c>
      <c r="B117" s="322">
        <f t="shared" si="4"/>
        <v>2062</v>
      </c>
      <c r="C117" s="319">
        <f t="shared" si="5"/>
        <v>2898053</v>
      </c>
      <c r="D117" s="319">
        <f t="shared" si="6"/>
        <v>1303492.1349400003</v>
      </c>
      <c r="E117" s="319">
        <f t="shared" si="7"/>
        <v>946534.15404</v>
      </c>
      <c r="F117" s="319">
        <f t="shared" si="8"/>
        <v>501464.59792169806</v>
      </c>
      <c r="G117" s="319">
        <f>+'Revised Evans Table'!G118</f>
        <v>-33263.76432314532</v>
      </c>
      <c r="H117" s="319">
        <f t="shared" si="12"/>
        <v>179825.87742144696</v>
      </c>
      <c r="I117" s="319">
        <f>F117+SUM('Current Revenue Test'!$F$63,'Current Revenue Test'!$F$66:$F$73)</f>
        <v>360061.31465249014</v>
      </c>
      <c r="J117" s="319">
        <f t="shared" si="10"/>
        <v>539887.192073937</v>
      </c>
      <c r="K117" s="319">
        <f>+'Revised Evans Table'!K118</f>
        <v>489035.2525</v>
      </c>
      <c r="L117" s="319">
        <f>+'Revised Evans Table'!L118</f>
        <v>230539.563</v>
      </c>
      <c r="M117" s="319">
        <f>+'Revised Evans Table'!M118</f>
        <v>0</v>
      </c>
      <c r="N117" s="317">
        <f t="shared" si="11"/>
        <v>-179687.62342606293</v>
      </c>
      <c r="P117" s="331"/>
      <c r="Q117" s="331"/>
      <c r="S117" s="319"/>
      <c r="U117" s="319"/>
      <c r="W117" s="319"/>
      <c r="Y117" s="319"/>
      <c r="AA117" s="319"/>
      <c r="AC117" s="319"/>
      <c r="AE117" s="319"/>
      <c r="AG117" s="319"/>
      <c r="AI117" s="319"/>
      <c r="AK117" s="319"/>
    </row>
    <row r="118" spans="1:37" ht="12.75">
      <c r="A118" s="318">
        <v>54</v>
      </c>
      <c r="B118" s="322">
        <f t="shared" si="4"/>
        <v>2063</v>
      </c>
      <c r="C118" s="319">
        <f t="shared" si="5"/>
        <v>2898053</v>
      </c>
      <c r="D118" s="319">
        <f t="shared" si="6"/>
        <v>1303492.1349400003</v>
      </c>
      <c r="E118" s="319">
        <f t="shared" si="7"/>
        <v>946534.15404</v>
      </c>
      <c r="F118" s="319">
        <f t="shared" si="8"/>
        <v>501464.59792169806</v>
      </c>
      <c r="G118" s="319">
        <f>+'Revised Evans Table'!G119</f>
        <v>-32213.798323145318</v>
      </c>
      <c r="H118" s="319">
        <f t="shared" si="12"/>
        <v>178775.91142144694</v>
      </c>
      <c r="I118" s="319">
        <f>F118+SUM('Current Revenue Test'!$F$63,'Current Revenue Test'!$F$66:$F$73)</f>
        <v>360061.31465249014</v>
      </c>
      <c r="J118" s="319">
        <f t="shared" si="10"/>
        <v>538837.226073937</v>
      </c>
      <c r="K118" s="319">
        <f>+'Revised Evans Table'!K119</f>
        <v>489035.4025</v>
      </c>
      <c r="L118" s="319">
        <f>+'Revised Evans Table'!L119</f>
        <v>229453.374</v>
      </c>
      <c r="M118" s="319">
        <f>+'Revised Evans Table'!M119</f>
        <v>0</v>
      </c>
      <c r="N118" s="317">
        <f t="shared" si="11"/>
        <v>-179651.550426063</v>
      </c>
      <c r="P118" s="331"/>
      <c r="Q118" s="331"/>
      <c r="S118" s="319"/>
      <c r="U118" s="319"/>
      <c r="W118" s="319"/>
      <c r="Y118" s="319"/>
      <c r="AA118" s="319"/>
      <c r="AC118" s="319"/>
      <c r="AE118" s="319"/>
      <c r="AG118" s="319"/>
      <c r="AI118" s="319"/>
      <c r="AK118" s="319"/>
    </row>
    <row r="119" spans="1:37" ht="12.75">
      <c r="A119" s="318">
        <v>55</v>
      </c>
      <c r="B119" s="322">
        <f t="shared" si="4"/>
        <v>2064</v>
      </c>
      <c r="C119" s="319">
        <f t="shared" si="5"/>
        <v>2898053</v>
      </c>
      <c r="D119" s="319">
        <f t="shared" si="6"/>
        <v>1303492.1349400003</v>
      </c>
      <c r="E119" s="319">
        <f t="shared" si="7"/>
        <v>946534.15404</v>
      </c>
      <c r="F119" s="319">
        <f t="shared" si="8"/>
        <v>501464.59792169806</v>
      </c>
      <c r="G119" s="319">
        <f>+'Revised Evans Table'!G120</f>
        <v>-31125.759323145314</v>
      </c>
      <c r="H119" s="319">
        <f t="shared" si="12"/>
        <v>177687.87242144695</v>
      </c>
      <c r="I119" s="319">
        <f>F119+SUM('Current Revenue Test'!$F$63,'Current Revenue Test'!$F$66:$F$73)</f>
        <v>360061.31465249014</v>
      </c>
      <c r="J119" s="319">
        <f t="shared" si="10"/>
        <v>537749.1870739372</v>
      </c>
      <c r="K119" s="319">
        <f>+'Revised Evans Table'!K120</f>
        <v>489036.8625</v>
      </c>
      <c r="L119" s="319">
        <f>+'Revised Evans Table'!L120</f>
        <v>228326.356</v>
      </c>
      <c r="M119" s="319">
        <f>+'Revised Evans Table'!M120</f>
        <v>0</v>
      </c>
      <c r="N119" s="317">
        <f t="shared" si="11"/>
        <v>-179614.03142606287</v>
      </c>
      <c r="P119" s="331"/>
      <c r="Q119" s="331"/>
      <c r="S119" s="319"/>
      <c r="U119" s="319"/>
      <c r="W119" s="319"/>
      <c r="Y119" s="319"/>
      <c r="AA119" s="319"/>
      <c r="AC119" s="319"/>
      <c r="AE119" s="319"/>
      <c r="AG119" s="319"/>
      <c r="AI119" s="319"/>
      <c r="AK119" s="319"/>
    </row>
    <row r="120" spans="1:37" ht="12.75">
      <c r="A120" s="318">
        <v>56</v>
      </c>
      <c r="B120" s="322">
        <f t="shared" si="4"/>
        <v>2065</v>
      </c>
      <c r="C120" s="319">
        <f t="shared" si="5"/>
        <v>2898053</v>
      </c>
      <c r="D120" s="319">
        <f t="shared" si="6"/>
        <v>1303492.1349400003</v>
      </c>
      <c r="E120" s="319">
        <f t="shared" si="7"/>
        <v>946534.15404</v>
      </c>
      <c r="F120" s="319">
        <f t="shared" si="8"/>
        <v>501464.59792169806</v>
      </c>
      <c r="G120" s="319">
        <f>+'Revised Evans Table'!G121</f>
        <v>-29998.201323145324</v>
      </c>
      <c r="H120" s="319">
        <f t="shared" si="12"/>
        <v>176560.31442144696</v>
      </c>
      <c r="I120" s="319">
        <f>F120+SUM('Current Revenue Test'!$F$63,'Current Revenue Test'!$F$66:$F$73)</f>
        <v>360061.31465249014</v>
      </c>
      <c r="J120" s="319">
        <f t="shared" si="10"/>
        <v>536621.6290739371</v>
      </c>
      <c r="K120" s="319">
        <f>+'Revised Evans Table'!K121</f>
        <v>489034.47</v>
      </c>
      <c r="L120" s="319">
        <f>+'Revised Evans Table'!L121</f>
        <v>227162.289</v>
      </c>
      <c r="M120" s="319">
        <f>+'Revised Evans Table'!M121</f>
        <v>0</v>
      </c>
      <c r="N120" s="317">
        <f t="shared" si="11"/>
        <v>-179575.1299260629</v>
      </c>
      <c r="P120" s="331"/>
      <c r="Q120" s="331"/>
      <c r="S120" s="319"/>
      <c r="U120" s="319"/>
      <c r="W120" s="319"/>
      <c r="Y120" s="319"/>
      <c r="AA120" s="319"/>
      <c r="AC120" s="319"/>
      <c r="AE120" s="319"/>
      <c r="AG120" s="319"/>
      <c r="AI120" s="319"/>
      <c r="AK120" s="319"/>
    </row>
    <row r="121" spans="1:37" ht="12.75">
      <c r="A121" s="318">
        <v>57</v>
      </c>
      <c r="B121" s="322">
        <f>B120+1</f>
        <v>2066</v>
      </c>
      <c r="C121" s="319">
        <f t="shared" si="5"/>
        <v>2898053</v>
      </c>
      <c r="D121" s="319">
        <f t="shared" si="6"/>
        <v>1303492.1349400003</v>
      </c>
      <c r="E121" s="319">
        <f t="shared" si="7"/>
        <v>946534.15404</v>
      </c>
      <c r="F121" s="319">
        <f t="shared" si="8"/>
        <v>501464.59792169806</v>
      </c>
      <c r="G121" s="319">
        <f>+'Revised Evans Table'!G122</f>
        <v>-28829.74232314532</v>
      </c>
      <c r="H121" s="319">
        <f t="shared" si="12"/>
        <v>175391.85542144696</v>
      </c>
      <c r="I121" s="319">
        <f>F121+SUM('Current Revenue Test'!$F$63,'Current Revenue Test'!$F$66:$F$73)</f>
        <v>360061.31465249014</v>
      </c>
      <c r="J121" s="319">
        <f t="shared" si="10"/>
        <v>535453.1700739372</v>
      </c>
      <c r="K121" s="319">
        <f>+'Revised Evans Table'!K122</f>
        <v>489035.0725</v>
      </c>
      <c r="L121" s="319">
        <f>+'Revised Evans Table'!L122</f>
        <v>225952.845</v>
      </c>
      <c r="M121" s="319">
        <f>+'Revised Evans Table'!M122</f>
        <v>0</v>
      </c>
      <c r="N121" s="317">
        <f t="shared" si="11"/>
        <v>-179534.74742606282</v>
      </c>
      <c r="P121" s="331"/>
      <c r="Q121" s="331"/>
      <c r="S121" s="319"/>
      <c r="U121" s="319"/>
      <c r="W121" s="319"/>
      <c r="Y121" s="319"/>
      <c r="AA121" s="319"/>
      <c r="AC121" s="319"/>
      <c r="AE121" s="319"/>
      <c r="AG121" s="319"/>
      <c r="AI121" s="319"/>
      <c r="AK121" s="319"/>
    </row>
    <row r="122" spans="1:37" ht="12.75">
      <c r="A122" s="318">
        <v>58</v>
      </c>
      <c r="B122" s="322">
        <f t="shared" si="4"/>
        <v>2067</v>
      </c>
      <c r="C122" s="319">
        <f t="shared" si="5"/>
        <v>2898053</v>
      </c>
      <c r="D122" s="319">
        <f t="shared" si="6"/>
        <v>1303492.1349400003</v>
      </c>
      <c r="E122" s="319">
        <f t="shared" si="7"/>
        <v>946534.15404</v>
      </c>
      <c r="F122" s="319">
        <f t="shared" si="8"/>
        <v>501464.59792169806</v>
      </c>
      <c r="G122" s="319">
        <f>+'Revised Evans Table'!G123</f>
        <v>-27618.900323145317</v>
      </c>
      <c r="H122" s="319">
        <f t="shared" si="12"/>
        <v>174181.01342144696</v>
      </c>
      <c r="I122" s="319">
        <f>F122+SUM('Current Revenue Test'!$F$63,'Current Revenue Test'!$F$66:$F$73)</f>
        <v>360061.31465249014</v>
      </c>
      <c r="J122" s="319">
        <f t="shared" si="10"/>
        <v>534242.3280739371</v>
      </c>
      <c r="K122" s="319">
        <f>+'Revised Evans Table'!K123</f>
        <v>489036.73</v>
      </c>
      <c r="L122" s="319">
        <f>+'Revised Evans Table'!L123</f>
        <v>224698.349</v>
      </c>
      <c r="M122" s="319">
        <f>+'Revised Evans Table'!M123</f>
        <v>0</v>
      </c>
      <c r="N122" s="317">
        <f t="shared" si="11"/>
        <v>-179492.75092606287</v>
      </c>
      <c r="P122" s="331"/>
      <c r="Q122" s="331"/>
      <c r="S122" s="319"/>
      <c r="U122" s="319"/>
      <c r="W122" s="319"/>
      <c r="Y122" s="319"/>
      <c r="AA122" s="319"/>
      <c r="AC122" s="319"/>
      <c r="AE122" s="319"/>
      <c r="AG122" s="319"/>
      <c r="AI122" s="319"/>
      <c r="AK122" s="319"/>
    </row>
    <row r="123" spans="1:37" ht="12.75">
      <c r="A123" s="318">
        <v>59</v>
      </c>
      <c r="B123" s="322">
        <f t="shared" si="4"/>
        <v>2068</v>
      </c>
      <c r="C123" s="319">
        <f t="shared" si="5"/>
        <v>2898053</v>
      </c>
      <c r="D123" s="319">
        <f t="shared" si="6"/>
        <v>1303492.1349400003</v>
      </c>
      <c r="E123" s="319">
        <f t="shared" si="7"/>
        <v>946534.15404</v>
      </c>
      <c r="F123" s="319">
        <f t="shared" si="8"/>
        <v>501464.59792169806</v>
      </c>
      <c r="G123" s="319">
        <f>+'Revised Evans Table'!G124</f>
        <v>-26364.062323145314</v>
      </c>
      <c r="H123" s="319">
        <f t="shared" si="12"/>
        <v>172926.17542144694</v>
      </c>
      <c r="I123" s="319">
        <f>F123+SUM('Current Revenue Test'!$F$63,'Current Revenue Test'!$F$66:$F$73)</f>
        <v>360061.31465249014</v>
      </c>
      <c r="J123" s="319">
        <f t="shared" si="10"/>
        <v>532987.4900739371</v>
      </c>
      <c r="K123" s="319">
        <f>+'Revised Evans Table'!K124</f>
        <v>489034.0775</v>
      </c>
      <c r="L123" s="319">
        <f>+'Revised Evans Table'!L124</f>
        <v>223402.637</v>
      </c>
      <c r="M123" s="319">
        <f>+'Revised Evans Table'!M124</f>
        <v>0</v>
      </c>
      <c r="N123" s="317">
        <f t="shared" si="11"/>
        <v>-179449.2244260629</v>
      </c>
      <c r="P123" s="331"/>
      <c r="Q123" s="331"/>
      <c r="S123" s="319"/>
      <c r="U123" s="319"/>
      <c r="W123" s="319"/>
      <c r="Y123" s="319"/>
      <c r="AA123" s="319"/>
      <c r="AC123" s="319"/>
      <c r="AE123" s="319"/>
      <c r="AG123" s="319"/>
      <c r="AI123" s="319"/>
      <c r="AK123" s="319"/>
    </row>
    <row r="124" spans="1:37" ht="12.75">
      <c r="A124" s="318">
        <v>60</v>
      </c>
      <c r="B124" s="322">
        <f t="shared" si="4"/>
        <v>2069</v>
      </c>
      <c r="C124" s="319">
        <f t="shared" si="5"/>
        <v>2898053</v>
      </c>
      <c r="D124" s="319">
        <f t="shared" si="6"/>
        <v>1303492.1349400003</v>
      </c>
      <c r="E124" s="319">
        <f t="shared" si="7"/>
        <v>946534.15404</v>
      </c>
      <c r="F124" s="319">
        <f t="shared" si="8"/>
        <v>501464.59792169806</v>
      </c>
      <c r="G124" s="319">
        <f>+'Revised Evans Table'!G125</f>
        <v>-25063.697323145323</v>
      </c>
      <c r="H124" s="319">
        <f t="shared" si="12"/>
        <v>171625.81042144695</v>
      </c>
      <c r="I124" s="319">
        <f>F124+SUM('Current Revenue Test'!$F$63,'Current Revenue Test'!$F$66:$F$73)</f>
        <v>360061.31465249014</v>
      </c>
      <c r="J124" s="319">
        <f t="shared" si="10"/>
        <v>531687.1250739371</v>
      </c>
      <c r="K124" s="319">
        <f>+'Revised Evans Table'!K125</f>
        <v>489034.6475</v>
      </c>
      <c r="L124" s="319">
        <f>+'Revised Evans Table'!L125</f>
        <v>222056.528</v>
      </c>
      <c r="M124" s="319">
        <f>+'Revised Evans Table'!M125</f>
        <v>0</v>
      </c>
      <c r="N124" s="317">
        <f t="shared" si="11"/>
        <v>-179404.0504260629</v>
      </c>
      <c r="P124" s="331"/>
      <c r="Q124" s="331"/>
      <c r="S124" s="319"/>
      <c r="U124" s="319"/>
      <c r="W124" s="319"/>
      <c r="Y124" s="319"/>
      <c r="AA124" s="319"/>
      <c r="AC124" s="319"/>
      <c r="AE124" s="319"/>
      <c r="AG124" s="319"/>
      <c r="AI124" s="319"/>
      <c r="AK124" s="319"/>
    </row>
    <row r="125" spans="1:37" ht="12.75">
      <c r="A125" s="318">
        <v>61</v>
      </c>
      <c r="B125" s="322">
        <f t="shared" si="4"/>
        <v>2070</v>
      </c>
      <c r="C125" s="319">
        <f t="shared" si="5"/>
        <v>2898053</v>
      </c>
      <c r="D125" s="319">
        <f t="shared" si="6"/>
        <v>1303492.1349400003</v>
      </c>
      <c r="E125" s="319">
        <f t="shared" si="7"/>
        <v>946534.15404</v>
      </c>
      <c r="F125" s="319">
        <f t="shared" si="8"/>
        <v>501464.59792169806</v>
      </c>
      <c r="G125" s="319">
        <f>+'Revised Evans Table'!G126</f>
        <v>-23716.15832314532</v>
      </c>
      <c r="H125" s="319">
        <f t="shared" si="12"/>
        <v>170278.27142144696</v>
      </c>
      <c r="I125" s="319">
        <f>F125+SUM('Current Revenue Test'!$F$63,'Current Revenue Test'!$F$66:$F$73)</f>
        <v>360061.31465249014</v>
      </c>
      <c r="J125" s="319">
        <f t="shared" si="10"/>
        <v>530339.5860739371</v>
      </c>
      <c r="K125" s="319">
        <f>+'Revised Evans Table'!K126</f>
        <v>489034.25</v>
      </c>
      <c r="L125" s="319">
        <f>+'Revised Evans Table'!L126</f>
        <v>220662.462</v>
      </c>
      <c r="M125" s="319">
        <f>+'Revised Evans Table'!M126</f>
        <v>0</v>
      </c>
      <c r="N125" s="317">
        <f t="shared" si="11"/>
        <v>-179357.12592606287</v>
      </c>
      <c r="P125" s="331"/>
      <c r="Q125" s="331"/>
      <c r="S125" s="319"/>
      <c r="U125" s="319"/>
      <c r="W125" s="319"/>
      <c r="Y125" s="319"/>
      <c r="AA125" s="319"/>
      <c r="AC125" s="319"/>
      <c r="AE125" s="319"/>
      <c r="AG125" s="319"/>
      <c r="AI125" s="319"/>
      <c r="AK125" s="319"/>
    </row>
    <row r="126" spans="1:37" ht="12.75">
      <c r="A126" s="318">
        <v>62</v>
      </c>
      <c r="B126" s="322">
        <f>B125+1</f>
        <v>2071</v>
      </c>
      <c r="C126" s="319">
        <f t="shared" si="5"/>
        <v>2898053</v>
      </c>
      <c r="D126" s="319">
        <f t="shared" si="6"/>
        <v>1303492.1349400003</v>
      </c>
      <c r="E126" s="319">
        <f t="shared" si="7"/>
        <v>946534.15404</v>
      </c>
      <c r="F126" s="319">
        <f t="shared" si="8"/>
        <v>501464.59792169806</v>
      </c>
      <c r="G126" s="319">
        <f>+'Revised Evans Table'!G127</f>
        <v>-22319.695323145315</v>
      </c>
      <c r="H126" s="319">
        <f t="shared" si="12"/>
        <v>168881.80842144694</v>
      </c>
      <c r="I126" s="319">
        <f>F126+SUM('Current Revenue Test'!$F$63,'Current Revenue Test'!$F$66:$F$73)</f>
        <v>360061.31465249014</v>
      </c>
      <c r="J126" s="319">
        <f t="shared" si="10"/>
        <v>528943.1230739371</v>
      </c>
      <c r="K126" s="319">
        <f>+'Revised Evans Table'!K127</f>
        <v>489034.98</v>
      </c>
      <c r="L126" s="319">
        <f>+'Revised Evans Table'!L127</f>
        <v>219216.559</v>
      </c>
      <c r="M126" s="319">
        <f>+'Revised Evans Table'!M127</f>
        <v>0</v>
      </c>
      <c r="N126" s="317">
        <f t="shared" si="11"/>
        <v>-179308.41592606285</v>
      </c>
      <c r="P126" s="331"/>
      <c r="Q126" s="331"/>
      <c r="S126" s="319"/>
      <c r="U126" s="319"/>
      <c r="W126" s="319"/>
      <c r="Y126" s="319"/>
      <c r="AA126" s="319"/>
      <c r="AC126" s="319"/>
      <c r="AE126" s="319"/>
      <c r="AG126" s="319"/>
      <c r="AI126" s="319"/>
      <c r="AK126" s="319"/>
    </row>
    <row r="127" spans="1:37" ht="12.75">
      <c r="A127" s="318">
        <v>63</v>
      </c>
      <c r="B127" s="322">
        <f t="shared" si="4"/>
        <v>2072</v>
      </c>
      <c r="C127" s="319">
        <f t="shared" si="5"/>
        <v>2898053</v>
      </c>
      <c r="D127" s="319">
        <f t="shared" si="6"/>
        <v>1303492.1349400003</v>
      </c>
      <c r="E127" s="319">
        <f t="shared" si="7"/>
        <v>946534.15404</v>
      </c>
      <c r="F127" s="319">
        <f t="shared" si="8"/>
        <v>501464.59792169806</v>
      </c>
      <c r="G127" s="319">
        <f>+'Revised Evans Table'!G128</f>
        <v>-20872.52232314532</v>
      </c>
      <c r="H127" s="319">
        <f t="shared" si="12"/>
        <v>167434.63542144696</v>
      </c>
      <c r="I127" s="319">
        <f>F127+SUM('Current Revenue Test'!$F$63,'Current Revenue Test'!$F$66:$F$73)</f>
        <v>360061.31465249014</v>
      </c>
      <c r="J127" s="319">
        <f t="shared" si="10"/>
        <v>527495.9500739371</v>
      </c>
      <c r="K127" s="319">
        <f>+'Revised Evans Table'!K128</f>
        <v>489037.21</v>
      </c>
      <c r="L127" s="319">
        <f>+'Revised Evans Table'!L128</f>
        <v>217716.555</v>
      </c>
      <c r="M127" s="319">
        <f>+'Revised Evans Table'!M128</f>
        <v>0</v>
      </c>
      <c r="N127" s="317">
        <f t="shared" si="11"/>
        <v>-179257.81492606294</v>
      </c>
      <c r="P127" s="331"/>
      <c r="Q127" s="331"/>
      <c r="S127" s="319"/>
      <c r="U127" s="319"/>
      <c r="W127" s="319"/>
      <c r="Y127" s="319"/>
      <c r="AA127" s="319"/>
      <c r="AC127" s="319"/>
      <c r="AE127" s="319"/>
      <c r="AG127" s="319"/>
      <c r="AI127" s="319"/>
      <c r="AK127" s="319"/>
    </row>
    <row r="128" spans="1:37" ht="12.75">
      <c r="A128" s="318">
        <v>64</v>
      </c>
      <c r="B128" s="322">
        <f t="shared" si="4"/>
        <v>2073</v>
      </c>
      <c r="C128" s="319">
        <f t="shared" si="5"/>
        <v>2898053</v>
      </c>
      <c r="D128" s="319">
        <f t="shared" si="6"/>
        <v>1303492.1349400003</v>
      </c>
      <c r="E128" s="319">
        <f t="shared" si="7"/>
        <v>946534.15404</v>
      </c>
      <c r="F128" s="319">
        <f t="shared" si="8"/>
        <v>501464.59792169806</v>
      </c>
      <c r="G128" s="319">
        <f>+'Revised Evans Table'!G129</f>
        <v>-19370.74832314533</v>
      </c>
      <c r="H128" s="319">
        <f t="shared" si="12"/>
        <v>165932.86142144696</v>
      </c>
      <c r="I128" s="319">
        <f>F128+SUM('Current Revenue Test'!$F$63,'Current Revenue Test'!$F$66:$F$73)</f>
        <v>360061.31465249014</v>
      </c>
      <c r="J128" s="319">
        <f t="shared" si="10"/>
        <v>525994.1760739371</v>
      </c>
      <c r="K128" s="319">
        <f>+'Revised Evans Table'!K129</f>
        <v>489035.7675</v>
      </c>
      <c r="L128" s="319">
        <f>+'Revised Evans Table'!L129</f>
        <v>216165.758</v>
      </c>
      <c r="M128" s="319">
        <f>+'Revised Evans Table'!M129</f>
        <v>0</v>
      </c>
      <c r="N128" s="317">
        <f t="shared" si="11"/>
        <v>-179207.34942606295</v>
      </c>
      <c r="P128" s="331"/>
      <c r="Q128" s="331"/>
      <c r="S128" s="319"/>
      <c r="U128" s="319"/>
      <c r="W128" s="319"/>
      <c r="Y128" s="319"/>
      <c r="AA128" s="319"/>
      <c r="AC128" s="319"/>
      <c r="AE128" s="319"/>
      <c r="AG128" s="319"/>
      <c r="AI128" s="319"/>
      <c r="AK128" s="319"/>
    </row>
    <row r="129" spans="1:37" ht="12.75">
      <c r="A129" s="318">
        <v>65</v>
      </c>
      <c r="B129" s="322">
        <f t="shared" si="4"/>
        <v>2074</v>
      </c>
      <c r="C129" s="319">
        <f t="shared" si="5"/>
        <v>2898053</v>
      </c>
      <c r="D129" s="319">
        <f t="shared" si="6"/>
        <v>1303492.1349400003</v>
      </c>
      <c r="E129" s="319">
        <f t="shared" si="7"/>
        <v>946534.15404</v>
      </c>
      <c r="F129" s="319">
        <f t="shared" si="8"/>
        <v>501464.59792169806</v>
      </c>
      <c r="G129" s="319">
        <f>+'Revised Evans Table'!G130</f>
        <v>-17816.508323145325</v>
      </c>
      <c r="H129" s="319">
        <f aca="true" t="shared" si="13" ref="H129:H130">C129-D129-E129-F129-G129</f>
        <v>164378.62142144697</v>
      </c>
      <c r="I129" s="319">
        <f>F129+SUM('Current Revenue Test'!$F$63,'Current Revenue Test'!$F$66:$F$73)</f>
        <v>360061.31465249014</v>
      </c>
      <c r="J129" s="319">
        <f aca="true" t="shared" si="14" ref="J129:J130">H129+I129</f>
        <v>524439.9360739371</v>
      </c>
      <c r="K129" s="319">
        <f>+'Revised Evans Table'!K130</f>
        <v>489036.33</v>
      </c>
      <c r="L129" s="319">
        <f>+'Revised Evans Table'!L130</f>
        <v>214556.532</v>
      </c>
      <c r="M129" s="319">
        <f>+'Revised Evans Table'!M130</f>
        <v>0</v>
      </c>
      <c r="N129" s="317">
        <f aca="true" t="shared" si="15" ref="N129:N130">J129-L129-M129-K129</f>
        <v>-179152.92592606292</v>
      </c>
      <c r="P129" s="331"/>
      <c r="Q129" s="331"/>
      <c r="S129" s="319"/>
      <c r="U129" s="319"/>
      <c r="W129" s="319"/>
      <c r="Y129" s="319"/>
      <c r="AA129" s="319"/>
      <c r="AC129" s="319"/>
      <c r="AE129" s="319"/>
      <c r="AG129" s="319"/>
      <c r="AI129" s="319"/>
      <c r="AK129" s="319"/>
    </row>
    <row r="130" spans="1:37" ht="12.75">
      <c r="A130" s="318">
        <v>66</v>
      </c>
      <c r="B130" s="322">
        <f t="shared" si="4"/>
        <v>2075</v>
      </c>
      <c r="C130" s="319">
        <f t="shared" si="5"/>
        <v>2898053</v>
      </c>
      <c r="D130" s="319">
        <f t="shared" si="6"/>
        <v>1303492.1349400003</v>
      </c>
      <c r="E130" s="319">
        <f t="shared" si="7"/>
        <v>946534.15404</v>
      </c>
      <c r="F130" s="319">
        <f t="shared" si="8"/>
        <v>501464.59792169806</v>
      </c>
      <c r="G130" s="319">
        <f>+'Revised Evans Table'!G131</f>
        <v>-16205.845323145326</v>
      </c>
      <c r="H130" s="319">
        <f t="shared" si="13"/>
        <v>162767.95842144697</v>
      </c>
      <c r="I130" s="319">
        <f>F130+SUM('Current Revenue Test'!$F$63,'Current Revenue Test'!$F$66:$F$73)</f>
        <v>360061.31465249014</v>
      </c>
      <c r="J130" s="319">
        <f t="shared" si="14"/>
        <v>522829.2730739371</v>
      </c>
      <c r="K130" s="319">
        <f>+'Revised Evans Table'!K131</f>
        <v>489037.1275</v>
      </c>
      <c r="L130" s="319">
        <f>+'Revised Evans Table'!L131</f>
        <v>212888.556</v>
      </c>
      <c r="M130" s="319">
        <f>+'Revised Evans Table'!M131</f>
        <v>0</v>
      </c>
      <c r="N130" s="317">
        <f t="shared" si="15"/>
        <v>-179096.41042606294</v>
      </c>
      <c r="P130" s="331"/>
      <c r="Q130" s="331"/>
      <c r="S130" s="319"/>
      <c r="U130" s="319"/>
      <c r="W130" s="319"/>
      <c r="Y130" s="319"/>
      <c r="AA130" s="319"/>
      <c r="AC130" s="319"/>
      <c r="AE130" s="319"/>
      <c r="AG130" s="319"/>
      <c r="AI130" s="319"/>
      <c r="AK130" s="319"/>
    </row>
    <row r="131" spans="1:23" ht="12.75">
      <c r="A131" s="318">
        <v>67</v>
      </c>
      <c r="B131" s="377" t="s">
        <v>330</v>
      </c>
      <c r="S131" s="319"/>
      <c r="U131" s="319"/>
      <c r="W131" s="319"/>
    </row>
    <row r="132" spans="1:37" ht="12.75">
      <c r="A132" s="318">
        <v>68</v>
      </c>
      <c r="B132" s="310" t="s">
        <v>556</v>
      </c>
      <c r="C132" s="319">
        <f aca="true" t="shared" si="16" ref="C132:N132">SUM(C49:C130)</f>
        <v>347865644.7638488</v>
      </c>
      <c r="D132" s="319">
        <f t="shared" si="16"/>
        <v>115929516.74516992</v>
      </c>
      <c r="E132" s="319">
        <f t="shared" si="16"/>
        <v>161274315.59988013</v>
      </c>
      <c r="F132" s="319">
        <f t="shared" si="16"/>
        <v>40600216.1774271</v>
      </c>
      <c r="G132" s="319">
        <f t="shared" si="16"/>
        <v>17417000.31113986</v>
      </c>
      <c r="H132" s="319">
        <f t="shared" si="16"/>
        <v>12644595.930231864</v>
      </c>
      <c r="I132" s="319">
        <f t="shared" si="16"/>
        <v>30722471.285256434</v>
      </c>
      <c r="J132" s="319">
        <f t="shared" si="16"/>
        <v>44289612.33773592</v>
      </c>
      <c r="K132" s="319">
        <f t="shared" si="16"/>
        <v>20905984.5405</v>
      </c>
      <c r="L132" s="319">
        <f t="shared" si="16"/>
        <v>30247955.52599999</v>
      </c>
      <c r="M132" s="319">
        <f t="shared" si="16"/>
        <v>867680.818</v>
      </c>
      <c r="N132" s="317">
        <f t="shared" si="16"/>
        <v>-7732008.663314062</v>
      </c>
      <c r="P132" s="317"/>
      <c r="Q132" s="317"/>
      <c r="S132" s="319"/>
      <c r="U132" s="319"/>
      <c r="W132" s="319"/>
      <c r="Y132" s="319"/>
      <c r="AA132" s="319"/>
      <c r="AC132" s="319"/>
      <c r="AE132" s="319"/>
      <c r="AG132" s="319"/>
      <c r="AI132" s="319"/>
      <c r="AK132" s="319"/>
    </row>
    <row r="133" spans="1:17" ht="12.75">
      <c r="A133" s="292"/>
      <c r="M133" s="317"/>
      <c r="O133" s="292"/>
      <c r="P133" s="292"/>
      <c r="Q133" s="292"/>
    </row>
    <row r="134" spans="1:17" ht="40.5" customHeight="1">
      <c r="A134" s="337" t="s">
        <v>229</v>
      </c>
      <c r="B134" s="484" t="s">
        <v>835</v>
      </c>
      <c r="C134" s="484"/>
      <c r="D134" s="484"/>
      <c r="E134" s="484"/>
      <c r="F134" s="484"/>
      <c r="G134" s="484"/>
      <c r="H134" s="484"/>
      <c r="I134" s="484"/>
      <c r="J134" s="484"/>
      <c r="K134" s="484"/>
      <c r="L134" s="484"/>
      <c r="M134" s="484"/>
      <c r="N134" s="484"/>
      <c r="O134" s="292"/>
      <c r="P134" s="292"/>
      <c r="Q134" s="292"/>
    </row>
    <row r="135" spans="1:17" ht="26.25" customHeight="1">
      <c r="A135" s="337" t="s">
        <v>349</v>
      </c>
      <c r="B135" s="484" t="s">
        <v>836</v>
      </c>
      <c r="C135" s="484"/>
      <c r="D135" s="484"/>
      <c r="E135" s="484"/>
      <c r="F135" s="484"/>
      <c r="G135" s="484"/>
      <c r="H135" s="484"/>
      <c r="I135" s="484"/>
      <c r="J135" s="484"/>
      <c r="K135" s="484"/>
      <c r="L135" s="484"/>
      <c r="M135" s="484"/>
      <c r="N135" s="484"/>
      <c r="O135" s="292"/>
      <c r="P135" s="292"/>
      <c r="Q135" s="292"/>
    </row>
    <row r="136" spans="1:17" ht="12.75">
      <c r="A136" s="292"/>
      <c r="B136" s="421"/>
      <c r="C136" s="421"/>
      <c r="D136" s="421"/>
      <c r="E136" s="421"/>
      <c r="F136" s="421"/>
      <c r="G136" s="421"/>
      <c r="H136" s="421"/>
      <c r="O136" s="292"/>
      <c r="P136" s="292"/>
      <c r="Q136" s="292"/>
    </row>
    <row r="137" spans="1:2" ht="12.75">
      <c r="A137" s="290"/>
      <c r="B137" s="338"/>
    </row>
    <row r="138" spans="1:17" ht="12.75">
      <c r="A138" s="292"/>
      <c r="B138" s="338"/>
      <c r="O138" s="292"/>
      <c r="P138" s="292"/>
      <c r="Q138" s="292"/>
    </row>
    <row r="139" ht="12.75">
      <c r="B139" s="338"/>
    </row>
    <row r="144" spans="1:17" ht="12.75">
      <c r="A144" s="292"/>
      <c r="B144" s="298"/>
      <c r="O144" s="292"/>
      <c r="P144" s="292"/>
      <c r="Q144" s="292"/>
    </row>
    <row r="145" spans="1:17" ht="12.75">
      <c r="A145" s="292"/>
      <c r="B145" s="338"/>
      <c r="O145" s="292"/>
      <c r="P145" s="292"/>
      <c r="Q145" s="292"/>
    </row>
    <row r="146" spans="1:17" ht="12.75">
      <c r="A146" s="292"/>
      <c r="B146" s="338"/>
      <c r="O146" s="292"/>
      <c r="P146" s="292"/>
      <c r="Q146" s="292"/>
    </row>
    <row r="150" spans="1:17" ht="12.75">
      <c r="A150" s="292"/>
      <c r="C150" s="338" t="s">
        <v>651</v>
      </c>
      <c r="E150" s="332">
        <f>E78+'Statement E'!P23</f>
        <v>919206.061555</v>
      </c>
      <c r="F150" s="316" t="s">
        <v>557</v>
      </c>
      <c r="G150" s="319">
        <f>-'interest credit calculations'!E115</f>
        <v>-2851.6571952948075</v>
      </c>
      <c r="L150" s="292"/>
      <c r="M150" s="292"/>
      <c r="O150" s="292"/>
      <c r="P150" s="292"/>
      <c r="Q150" s="292"/>
    </row>
    <row r="151" spans="1:17" ht="12.75">
      <c r="A151" s="292"/>
      <c r="C151" s="292" t="s">
        <v>558</v>
      </c>
      <c r="F151" s="298" t="s">
        <v>115</v>
      </c>
      <c r="G151" s="292">
        <f>+'Income Statement Cash Flows'!F36</f>
        <v>-18137.16688</v>
      </c>
      <c r="L151" s="292"/>
      <c r="M151" s="292"/>
      <c r="O151" s="292"/>
      <c r="P151" s="292"/>
      <c r="Q151" s="292"/>
    </row>
    <row r="152" spans="1:17" ht="12.75">
      <c r="A152" s="292"/>
      <c r="C152" s="292" t="s">
        <v>559</v>
      </c>
      <c r="F152" s="298" t="s">
        <v>560</v>
      </c>
      <c r="G152" s="292">
        <f>-45937</f>
        <v>-45937</v>
      </c>
      <c r="L152" s="292"/>
      <c r="M152" s="292"/>
      <c r="O152" s="292"/>
      <c r="P152" s="292"/>
      <c r="Q152" s="292"/>
    </row>
    <row r="153" spans="1:17" ht="12.75">
      <c r="A153" s="292"/>
      <c r="C153" s="292" t="s">
        <v>561</v>
      </c>
      <c r="F153" s="298" t="s">
        <v>562</v>
      </c>
      <c r="G153" s="292">
        <f>+'Federal DS'!E6</f>
        <v>5694.264395162258</v>
      </c>
      <c r="L153" s="292"/>
      <c r="M153" s="292"/>
      <c r="O153" s="292"/>
      <c r="P153" s="292"/>
      <c r="Q153" s="292"/>
    </row>
    <row r="154" spans="1:17" ht="12.75">
      <c r="A154" s="292"/>
      <c r="C154" s="292" t="s">
        <v>563</v>
      </c>
      <c r="L154" s="292"/>
      <c r="M154" s="292"/>
      <c r="O154" s="292"/>
      <c r="P154" s="292"/>
      <c r="Q154" s="292"/>
    </row>
  </sheetData>
  <mergeCells count="7">
    <mergeCell ref="B135:N135"/>
    <mergeCell ref="B134:N134"/>
    <mergeCell ref="B2:N2"/>
    <mergeCell ref="B3:N3"/>
    <mergeCell ref="B4:N4"/>
    <mergeCell ref="B5:N5"/>
    <mergeCell ref="B6:N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P154"/>
  <sheetViews>
    <sheetView showGridLines="0" workbookViewId="0" topLeftCell="A1">
      <selection activeCell="H7" sqref="H7:L40"/>
    </sheetView>
  </sheetViews>
  <sheetFormatPr defaultColWidth="9.140625" defaultRowHeight="12.75"/>
  <cols>
    <col min="1" max="1" width="3.7109375" style="288" customWidth="1"/>
    <col min="2" max="2" width="4.421875" style="288" customWidth="1"/>
    <col min="3" max="3" width="4.28125" style="288" customWidth="1"/>
    <col min="4" max="4" width="58.7109375" style="288" customWidth="1"/>
    <col min="5" max="5" width="11.28125" style="288" customWidth="1"/>
    <col min="6" max="6" width="11.00390625" style="293" customWidth="1"/>
    <col min="7" max="7" width="10.421875" style="288" customWidth="1"/>
    <col min="8" max="8" width="11.7109375" style="297" customWidth="1"/>
    <col min="9" max="9" width="9.140625" style="297" customWidth="1"/>
    <col min="10" max="13" width="9.140625" style="288" customWidth="1"/>
    <col min="14" max="14" width="17.421875" style="288" customWidth="1"/>
    <col min="15" max="242" width="9.140625" style="288" customWidth="1"/>
    <col min="243" max="243" width="3.7109375" style="288" customWidth="1"/>
    <col min="244" max="244" width="4.421875" style="288" customWidth="1"/>
    <col min="245" max="245" width="4.28125" style="288" customWidth="1"/>
    <col min="246" max="246" width="58.7109375" style="288" customWidth="1"/>
    <col min="247" max="247" width="11.28125" style="288" customWidth="1"/>
    <col min="248" max="248" width="10.00390625" style="288" customWidth="1"/>
    <col min="249" max="249" width="10.421875" style="288" customWidth="1"/>
    <col min="250" max="250" width="9.7109375" style="288" bestFit="1" customWidth="1"/>
    <col min="251" max="251" width="9.57421875" style="288" customWidth="1"/>
    <col min="252" max="252" width="9.140625" style="288" customWidth="1"/>
    <col min="253" max="256" width="9.7109375" style="288" bestFit="1" customWidth="1"/>
    <col min="257" max="498" width="9.140625" style="288" customWidth="1"/>
    <col min="499" max="499" width="3.7109375" style="288" customWidth="1"/>
    <col min="500" max="500" width="4.421875" style="288" customWidth="1"/>
    <col min="501" max="501" width="4.28125" style="288" customWidth="1"/>
    <col min="502" max="502" width="58.7109375" style="288" customWidth="1"/>
    <col min="503" max="503" width="11.28125" style="288" customWidth="1"/>
    <col min="504" max="504" width="10.00390625" style="288" customWidth="1"/>
    <col min="505" max="505" width="10.421875" style="288" customWidth="1"/>
    <col min="506" max="506" width="9.7109375" style="288" bestFit="1" customWidth="1"/>
    <col min="507" max="507" width="9.57421875" style="288" customWidth="1"/>
    <col min="508" max="508" width="9.140625" style="288" customWidth="1"/>
    <col min="509" max="512" width="9.7109375" style="288" bestFit="1" customWidth="1"/>
    <col min="513" max="754" width="9.140625" style="288" customWidth="1"/>
    <col min="755" max="755" width="3.7109375" style="288" customWidth="1"/>
    <col min="756" max="756" width="4.421875" style="288" customWidth="1"/>
    <col min="757" max="757" width="4.28125" style="288" customWidth="1"/>
    <col min="758" max="758" width="58.7109375" style="288" customWidth="1"/>
    <col min="759" max="759" width="11.28125" style="288" customWidth="1"/>
    <col min="760" max="760" width="10.00390625" style="288" customWidth="1"/>
    <col min="761" max="761" width="10.421875" style="288" customWidth="1"/>
    <col min="762" max="762" width="9.7109375" style="288" bestFit="1" customWidth="1"/>
    <col min="763" max="763" width="9.57421875" style="288" customWidth="1"/>
    <col min="764" max="764" width="9.140625" style="288" customWidth="1"/>
    <col min="765" max="768" width="9.7109375" style="288" bestFit="1" customWidth="1"/>
    <col min="769" max="1010" width="9.140625" style="288" customWidth="1"/>
    <col min="1011" max="1011" width="3.7109375" style="288" customWidth="1"/>
    <col min="1012" max="1012" width="4.421875" style="288" customWidth="1"/>
    <col min="1013" max="1013" width="4.28125" style="288" customWidth="1"/>
    <col min="1014" max="1014" width="58.7109375" style="288" customWidth="1"/>
    <col min="1015" max="1015" width="11.28125" style="288" customWidth="1"/>
    <col min="1016" max="1016" width="10.00390625" style="288" customWidth="1"/>
    <col min="1017" max="1017" width="10.421875" style="288" customWidth="1"/>
    <col min="1018" max="1018" width="9.7109375" style="288" bestFit="1" customWidth="1"/>
    <col min="1019" max="1019" width="9.57421875" style="288" customWidth="1"/>
    <col min="1020" max="1020" width="9.140625" style="288" customWidth="1"/>
    <col min="1021" max="1024" width="9.7109375" style="288" bestFit="1" customWidth="1"/>
    <col min="1025" max="1266" width="9.140625" style="288" customWidth="1"/>
    <col min="1267" max="1267" width="3.7109375" style="288" customWidth="1"/>
    <col min="1268" max="1268" width="4.421875" style="288" customWidth="1"/>
    <col min="1269" max="1269" width="4.28125" style="288" customWidth="1"/>
    <col min="1270" max="1270" width="58.7109375" style="288" customWidth="1"/>
    <col min="1271" max="1271" width="11.28125" style="288" customWidth="1"/>
    <col min="1272" max="1272" width="10.00390625" style="288" customWidth="1"/>
    <col min="1273" max="1273" width="10.421875" style="288" customWidth="1"/>
    <col min="1274" max="1274" width="9.7109375" style="288" bestFit="1" customWidth="1"/>
    <col min="1275" max="1275" width="9.57421875" style="288" customWidth="1"/>
    <col min="1276" max="1276" width="9.140625" style="288" customWidth="1"/>
    <col min="1277" max="1280" width="9.7109375" style="288" bestFit="1" customWidth="1"/>
    <col min="1281" max="1522" width="9.140625" style="288" customWidth="1"/>
    <col min="1523" max="1523" width="3.7109375" style="288" customWidth="1"/>
    <col min="1524" max="1524" width="4.421875" style="288" customWidth="1"/>
    <col min="1525" max="1525" width="4.28125" style="288" customWidth="1"/>
    <col min="1526" max="1526" width="58.7109375" style="288" customWidth="1"/>
    <col min="1527" max="1527" width="11.28125" style="288" customWidth="1"/>
    <col min="1528" max="1528" width="10.00390625" style="288" customWidth="1"/>
    <col min="1529" max="1529" width="10.421875" style="288" customWidth="1"/>
    <col min="1530" max="1530" width="9.7109375" style="288" bestFit="1" customWidth="1"/>
    <col min="1531" max="1531" width="9.57421875" style="288" customWidth="1"/>
    <col min="1532" max="1532" width="9.140625" style="288" customWidth="1"/>
    <col min="1533" max="1536" width="9.7109375" style="288" bestFit="1" customWidth="1"/>
    <col min="1537" max="1778" width="9.140625" style="288" customWidth="1"/>
    <col min="1779" max="1779" width="3.7109375" style="288" customWidth="1"/>
    <col min="1780" max="1780" width="4.421875" style="288" customWidth="1"/>
    <col min="1781" max="1781" width="4.28125" style="288" customWidth="1"/>
    <col min="1782" max="1782" width="58.7109375" style="288" customWidth="1"/>
    <col min="1783" max="1783" width="11.28125" style="288" customWidth="1"/>
    <col min="1784" max="1784" width="10.00390625" style="288" customWidth="1"/>
    <col min="1785" max="1785" width="10.421875" style="288" customWidth="1"/>
    <col min="1786" max="1786" width="9.7109375" style="288" bestFit="1" customWidth="1"/>
    <col min="1787" max="1787" width="9.57421875" style="288" customWidth="1"/>
    <col min="1788" max="1788" width="9.140625" style="288" customWidth="1"/>
    <col min="1789" max="1792" width="9.7109375" style="288" bestFit="1" customWidth="1"/>
    <col min="1793" max="2034" width="9.140625" style="288" customWidth="1"/>
    <col min="2035" max="2035" width="3.7109375" style="288" customWidth="1"/>
    <col min="2036" max="2036" width="4.421875" style="288" customWidth="1"/>
    <col min="2037" max="2037" width="4.28125" style="288" customWidth="1"/>
    <col min="2038" max="2038" width="58.7109375" style="288" customWidth="1"/>
    <col min="2039" max="2039" width="11.28125" style="288" customWidth="1"/>
    <col min="2040" max="2040" width="10.00390625" style="288" customWidth="1"/>
    <col min="2041" max="2041" width="10.421875" style="288" customWidth="1"/>
    <col min="2042" max="2042" width="9.7109375" style="288" bestFit="1" customWidth="1"/>
    <col min="2043" max="2043" width="9.57421875" style="288" customWidth="1"/>
    <col min="2044" max="2044" width="9.140625" style="288" customWidth="1"/>
    <col min="2045" max="2048" width="9.7109375" style="288" bestFit="1" customWidth="1"/>
    <col min="2049" max="2290" width="9.140625" style="288" customWidth="1"/>
    <col min="2291" max="2291" width="3.7109375" style="288" customWidth="1"/>
    <col min="2292" max="2292" width="4.421875" style="288" customWidth="1"/>
    <col min="2293" max="2293" width="4.28125" style="288" customWidth="1"/>
    <col min="2294" max="2294" width="58.7109375" style="288" customWidth="1"/>
    <col min="2295" max="2295" width="11.28125" style="288" customWidth="1"/>
    <col min="2296" max="2296" width="10.00390625" style="288" customWidth="1"/>
    <col min="2297" max="2297" width="10.421875" style="288" customWidth="1"/>
    <col min="2298" max="2298" width="9.7109375" style="288" bestFit="1" customWidth="1"/>
    <col min="2299" max="2299" width="9.57421875" style="288" customWidth="1"/>
    <col min="2300" max="2300" width="9.140625" style="288" customWidth="1"/>
    <col min="2301" max="2304" width="9.7109375" style="288" bestFit="1" customWidth="1"/>
    <col min="2305" max="2546" width="9.140625" style="288" customWidth="1"/>
    <col min="2547" max="2547" width="3.7109375" style="288" customWidth="1"/>
    <col min="2548" max="2548" width="4.421875" style="288" customWidth="1"/>
    <col min="2549" max="2549" width="4.28125" style="288" customWidth="1"/>
    <col min="2550" max="2550" width="58.7109375" style="288" customWidth="1"/>
    <col min="2551" max="2551" width="11.28125" style="288" customWidth="1"/>
    <col min="2552" max="2552" width="10.00390625" style="288" customWidth="1"/>
    <col min="2553" max="2553" width="10.421875" style="288" customWidth="1"/>
    <col min="2554" max="2554" width="9.7109375" style="288" bestFit="1" customWidth="1"/>
    <col min="2555" max="2555" width="9.57421875" style="288" customWidth="1"/>
    <col min="2556" max="2556" width="9.140625" style="288" customWidth="1"/>
    <col min="2557" max="2560" width="9.7109375" style="288" bestFit="1" customWidth="1"/>
    <col min="2561" max="2802" width="9.140625" style="288" customWidth="1"/>
    <col min="2803" max="2803" width="3.7109375" style="288" customWidth="1"/>
    <col min="2804" max="2804" width="4.421875" style="288" customWidth="1"/>
    <col min="2805" max="2805" width="4.28125" style="288" customWidth="1"/>
    <col min="2806" max="2806" width="58.7109375" style="288" customWidth="1"/>
    <col min="2807" max="2807" width="11.28125" style="288" customWidth="1"/>
    <col min="2808" max="2808" width="10.00390625" style="288" customWidth="1"/>
    <col min="2809" max="2809" width="10.421875" style="288" customWidth="1"/>
    <col min="2810" max="2810" width="9.7109375" style="288" bestFit="1" customWidth="1"/>
    <col min="2811" max="2811" width="9.57421875" style="288" customWidth="1"/>
    <col min="2812" max="2812" width="9.140625" style="288" customWidth="1"/>
    <col min="2813" max="2816" width="9.7109375" style="288" bestFit="1" customWidth="1"/>
    <col min="2817" max="3058" width="9.140625" style="288" customWidth="1"/>
    <col min="3059" max="3059" width="3.7109375" style="288" customWidth="1"/>
    <col min="3060" max="3060" width="4.421875" style="288" customWidth="1"/>
    <col min="3061" max="3061" width="4.28125" style="288" customWidth="1"/>
    <col min="3062" max="3062" width="58.7109375" style="288" customWidth="1"/>
    <col min="3063" max="3063" width="11.28125" style="288" customWidth="1"/>
    <col min="3064" max="3064" width="10.00390625" style="288" customWidth="1"/>
    <col min="3065" max="3065" width="10.421875" style="288" customWidth="1"/>
    <col min="3066" max="3066" width="9.7109375" style="288" bestFit="1" customWidth="1"/>
    <col min="3067" max="3067" width="9.57421875" style="288" customWidth="1"/>
    <col min="3068" max="3068" width="9.140625" style="288" customWidth="1"/>
    <col min="3069" max="3072" width="9.7109375" style="288" bestFit="1" customWidth="1"/>
    <col min="3073" max="3314" width="9.140625" style="288" customWidth="1"/>
    <col min="3315" max="3315" width="3.7109375" style="288" customWidth="1"/>
    <col min="3316" max="3316" width="4.421875" style="288" customWidth="1"/>
    <col min="3317" max="3317" width="4.28125" style="288" customWidth="1"/>
    <col min="3318" max="3318" width="58.7109375" style="288" customWidth="1"/>
    <col min="3319" max="3319" width="11.28125" style="288" customWidth="1"/>
    <col min="3320" max="3320" width="10.00390625" style="288" customWidth="1"/>
    <col min="3321" max="3321" width="10.421875" style="288" customWidth="1"/>
    <col min="3322" max="3322" width="9.7109375" style="288" bestFit="1" customWidth="1"/>
    <col min="3323" max="3323" width="9.57421875" style="288" customWidth="1"/>
    <col min="3324" max="3324" width="9.140625" style="288" customWidth="1"/>
    <col min="3325" max="3328" width="9.7109375" style="288" bestFit="1" customWidth="1"/>
    <col min="3329" max="3570" width="9.140625" style="288" customWidth="1"/>
    <col min="3571" max="3571" width="3.7109375" style="288" customWidth="1"/>
    <col min="3572" max="3572" width="4.421875" style="288" customWidth="1"/>
    <col min="3573" max="3573" width="4.28125" style="288" customWidth="1"/>
    <col min="3574" max="3574" width="58.7109375" style="288" customWidth="1"/>
    <col min="3575" max="3575" width="11.28125" style="288" customWidth="1"/>
    <col min="3576" max="3576" width="10.00390625" style="288" customWidth="1"/>
    <col min="3577" max="3577" width="10.421875" style="288" customWidth="1"/>
    <col min="3578" max="3578" width="9.7109375" style="288" bestFit="1" customWidth="1"/>
    <col min="3579" max="3579" width="9.57421875" style="288" customWidth="1"/>
    <col min="3580" max="3580" width="9.140625" style="288" customWidth="1"/>
    <col min="3581" max="3584" width="9.7109375" style="288" bestFit="1" customWidth="1"/>
    <col min="3585" max="3826" width="9.140625" style="288" customWidth="1"/>
    <col min="3827" max="3827" width="3.7109375" style="288" customWidth="1"/>
    <col min="3828" max="3828" width="4.421875" style="288" customWidth="1"/>
    <col min="3829" max="3829" width="4.28125" style="288" customWidth="1"/>
    <col min="3830" max="3830" width="58.7109375" style="288" customWidth="1"/>
    <col min="3831" max="3831" width="11.28125" style="288" customWidth="1"/>
    <col min="3832" max="3832" width="10.00390625" style="288" customWidth="1"/>
    <col min="3833" max="3833" width="10.421875" style="288" customWidth="1"/>
    <col min="3834" max="3834" width="9.7109375" style="288" bestFit="1" customWidth="1"/>
    <col min="3835" max="3835" width="9.57421875" style="288" customWidth="1"/>
    <col min="3836" max="3836" width="9.140625" style="288" customWidth="1"/>
    <col min="3837" max="3840" width="9.7109375" style="288" bestFit="1" customWidth="1"/>
    <col min="3841" max="4082" width="9.140625" style="288" customWidth="1"/>
    <col min="4083" max="4083" width="3.7109375" style="288" customWidth="1"/>
    <col min="4084" max="4084" width="4.421875" style="288" customWidth="1"/>
    <col min="4085" max="4085" width="4.28125" style="288" customWidth="1"/>
    <col min="4086" max="4086" width="58.7109375" style="288" customWidth="1"/>
    <col min="4087" max="4087" width="11.28125" style="288" customWidth="1"/>
    <col min="4088" max="4088" width="10.00390625" style="288" customWidth="1"/>
    <col min="4089" max="4089" width="10.421875" style="288" customWidth="1"/>
    <col min="4090" max="4090" width="9.7109375" style="288" bestFit="1" customWidth="1"/>
    <col min="4091" max="4091" width="9.57421875" style="288" customWidth="1"/>
    <col min="4092" max="4092" width="9.140625" style="288" customWidth="1"/>
    <col min="4093" max="4096" width="9.7109375" style="288" bestFit="1" customWidth="1"/>
    <col min="4097" max="4338" width="9.140625" style="288" customWidth="1"/>
    <col min="4339" max="4339" width="3.7109375" style="288" customWidth="1"/>
    <col min="4340" max="4340" width="4.421875" style="288" customWidth="1"/>
    <col min="4341" max="4341" width="4.28125" style="288" customWidth="1"/>
    <col min="4342" max="4342" width="58.7109375" style="288" customWidth="1"/>
    <col min="4343" max="4343" width="11.28125" style="288" customWidth="1"/>
    <col min="4344" max="4344" width="10.00390625" style="288" customWidth="1"/>
    <col min="4345" max="4345" width="10.421875" style="288" customWidth="1"/>
    <col min="4346" max="4346" width="9.7109375" style="288" bestFit="1" customWidth="1"/>
    <col min="4347" max="4347" width="9.57421875" style="288" customWidth="1"/>
    <col min="4348" max="4348" width="9.140625" style="288" customWidth="1"/>
    <col min="4349" max="4352" width="9.7109375" style="288" bestFit="1" customWidth="1"/>
    <col min="4353" max="4594" width="9.140625" style="288" customWidth="1"/>
    <col min="4595" max="4595" width="3.7109375" style="288" customWidth="1"/>
    <col min="4596" max="4596" width="4.421875" style="288" customWidth="1"/>
    <col min="4597" max="4597" width="4.28125" style="288" customWidth="1"/>
    <col min="4598" max="4598" width="58.7109375" style="288" customWidth="1"/>
    <col min="4599" max="4599" width="11.28125" style="288" customWidth="1"/>
    <col min="4600" max="4600" width="10.00390625" style="288" customWidth="1"/>
    <col min="4601" max="4601" width="10.421875" style="288" customWidth="1"/>
    <col min="4602" max="4602" width="9.7109375" style="288" bestFit="1" customWidth="1"/>
    <col min="4603" max="4603" width="9.57421875" style="288" customWidth="1"/>
    <col min="4604" max="4604" width="9.140625" style="288" customWidth="1"/>
    <col min="4605" max="4608" width="9.7109375" style="288" bestFit="1" customWidth="1"/>
    <col min="4609" max="4850" width="9.140625" style="288" customWidth="1"/>
    <col min="4851" max="4851" width="3.7109375" style="288" customWidth="1"/>
    <col min="4852" max="4852" width="4.421875" style="288" customWidth="1"/>
    <col min="4853" max="4853" width="4.28125" style="288" customWidth="1"/>
    <col min="4854" max="4854" width="58.7109375" style="288" customWidth="1"/>
    <col min="4855" max="4855" width="11.28125" style="288" customWidth="1"/>
    <col min="4856" max="4856" width="10.00390625" style="288" customWidth="1"/>
    <col min="4857" max="4857" width="10.421875" style="288" customWidth="1"/>
    <col min="4858" max="4858" width="9.7109375" style="288" bestFit="1" customWidth="1"/>
    <col min="4859" max="4859" width="9.57421875" style="288" customWidth="1"/>
    <col min="4860" max="4860" width="9.140625" style="288" customWidth="1"/>
    <col min="4861" max="4864" width="9.7109375" style="288" bestFit="1" customWidth="1"/>
    <col min="4865" max="5106" width="9.140625" style="288" customWidth="1"/>
    <col min="5107" max="5107" width="3.7109375" style="288" customWidth="1"/>
    <col min="5108" max="5108" width="4.421875" style="288" customWidth="1"/>
    <col min="5109" max="5109" width="4.28125" style="288" customWidth="1"/>
    <col min="5110" max="5110" width="58.7109375" style="288" customWidth="1"/>
    <col min="5111" max="5111" width="11.28125" style="288" customWidth="1"/>
    <col min="5112" max="5112" width="10.00390625" style="288" customWidth="1"/>
    <col min="5113" max="5113" width="10.421875" style="288" customWidth="1"/>
    <col min="5114" max="5114" width="9.7109375" style="288" bestFit="1" customWidth="1"/>
    <col min="5115" max="5115" width="9.57421875" style="288" customWidth="1"/>
    <col min="5116" max="5116" width="9.140625" style="288" customWidth="1"/>
    <col min="5117" max="5120" width="9.7109375" style="288" bestFit="1" customWidth="1"/>
    <col min="5121" max="5362" width="9.140625" style="288" customWidth="1"/>
    <col min="5363" max="5363" width="3.7109375" style="288" customWidth="1"/>
    <col min="5364" max="5364" width="4.421875" style="288" customWidth="1"/>
    <col min="5365" max="5365" width="4.28125" style="288" customWidth="1"/>
    <col min="5366" max="5366" width="58.7109375" style="288" customWidth="1"/>
    <col min="5367" max="5367" width="11.28125" style="288" customWidth="1"/>
    <col min="5368" max="5368" width="10.00390625" style="288" customWidth="1"/>
    <col min="5369" max="5369" width="10.421875" style="288" customWidth="1"/>
    <col min="5370" max="5370" width="9.7109375" style="288" bestFit="1" customWidth="1"/>
    <col min="5371" max="5371" width="9.57421875" style="288" customWidth="1"/>
    <col min="5372" max="5372" width="9.140625" style="288" customWidth="1"/>
    <col min="5373" max="5376" width="9.7109375" style="288" bestFit="1" customWidth="1"/>
    <col min="5377" max="5618" width="9.140625" style="288" customWidth="1"/>
    <col min="5619" max="5619" width="3.7109375" style="288" customWidth="1"/>
    <col min="5620" max="5620" width="4.421875" style="288" customWidth="1"/>
    <col min="5621" max="5621" width="4.28125" style="288" customWidth="1"/>
    <col min="5622" max="5622" width="58.7109375" style="288" customWidth="1"/>
    <col min="5623" max="5623" width="11.28125" style="288" customWidth="1"/>
    <col min="5624" max="5624" width="10.00390625" style="288" customWidth="1"/>
    <col min="5625" max="5625" width="10.421875" style="288" customWidth="1"/>
    <col min="5626" max="5626" width="9.7109375" style="288" bestFit="1" customWidth="1"/>
    <col min="5627" max="5627" width="9.57421875" style="288" customWidth="1"/>
    <col min="5628" max="5628" width="9.140625" style="288" customWidth="1"/>
    <col min="5629" max="5632" width="9.7109375" style="288" bestFit="1" customWidth="1"/>
    <col min="5633" max="5874" width="9.140625" style="288" customWidth="1"/>
    <col min="5875" max="5875" width="3.7109375" style="288" customWidth="1"/>
    <col min="5876" max="5876" width="4.421875" style="288" customWidth="1"/>
    <col min="5877" max="5877" width="4.28125" style="288" customWidth="1"/>
    <col min="5878" max="5878" width="58.7109375" style="288" customWidth="1"/>
    <col min="5879" max="5879" width="11.28125" style="288" customWidth="1"/>
    <col min="5880" max="5880" width="10.00390625" style="288" customWidth="1"/>
    <col min="5881" max="5881" width="10.421875" style="288" customWidth="1"/>
    <col min="5882" max="5882" width="9.7109375" style="288" bestFit="1" customWidth="1"/>
    <col min="5883" max="5883" width="9.57421875" style="288" customWidth="1"/>
    <col min="5884" max="5884" width="9.140625" style="288" customWidth="1"/>
    <col min="5885" max="5888" width="9.7109375" style="288" bestFit="1" customWidth="1"/>
    <col min="5889" max="6130" width="9.140625" style="288" customWidth="1"/>
    <col min="6131" max="6131" width="3.7109375" style="288" customWidth="1"/>
    <col min="6132" max="6132" width="4.421875" style="288" customWidth="1"/>
    <col min="6133" max="6133" width="4.28125" style="288" customWidth="1"/>
    <col min="6134" max="6134" width="58.7109375" style="288" customWidth="1"/>
    <col min="6135" max="6135" width="11.28125" style="288" customWidth="1"/>
    <col min="6136" max="6136" width="10.00390625" style="288" customWidth="1"/>
    <col min="6137" max="6137" width="10.421875" style="288" customWidth="1"/>
    <col min="6138" max="6138" width="9.7109375" style="288" bestFit="1" customWidth="1"/>
    <col min="6139" max="6139" width="9.57421875" style="288" customWidth="1"/>
    <col min="6140" max="6140" width="9.140625" style="288" customWidth="1"/>
    <col min="6141" max="6144" width="9.7109375" style="288" bestFit="1" customWidth="1"/>
    <col min="6145" max="6386" width="9.140625" style="288" customWidth="1"/>
    <col min="6387" max="6387" width="3.7109375" style="288" customWidth="1"/>
    <col min="6388" max="6388" width="4.421875" style="288" customWidth="1"/>
    <col min="6389" max="6389" width="4.28125" style="288" customWidth="1"/>
    <col min="6390" max="6390" width="58.7109375" style="288" customWidth="1"/>
    <col min="6391" max="6391" width="11.28125" style="288" customWidth="1"/>
    <col min="6392" max="6392" width="10.00390625" style="288" customWidth="1"/>
    <col min="6393" max="6393" width="10.421875" style="288" customWidth="1"/>
    <col min="6394" max="6394" width="9.7109375" style="288" bestFit="1" customWidth="1"/>
    <col min="6395" max="6395" width="9.57421875" style="288" customWidth="1"/>
    <col min="6396" max="6396" width="9.140625" style="288" customWidth="1"/>
    <col min="6397" max="6400" width="9.7109375" style="288" bestFit="1" customWidth="1"/>
    <col min="6401" max="6642" width="9.140625" style="288" customWidth="1"/>
    <col min="6643" max="6643" width="3.7109375" style="288" customWidth="1"/>
    <col min="6644" max="6644" width="4.421875" style="288" customWidth="1"/>
    <col min="6645" max="6645" width="4.28125" style="288" customWidth="1"/>
    <col min="6646" max="6646" width="58.7109375" style="288" customWidth="1"/>
    <col min="6647" max="6647" width="11.28125" style="288" customWidth="1"/>
    <col min="6648" max="6648" width="10.00390625" style="288" customWidth="1"/>
    <col min="6649" max="6649" width="10.421875" style="288" customWidth="1"/>
    <col min="6650" max="6650" width="9.7109375" style="288" bestFit="1" customWidth="1"/>
    <col min="6651" max="6651" width="9.57421875" style="288" customWidth="1"/>
    <col min="6652" max="6652" width="9.140625" style="288" customWidth="1"/>
    <col min="6653" max="6656" width="9.7109375" style="288" bestFit="1" customWidth="1"/>
    <col min="6657" max="6898" width="9.140625" style="288" customWidth="1"/>
    <col min="6899" max="6899" width="3.7109375" style="288" customWidth="1"/>
    <col min="6900" max="6900" width="4.421875" style="288" customWidth="1"/>
    <col min="6901" max="6901" width="4.28125" style="288" customWidth="1"/>
    <col min="6902" max="6902" width="58.7109375" style="288" customWidth="1"/>
    <col min="6903" max="6903" width="11.28125" style="288" customWidth="1"/>
    <col min="6904" max="6904" width="10.00390625" style="288" customWidth="1"/>
    <col min="6905" max="6905" width="10.421875" style="288" customWidth="1"/>
    <col min="6906" max="6906" width="9.7109375" style="288" bestFit="1" customWidth="1"/>
    <col min="6907" max="6907" width="9.57421875" style="288" customWidth="1"/>
    <col min="6908" max="6908" width="9.140625" style="288" customWidth="1"/>
    <col min="6909" max="6912" width="9.7109375" style="288" bestFit="1" customWidth="1"/>
    <col min="6913" max="7154" width="9.140625" style="288" customWidth="1"/>
    <col min="7155" max="7155" width="3.7109375" style="288" customWidth="1"/>
    <col min="7156" max="7156" width="4.421875" style="288" customWidth="1"/>
    <col min="7157" max="7157" width="4.28125" style="288" customWidth="1"/>
    <col min="7158" max="7158" width="58.7109375" style="288" customWidth="1"/>
    <col min="7159" max="7159" width="11.28125" style="288" customWidth="1"/>
    <col min="7160" max="7160" width="10.00390625" style="288" customWidth="1"/>
    <col min="7161" max="7161" width="10.421875" style="288" customWidth="1"/>
    <col min="7162" max="7162" width="9.7109375" style="288" bestFit="1" customWidth="1"/>
    <col min="7163" max="7163" width="9.57421875" style="288" customWidth="1"/>
    <col min="7164" max="7164" width="9.140625" style="288" customWidth="1"/>
    <col min="7165" max="7168" width="9.7109375" style="288" bestFit="1" customWidth="1"/>
    <col min="7169" max="7410" width="9.140625" style="288" customWidth="1"/>
    <col min="7411" max="7411" width="3.7109375" style="288" customWidth="1"/>
    <col min="7412" max="7412" width="4.421875" style="288" customWidth="1"/>
    <col min="7413" max="7413" width="4.28125" style="288" customWidth="1"/>
    <col min="7414" max="7414" width="58.7109375" style="288" customWidth="1"/>
    <col min="7415" max="7415" width="11.28125" style="288" customWidth="1"/>
    <col min="7416" max="7416" width="10.00390625" style="288" customWidth="1"/>
    <col min="7417" max="7417" width="10.421875" style="288" customWidth="1"/>
    <col min="7418" max="7418" width="9.7109375" style="288" bestFit="1" customWidth="1"/>
    <col min="7419" max="7419" width="9.57421875" style="288" customWidth="1"/>
    <col min="7420" max="7420" width="9.140625" style="288" customWidth="1"/>
    <col min="7421" max="7424" width="9.7109375" style="288" bestFit="1" customWidth="1"/>
    <col min="7425" max="7666" width="9.140625" style="288" customWidth="1"/>
    <col min="7667" max="7667" width="3.7109375" style="288" customWidth="1"/>
    <col min="7668" max="7668" width="4.421875" style="288" customWidth="1"/>
    <col min="7669" max="7669" width="4.28125" style="288" customWidth="1"/>
    <col min="7670" max="7670" width="58.7109375" style="288" customWidth="1"/>
    <col min="7671" max="7671" width="11.28125" style="288" customWidth="1"/>
    <col min="7672" max="7672" width="10.00390625" style="288" customWidth="1"/>
    <col min="7673" max="7673" width="10.421875" style="288" customWidth="1"/>
    <col min="7674" max="7674" width="9.7109375" style="288" bestFit="1" customWidth="1"/>
    <col min="7675" max="7675" width="9.57421875" style="288" customWidth="1"/>
    <col min="7676" max="7676" width="9.140625" style="288" customWidth="1"/>
    <col min="7677" max="7680" width="9.7109375" style="288" bestFit="1" customWidth="1"/>
    <col min="7681" max="7922" width="9.140625" style="288" customWidth="1"/>
    <col min="7923" max="7923" width="3.7109375" style="288" customWidth="1"/>
    <col min="7924" max="7924" width="4.421875" style="288" customWidth="1"/>
    <col min="7925" max="7925" width="4.28125" style="288" customWidth="1"/>
    <col min="7926" max="7926" width="58.7109375" style="288" customWidth="1"/>
    <col min="7927" max="7927" width="11.28125" style="288" customWidth="1"/>
    <col min="7928" max="7928" width="10.00390625" style="288" customWidth="1"/>
    <col min="7929" max="7929" width="10.421875" style="288" customWidth="1"/>
    <col min="7930" max="7930" width="9.7109375" style="288" bestFit="1" customWidth="1"/>
    <col min="7931" max="7931" width="9.57421875" style="288" customWidth="1"/>
    <col min="7932" max="7932" width="9.140625" style="288" customWidth="1"/>
    <col min="7933" max="7936" width="9.7109375" style="288" bestFit="1" customWidth="1"/>
    <col min="7937" max="8178" width="9.140625" style="288" customWidth="1"/>
    <col min="8179" max="8179" width="3.7109375" style="288" customWidth="1"/>
    <col min="8180" max="8180" width="4.421875" style="288" customWidth="1"/>
    <col min="8181" max="8181" width="4.28125" style="288" customWidth="1"/>
    <col min="8182" max="8182" width="58.7109375" style="288" customWidth="1"/>
    <col min="8183" max="8183" width="11.28125" style="288" customWidth="1"/>
    <col min="8184" max="8184" width="10.00390625" style="288" customWidth="1"/>
    <col min="8185" max="8185" width="10.421875" style="288" customWidth="1"/>
    <col min="8186" max="8186" width="9.7109375" style="288" bestFit="1" customWidth="1"/>
    <col min="8187" max="8187" width="9.57421875" style="288" customWidth="1"/>
    <col min="8188" max="8188" width="9.140625" style="288" customWidth="1"/>
    <col min="8189" max="8192" width="9.7109375" style="288" bestFit="1" customWidth="1"/>
    <col min="8193" max="8434" width="9.140625" style="288" customWidth="1"/>
    <col min="8435" max="8435" width="3.7109375" style="288" customWidth="1"/>
    <col min="8436" max="8436" width="4.421875" style="288" customWidth="1"/>
    <col min="8437" max="8437" width="4.28125" style="288" customWidth="1"/>
    <col min="8438" max="8438" width="58.7109375" style="288" customWidth="1"/>
    <col min="8439" max="8439" width="11.28125" style="288" customWidth="1"/>
    <col min="8440" max="8440" width="10.00390625" style="288" customWidth="1"/>
    <col min="8441" max="8441" width="10.421875" style="288" customWidth="1"/>
    <col min="8442" max="8442" width="9.7109375" style="288" bestFit="1" customWidth="1"/>
    <col min="8443" max="8443" width="9.57421875" style="288" customWidth="1"/>
    <col min="8444" max="8444" width="9.140625" style="288" customWidth="1"/>
    <col min="8445" max="8448" width="9.7109375" style="288" bestFit="1" customWidth="1"/>
    <col min="8449" max="8690" width="9.140625" style="288" customWidth="1"/>
    <col min="8691" max="8691" width="3.7109375" style="288" customWidth="1"/>
    <col min="8692" max="8692" width="4.421875" style="288" customWidth="1"/>
    <col min="8693" max="8693" width="4.28125" style="288" customWidth="1"/>
    <col min="8694" max="8694" width="58.7109375" style="288" customWidth="1"/>
    <col min="8695" max="8695" width="11.28125" style="288" customWidth="1"/>
    <col min="8696" max="8696" width="10.00390625" style="288" customWidth="1"/>
    <col min="8697" max="8697" width="10.421875" style="288" customWidth="1"/>
    <col min="8698" max="8698" width="9.7109375" style="288" bestFit="1" customWidth="1"/>
    <col min="8699" max="8699" width="9.57421875" style="288" customWidth="1"/>
    <col min="8700" max="8700" width="9.140625" style="288" customWidth="1"/>
    <col min="8701" max="8704" width="9.7109375" style="288" bestFit="1" customWidth="1"/>
    <col min="8705" max="8946" width="9.140625" style="288" customWidth="1"/>
    <col min="8947" max="8947" width="3.7109375" style="288" customWidth="1"/>
    <col min="8948" max="8948" width="4.421875" style="288" customWidth="1"/>
    <col min="8949" max="8949" width="4.28125" style="288" customWidth="1"/>
    <col min="8950" max="8950" width="58.7109375" style="288" customWidth="1"/>
    <col min="8951" max="8951" width="11.28125" style="288" customWidth="1"/>
    <col min="8952" max="8952" width="10.00390625" style="288" customWidth="1"/>
    <col min="8953" max="8953" width="10.421875" style="288" customWidth="1"/>
    <col min="8954" max="8954" width="9.7109375" style="288" bestFit="1" customWidth="1"/>
    <col min="8955" max="8955" width="9.57421875" style="288" customWidth="1"/>
    <col min="8956" max="8956" width="9.140625" style="288" customWidth="1"/>
    <col min="8957" max="8960" width="9.7109375" style="288" bestFit="1" customWidth="1"/>
    <col min="8961" max="9202" width="9.140625" style="288" customWidth="1"/>
    <col min="9203" max="9203" width="3.7109375" style="288" customWidth="1"/>
    <col min="9204" max="9204" width="4.421875" style="288" customWidth="1"/>
    <col min="9205" max="9205" width="4.28125" style="288" customWidth="1"/>
    <col min="9206" max="9206" width="58.7109375" style="288" customWidth="1"/>
    <col min="9207" max="9207" width="11.28125" style="288" customWidth="1"/>
    <col min="9208" max="9208" width="10.00390625" style="288" customWidth="1"/>
    <col min="9209" max="9209" width="10.421875" style="288" customWidth="1"/>
    <col min="9210" max="9210" width="9.7109375" style="288" bestFit="1" customWidth="1"/>
    <col min="9211" max="9211" width="9.57421875" style="288" customWidth="1"/>
    <col min="9212" max="9212" width="9.140625" style="288" customWidth="1"/>
    <col min="9213" max="9216" width="9.7109375" style="288" bestFit="1" customWidth="1"/>
    <col min="9217" max="9458" width="9.140625" style="288" customWidth="1"/>
    <col min="9459" max="9459" width="3.7109375" style="288" customWidth="1"/>
    <col min="9460" max="9460" width="4.421875" style="288" customWidth="1"/>
    <col min="9461" max="9461" width="4.28125" style="288" customWidth="1"/>
    <col min="9462" max="9462" width="58.7109375" style="288" customWidth="1"/>
    <col min="9463" max="9463" width="11.28125" style="288" customWidth="1"/>
    <col min="9464" max="9464" width="10.00390625" style="288" customWidth="1"/>
    <col min="9465" max="9465" width="10.421875" style="288" customWidth="1"/>
    <col min="9466" max="9466" width="9.7109375" style="288" bestFit="1" customWidth="1"/>
    <col min="9467" max="9467" width="9.57421875" style="288" customWidth="1"/>
    <col min="9468" max="9468" width="9.140625" style="288" customWidth="1"/>
    <col min="9469" max="9472" width="9.7109375" style="288" bestFit="1" customWidth="1"/>
    <col min="9473" max="9714" width="9.140625" style="288" customWidth="1"/>
    <col min="9715" max="9715" width="3.7109375" style="288" customWidth="1"/>
    <col min="9716" max="9716" width="4.421875" style="288" customWidth="1"/>
    <col min="9717" max="9717" width="4.28125" style="288" customWidth="1"/>
    <col min="9718" max="9718" width="58.7109375" style="288" customWidth="1"/>
    <col min="9719" max="9719" width="11.28125" style="288" customWidth="1"/>
    <col min="9720" max="9720" width="10.00390625" style="288" customWidth="1"/>
    <col min="9721" max="9721" width="10.421875" style="288" customWidth="1"/>
    <col min="9722" max="9722" width="9.7109375" style="288" bestFit="1" customWidth="1"/>
    <col min="9723" max="9723" width="9.57421875" style="288" customWidth="1"/>
    <col min="9724" max="9724" width="9.140625" style="288" customWidth="1"/>
    <col min="9725" max="9728" width="9.7109375" style="288" bestFit="1" customWidth="1"/>
    <col min="9729" max="9970" width="9.140625" style="288" customWidth="1"/>
    <col min="9971" max="9971" width="3.7109375" style="288" customWidth="1"/>
    <col min="9972" max="9972" width="4.421875" style="288" customWidth="1"/>
    <col min="9973" max="9973" width="4.28125" style="288" customWidth="1"/>
    <col min="9974" max="9974" width="58.7109375" style="288" customWidth="1"/>
    <col min="9975" max="9975" width="11.28125" style="288" customWidth="1"/>
    <col min="9976" max="9976" width="10.00390625" style="288" customWidth="1"/>
    <col min="9977" max="9977" width="10.421875" style="288" customWidth="1"/>
    <col min="9978" max="9978" width="9.7109375" style="288" bestFit="1" customWidth="1"/>
    <col min="9979" max="9979" width="9.57421875" style="288" customWidth="1"/>
    <col min="9980" max="9980" width="9.140625" style="288" customWidth="1"/>
    <col min="9981" max="9984" width="9.7109375" style="288" bestFit="1" customWidth="1"/>
    <col min="9985" max="10226" width="9.140625" style="288" customWidth="1"/>
    <col min="10227" max="10227" width="3.7109375" style="288" customWidth="1"/>
    <col min="10228" max="10228" width="4.421875" style="288" customWidth="1"/>
    <col min="10229" max="10229" width="4.28125" style="288" customWidth="1"/>
    <col min="10230" max="10230" width="58.7109375" style="288" customWidth="1"/>
    <col min="10231" max="10231" width="11.28125" style="288" customWidth="1"/>
    <col min="10232" max="10232" width="10.00390625" style="288" customWidth="1"/>
    <col min="10233" max="10233" width="10.421875" style="288" customWidth="1"/>
    <col min="10234" max="10234" width="9.7109375" style="288" bestFit="1" customWidth="1"/>
    <col min="10235" max="10235" width="9.57421875" style="288" customWidth="1"/>
    <col min="10236" max="10236" width="9.140625" style="288" customWidth="1"/>
    <col min="10237" max="10240" width="9.7109375" style="288" bestFit="1" customWidth="1"/>
    <col min="10241" max="10482" width="9.140625" style="288" customWidth="1"/>
    <col min="10483" max="10483" width="3.7109375" style="288" customWidth="1"/>
    <col min="10484" max="10484" width="4.421875" style="288" customWidth="1"/>
    <col min="10485" max="10485" width="4.28125" style="288" customWidth="1"/>
    <col min="10486" max="10486" width="58.7109375" style="288" customWidth="1"/>
    <col min="10487" max="10487" width="11.28125" style="288" customWidth="1"/>
    <col min="10488" max="10488" width="10.00390625" style="288" customWidth="1"/>
    <col min="10489" max="10489" width="10.421875" style="288" customWidth="1"/>
    <col min="10490" max="10490" width="9.7109375" style="288" bestFit="1" customWidth="1"/>
    <col min="10491" max="10491" width="9.57421875" style="288" customWidth="1"/>
    <col min="10492" max="10492" width="9.140625" style="288" customWidth="1"/>
    <col min="10493" max="10496" width="9.7109375" style="288" bestFit="1" customWidth="1"/>
    <col min="10497" max="10738" width="9.140625" style="288" customWidth="1"/>
    <col min="10739" max="10739" width="3.7109375" style="288" customWidth="1"/>
    <col min="10740" max="10740" width="4.421875" style="288" customWidth="1"/>
    <col min="10741" max="10741" width="4.28125" style="288" customWidth="1"/>
    <col min="10742" max="10742" width="58.7109375" style="288" customWidth="1"/>
    <col min="10743" max="10743" width="11.28125" style="288" customWidth="1"/>
    <col min="10744" max="10744" width="10.00390625" style="288" customWidth="1"/>
    <col min="10745" max="10745" width="10.421875" style="288" customWidth="1"/>
    <col min="10746" max="10746" width="9.7109375" style="288" bestFit="1" customWidth="1"/>
    <col min="10747" max="10747" width="9.57421875" style="288" customWidth="1"/>
    <col min="10748" max="10748" width="9.140625" style="288" customWidth="1"/>
    <col min="10749" max="10752" width="9.7109375" style="288" bestFit="1" customWidth="1"/>
    <col min="10753" max="10994" width="9.140625" style="288" customWidth="1"/>
    <col min="10995" max="10995" width="3.7109375" style="288" customWidth="1"/>
    <col min="10996" max="10996" width="4.421875" style="288" customWidth="1"/>
    <col min="10997" max="10997" width="4.28125" style="288" customWidth="1"/>
    <col min="10998" max="10998" width="58.7109375" style="288" customWidth="1"/>
    <col min="10999" max="10999" width="11.28125" style="288" customWidth="1"/>
    <col min="11000" max="11000" width="10.00390625" style="288" customWidth="1"/>
    <col min="11001" max="11001" width="10.421875" style="288" customWidth="1"/>
    <col min="11002" max="11002" width="9.7109375" style="288" bestFit="1" customWidth="1"/>
    <col min="11003" max="11003" width="9.57421875" style="288" customWidth="1"/>
    <col min="11004" max="11004" width="9.140625" style="288" customWidth="1"/>
    <col min="11005" max="11008" width="9.7109375" style="288" bestFit="1" customWidth="1"/>
    <col min="11009" max="11250" width="9.140625" style="288" customWidth="1"/>
    <col min="11251" max="11251" width="3.7109375" style="288" customWidth="1"/>
    <col min="11252" max="11252" width="4.421875" style="288" customWidth="1"/>
    <col min="11253" max="11253" width="4.28125" style="288" customWidth="1"/>
    <col min="11254" max="11254" width="58.7109375" style="288" customWidth="1"/>
    <col min="11255" max="11255" width="11.28125" style="288" customWidth="1"/>
    <col min="11256" max="11256" width="10.00390625" style="288" customWidth="1"/>
    <col min="11257" max="11257" width="10.421875" style="288" customWidth="1"/>
    <col min="11258" max="11258" width="9.7109375" style="288" bestFit="1" customWidth="1"/>
    <col min="11259" max="11259" width="9.57421875" style="288" customWidth="1"/>
    <col min="11260" max="11260" width="9.140625" style="288" customWidth="1"/>
    <col min="11261" max="11264" width="9.7109375" style="288" bestFit="1" customWidth="1"/>
    <col min="11265" max="11506" width="9.140625" style="288" customWidth="1"/>
    <col min="11507" max="11507" width="3.7109375" style="288" customWidth="1"/>
    <col min="11508" max="11508" width="4.421875" style="288" customWidth="1"/>
    <col min="11509" max="11509" width="4.28125" style="288" customWidth="1"/>
    <col min="11510" max="11510" width="58.7109375" style="288" customWidth="1"/>
    <col min="11511" max="11511" width="11.28125" style="288" customWidth="1"/>
    <col min="11512" max="11512" width="10.00390625" style="288" customWidth="1"/>
    <col min="11513" max="11513" width="10.421875" style="288" customWidth="1"/>
    <col min="11514" max="11514" width="9.7109375" style="288" bestFit="1" customWidth="1"/>
    <col min="11515" max="11515" width="9.57421875" style="288" customWidth="1"/>
    <col min="11516" max="11516" width="9.140625" style="288" customWidth="1"/>
    <col min="11517" max="11520" width="9.7109375" style="288" bestFit="1" customWidth="1"/>
    <col min="11521" max="11762" width="9.140625" style="288" customWidth="1"/>
    <col min="11763" max="11763" width="3.7109375" style="288" customWidth="1"/>
    <col min="11764" max="11764" width="4.421875" style="288" customWidth="1"/>
    <col min="11765" max="11765" width="4.28125" style="288" customWidth="1"/>
    <col min="11766" max="11766" width="58.7109375" style="288" customWidth="1"/>
    <col min="11767" max="11767" width="11.28125" style="288" customWidth="1"/>
    <col min="11768" max="11768" width="10.00390625" style="288" customWidth="1"/>
    <col min="11769" max="11769" width="10.421875" style="288" customWidth="1"/>
    <col min="11770" max="11770" width="9.7109375" style="288" bestFit="1" customWidth="1"/>
    <col min="11771" max="11771" width="9.57421875" style="288" customWidth="1"/>
    <col min="11772" max="11772" width="9.140625" style="288" customWidth="1"/>
    <col min="11773" max="11776" width="9.7109375" style="288" bestFit="1" customWidth="1"/>
    <col min="11777" max="12018" width="9.140625" style="288" customWidth="1"/>
    <col min="12019" max="12019" width="3.7109375" style="288" customWidth="1"/>
    <col min="12020" max="12020" width="4.421875" style="288" customWidth="1"/>
    <col min="12021" max="12021" width="4.28125" style="288" customWidth="1"/>
    <col min="12022" max="12022" width="58.7109375" style="288" customWidth="1"/>
    <col min="12023" max="12023" width="11.28125" style="288" customWidth="1"/>
    <col min="12024" max="12024" width="10.00390625" style="288" customWidth="1"/>
    <col min="12025" max="12025" width="10.421875" style="288" customWidth="1"/>
    <col min="12026" max="12026" width="9.7109375" style="288" bestFit="1" customWidth="1"/>
    <col min="12027" max="12027" width="9.57421875" style="288" customWidth="1"/>
    <col min="12028" max="12028" width="9.140625" style="288" customWidth="1"/>
    <col min="12029" max="12032" width="9.7109375" style="288" bestFit="1" customWidth="1"/>
    <col min="12033" max="12274" width="9.140625" style="288" customWidth="1"/>
    <col min="12275" max="12275" width="3.7109375" style="288" customWidth="1"/>
    <col min="12276" max="12276" width="4.421875" style="288" customWidth="1"/>
    <col min="12277" max="12277" width="4.28125" style="288" customWidth="1"/>
    <col min="12278" max="12278" width="58.7109375" style="288" customWidth="1"/>
    <col min="12279" max="12279" width="11.28125" style="288" customWidth="1"/>
    <col min="12280" max="12280" width="10.00390625" style="288" customWidth="1"/>
    <col min="12281" max="12281" width="10.421875" style="288" customWidth="1"/>
    <col min="12282" max="12282" width="9.7109375" style="288" bestFit="1" customWidth="1"/>
    <col min="12283" max="12283" width="9.57421875" style="288" customWidth="1"/>
    <col min="12284" max="12284" width="9.140625" style="288" customWidth="1"/>
    <col min="12285" max="12288" width="9.7109375" style="288" bestFit="1" customWidth="1"/>
    <col min="12289" max="12530" width="9.140625" style="288" customWidth="1"/>
    <col min="12531" max="12531" width="3.7109375" style="288" customWidth="1"/>
    <col min="12532" max="12532" width="4.421875" style="288" customWidth="1"/>
    <col min="12533" max="12533" width="4.28125" style="288" customWidth="1"/>
    <col min="12534" max="12534" width="58.7109375" style="288" customWidth="1"/>
    <col min="12535" max="12535" width="11.28125" style="288" customWidth="1"/>
    <col min="12536" max="12536" width="10.00390625" style="288" customWidth="1"/>
    <col min="12537" max="12537" width="10.421875" style="288" customWidth="1"/>
    <col min="12538" max="12538" width="9.7109375" style="288" bestFit="1" customWidth="1"/>
    <col min="12539" max="12539" width="9.57421875" style="288" customWidth="1"/>
    <col min="12540" max="12540" width="9.140625" style="288" customWidth="1"/>
    <col min="12541" max="12544" width="9.7109375" style="288" bestFit="1" customWidth="1"/>
    <col min="12545" max="12786" width="9.140625" style="288" customWidth="1"/>
    <col min="12787" max="12787" width="3.7109375" style="288" customWidth="1"/>
    <col min="12788" max="12788" width="4.421875" style="288" customWidth="1"/>
    <col min="12789" max="12789" width="4.28125" style="288" customWidth="1"/>
    <col min="12790" max="12790" width="58.7109375" style="288" customWidth="1"/>
    <col min="12791" max="12791" width="11.28125" style="288" customWidth="1"/>
    <col min="12792" max="12792" width="10.00390625" style="288" customWidth="1"/>
    <col min="12793" max="12793" width="10.421875" style="288" customWidth="1"/>
    <col min="12794" max="12794" width="9.7109375" style="288" bestFit="1" customWidth="1"/>
    <col min="12795" max="12795" width="9.57421875" style="288" customWidth="1"/>
    <col min="12796" max="12796" width="9.140625" style="288" customWidth="1"/>
    <col min="12797" max="12800" width="9.7109375" style="288" bestFit="1" customWidth="1"/>
    <col min="12801" max="13042" width="9.140625" style="288" customWidth="1"/>
    <col min="13043" max="13043" width="3.7109375" style="288" customWidth="1"/>
    <col min="13044" max="13044" width="4.421875" style="288" customWidth="1"/>
    <col min="13045" max="13045" width="4.28125" style="288" customWidth="1"/>
    <col min="13046" max="13046" width="58.7109375" style="288" customWidth="1"/>
    <col min="13047" max="13047" width="11.28125" style="288" customWidth="1"/>
    <col min="13048" max="13048" width="10.00390625" style="288" customWidth="1"/>
    <col min="13049" max="13049" width="10.421875" style="288" customWidth="1"/>
    <col min="13050" max="13050" width="9.7109375" style="288" bestFit="1" customWidth="1"/>
    <col min="13051" max="13051" width="9.57421875" style="288" customWidth="1"/>
    <col min="13052" max="13052" width="9.140625" style="288" customWidth="1"/>
    <col min="13053" max="13056" width="9.7109375" style="288" bestFit="1" customWidth="1"/>
    <col min="13057" max="13298" width="9.140625" style="288" customWidth="1"/>
    <col min="13299" max="13299" width="3.7109375" style="288" customWidth="1"/>
    <col min="13300" max="13300" width="4.421875" style="288" customWidth="1"/>
    <col min="13301" max="13301" width="4.28125" style="288" customWidth="1"/>
    <col min="13302" max="13302" width="58.7109375" style="288" customWidth="1"/>
    <col min="13303" max="13303" width="11.28125" style="288" customWidth="1"/>
    <col min="13304" max="13304" width="10.00390625" style="288" customWidth="1"/>
    <col min="13305" max="13305" width="10.421875" style="288" customWidth="1"/>
    <col min="13306" max="13306" width="9.7109375" style="288" bestFit="1" customWidth="1"/>
    <col min="13307" max="13307" width="9.57421875" style="288" customWidth="1"/>
    <col min="13308" max="13308" width="9.140625" style="288" customWidth="1"/>
    <col min="13309" max="13312" width="9.7109375" style="288" bestFit="1" customWidth="1"/>
    <col min="13313" max="13554" width="9.140625" style="288" customWidth="1"/>
    <col min="13555" max="13555" width="3.7109375" style="288" customWidth="1"/>
    <col min="13556" max="13556" width="4.421875" style="288" customWidth="1"/>
    <col min="13557" max="13557" width="4.28125" style="288" customWidth="1"/>
    <col min="13558" max="13558" width="58.7109375" style="288" customWidth="1"/>
    <col min="13559" max="13559" width="11.28125" style="288" customWidth="1"/>
    <col min="13560" max="13560" width="10.00390625" style="288" customWidth="1"/>
    <col min="13561" max="13561" width="10.421875" style="288" customWidth="1"/>
    <col min="13562" max="13562" width="9.7109375" style="288" bestFit="1" customWidth="1"/>
    <col min="13563" max="13563" width="9.57421875" style="288" customWidth="1"/>
    <col min="13564" max="13564" width="9.140625" style="288" customWidth="1"/>
    <col min="13565" max="13568" width="9.7109375" style="288" bestFit="1" customWidth="1"/>
    <col min="13569" max="13810" width="9.140625" style="288" customWidth="1"/>
    <col min="13811" max="13811" width="3.7109375" style="288" customWidth="1"/>
    <col min="13812" max="13812" width="4.421875" style="288" customWidth="1"/>
    <col min="13813" max="13813" width="4.28125" style="288" customWidth="1"/>
    <col min="13814" max="13814" width="58.7109375" style="288" customWidth="1"/>
    <col min="13815" max="13815" width="11.28125" style="288" customWidth="1"/>
    <col min="13816" max="13816" width="10.00390625" style="288" customWidth="1"/>
    <col min="13817" max="13817" width="10.421875" style="288" customWidth="1"/>
    <col min="13818" max="13818" width="9.7109375" style="288" bestFit="1" customWidth="1"/>
    <col min="13819" max="13819" width="9.57421875" style="288" customWidth="1"/>
    <col min="13820" max="13820" width="9.140625" style="288" customWidth="1"/>
    <col min="13821" max="13824" width="9.7109375" style="288" bestFit="1" customWidth="1"/>
    <col min="13825" max="14066" width="9.140625" style="288" customWidth="1"/>
    <col min="14067" max="14067" width="3.7109375" style="288" customWidth="1"/>
    <col min="14068" max="14068" width="4.421875" style="288" customWidth="1"/>
    <col min="14069" max="14069" width="4.28125" style="288" customWidth="1"/>
    <col min="14070" max="14070" width="58.7109375" style="288" customWidth="1"/>
    <col min="14071" max="14071" width="11.28125" style="288" customWidth="1"/>
    <col min="14072" max="14072" width="10.00390625" style="288" customWidth="1"/>
    <col min="14073" max="14073" width="10.421875" style="288" customWidth="1"/>
    <col min="14074" max="14074" width="9.7109375" style="288" bestFit="1" customWidth="1"/>
    <col min="14075" max="14075" width="9.57421875" style="288" customWidth="1"/>
    <col min="14076" max="14076" width="9.140625" style="288" customWidth="1"/>
    <col min="14077" max="14080" width="9.7109375" style="288" bestFit="1" customWidth="1"/>
    <col min="14081" max="14322" width="9.140625" style="288" customWidth="1"/>
    <col min="14323" max="14323" width="3.7109375" style="288" customWidth="1"/>
    <col min="14324" max="14324" width="4.421875" style="288" customWidth="1"/>
    <col min="14325" max="14325" width="4.28125" style="288" customWidth="1"/>
    <col min="14326" max="14326" width="58.7109375" style="288" customWidth="1"/>
    <col min="14327" max="14327" width="11.28125" style="288" customWidth="1"/>
    <col min="14328" max="14328" width="10.00390625" style="288" customWidth="1"/>
    <col min="14329" max="14329" width="10.421875" style="288" customWidth="1"/>
    <col min="14330" max="14330" width="9.7109375" style="288" bestFit="1" customWidth="1"/>
    <col min="14331" max="14331" width="9.57421875" style="288" customWidth="1"/>
    <col min="14332" max="14332" width="9.140625" style="288" customWidth="1"/>
    <col min="14333" max="14336" width="9.7109375" style="288" bestFit="1" customWidth="1"/>
    <col min="14337" max="14578" width="9.140625" style="288" customWidth="1"/>
    <col min="14579" max="14579" width="3.7109375" style="288" customWidth="1"/>
    <col min="14580" max="14580" width="4.421875" style="288" customWidth="1"/>
    <col min="14581" max="14581" width="4.28125" style="288" customWidth="1"/>
    <col min="14582" max="14582" width="58.7109375" style="288" customWidth="1"/>
    <col min="14583" max="14583" width="11.28125" style="288" customWidth="1"/>
    <col min="14584" max="14584" width="10.00390625" style="288" customWidth="1"/>
    <col min="14585" max="14585" width="10.421875" style="288" customWidth="1"/>
    <col min="14586" max="14586" width="9.7109375" style="288" bestFit="1" customWidth="1"/>
    <col min="14587" max="14587" width="9.57421875" style="288" customWidth="1"/>
    <col min="14588" max="14588" width="9.140625" style="288" customWidth="1"/>
    <col min="14589" max="14592" width="9.7109375" style="288" bestFit="1" customWidth="1"/>
    <col min="14593" max="14834" width="9.140625" style="288" customWidth="1"/>
    <col min="14835" max="14835" width="3.7109375" style="288" customWidth="1"/>
    <col min="14836" max="14836" width="4.421875" style="288" customWidth="1"/>
    <col min="14837" max="14837" width="4.28125" style="288" customWidth="1"/>
    <col min="14838" max="14838" width="58.7109375" style="288" customWidth="1"/>
    <col min="14839" max="14839" width="11.28125" style="288" customWidth="1"/>
    <col min="14840" max="14840" width="10.00390625" style="288" customWidth="1"/>
    <col min="14841" max="14841" width="10.421875" style="288" customWidth="1"/>
    <col min="14842" max="14842" width="9.7109375" style="288" bestFit="1" customWidth="1"/>
    <col min="14843" max="14843" width="9.57421875" style="288" customWidth="1"/>
    <col min="14844" max="14844" width="9.140625" style="288" customWidth="1"/>
    <col min="14845" max="14848" width="9.7109375" style="288" bestFit="1" customWidth="1"/>
    <col min="14849" max="15090" width="9.140625" style="288" customWidth="1"/>
    <col min="15091" max="15091" width="3.7109375" style="288" customWidth="1"/>
    <col min="15092" max="15092" width="4.421875" style="288" customWidth="1"/>
    <col min="15093" max="15093" width="4.28125" style="288" customWidth="1"/>
    <col min="15094" max="15094" width="58.7109375" style="288" customWidth="1"/>
    <col min="15095" max="15095" width="11.28125" style="288" customWidth="1"/>
    <col min="15096" max="15096" width="10.00390625" style="288" customWidth="1"/>
    <col min="15097" max="15097" width="10.421875" style="288" customWidth="1"/>
    <col min="15098" max="15098" width="9.7109375" style="288" bestFit="1" customWidth="1"/>
    <col min="15099" max="15099" width="9.57421875" style="288" customWidth="1"/>
    <col min="15100" max="15100" width="9.140625" style="288" customWidth="1"/>
    <col min="15101" max="15104" width="9.7109375" style="288" bestFit="1" customWidth="1"/>
    <col min="15105" max="15346" width="9.140625" style="288" customWidth="1"/>
    <col min="15347" max="15347" width="3.7109375" style="288" customWidth="1"/>
    <col min="15348" max="15348" width="4.421875" style="288" customWidth="1"/>
    <col min="15349" max="15349" width="4.28125" style="288" customWidth="1"/>
    <col min="15350" max="15350" width="58.7109375" style="288" customWidth="1"/>
    <col min="15351" max="15351" width="11.28125" style="288" customWidth="1"/>
    <col min="15352" max="15352" width="10.00390625" style="288" customWidth="1"/>
    <col min="15353" max="15353" width="10.421875" style="288" customWidth="1"/>
    <col min="15354" max="15354" width="9.7109375" style="288" bestFit="1" customWidth="1"/>
    <col min="15355" max="15355" width="9.57421875" style="288" customWidth="1"/>
    <col min="15356" max="15356" width="9.140625" style="288" customWidth="1"/>
    <col min="15357" max="15360" width="9.7109375" style="288" bestFit="1" customWidth="1"/>
    <col min="15361" max="15602" width="9.140625" style="288" customWidth="1"/>
    <col min="15603" max="15603" width="3.7109375" style="288" customWidth="1"/>
    <col min="15604" max="15604" width="4.421875" style="288" customWidth="1"/>
    <col min="15605" max="15605" width="4.28125" style="288" customWidth="1"/>
    <col min="15606" max="15606" width="58.7109375" style="288" customWidth="1"/>
    <col min="15607" max="15607" width="11.28125" style="288" customWidth="1"/>
    <col min="15608" max="15608" width="10.00390625" style="288" customWidth="1"/>
    <col min="15609" max="15609" width="10.421875" style="288" customWidth="1"/>
    <col min="15610" max="15610" width="9.7109375" style="288" bestFit="1" customWidth="1"/>
    <col min="15611" max="15611" width="9.57421875" style="288" customWidth="1"/>
    <col min="15612" max="15612" width="9.140625" style="288" customWidth="1"/>
    <col min="15613" max="15616" width="9.7109375" style="288" bestFit="1" customWidth="1"/>
    <col min="15617" max="15858" width="9.140625" style="288" customWidth="1"/>
    <col min="15859" max="15859" width="3.7109375" style="288" customWidth="1"/>
    <col min="15860" max="15860" width="4.421875" style="288" customWidth="1"/>
    <col min="15861" max="15861" width="4.28125" style="288" customWidth="1"/>
    <col min="15862" max="15862" width="58.7109375" style="288" customWidth="1"/>
    <col min="15863" max="15863" width="11.28125" style="288" customWidth="1"/>
    <col min="15864" max="15864" width="10.00390625" style="288" customWidth="1"/>
    <col min="15865" max="15865" width="10.421875" style="288" customWidth="1"/>
    <col min="15866" max="15866" width="9.7109375" style="288" bestFit="1" customWidth="1"/>
    <col min="15867" max="15867" width="9.57421875" style="288" customWidth="1"/>
    <col min="15868" max="15868" width="9.140625" style="288" customWidth="1"/>
    <col min="15869" max="15872" width="9.7109375" style="288" bestFit="1" customWidth="1"/>
    <col min="15873" max="16114" width="9.140625" style="288" customWidth="1"/>
    <col min="16115" max="16115" width="3.7109375" style="288" customWidth="1"/>
    <col min="16116" max="16116" width="4.421875" style="288" customWidth="1"/>
    <col min="16117" max="16117" width="4.28125" style="288" customWidth="1"/>
    <col min="16118" max="16118" width="58.7109375" style="288" customWidth="1"/>
    <col min="16119" max="16119" width="11.28125" style="288" customWidth="1"/>
    <col min="16120" max="16120" width="10.00390625" style="288" customWidth="1"/>
    <col min="16121" max="16121" width="10.421875" style="288" customWidth="1"/>
    <col min="16122" max="16122" width="9.7109375" style="288" bestFit="1" customWidth="1"/>
    <col min="16123" max="16123" width="9.57421875" style="288" customWidth="1"/>
    <col min="16124" max="16124" width="9.140625" style="288" customWidth="1"/>
    <col min="16125" max="16128" width="9.7109375" style="288" bestFit="1" customWidth="1"/>
    <col min="16129" max="16384" width="9.140625" style="288" customWidth="1"/>
  </cols>
  <sheetData>
    <row r="1" spans="1:7" ht="12.75">
      <c r="A1" s="483" t="s">
        <v>394</v>
      </c>
      <c r="B1" s="483"/>
      <c r="C1" s="483"/>
      <c r="D1" s="483"/>
      <c r="E1" s="483"/>
      <c r="F1" s="483"/>
      <c r="G1" s="340"/>
    </row>
    <row r="2" spans="1:7" ht="12.75">
      <c r="A2" s="483" t="s">
        <v>227</v>
      </c>
      <c r="B2" s="483"/>
      <c r="C2" s="483"/>
      <c r="D2" s="483"/>
      <c r="E2" s="483"/>
      <c r="F2" s="483"/>
      <c r="G2" s="340"/>
    </row>
    <row r="3" spans="1:7" ht="12.75">
      <c r="A3" s="483" t="s">
        <v>246</v>
      </c>
      <c r="B3" s="483"/>
      <c r="C3" s="483"/>
      <c r="D3" s="483"/>
      <c r="E3" s="483"/>
      <c r="F3" s="483"/>
      <c r="G3" s="340"/>
    </row>
    <row r="4" spans="1:7" ht="12.75">
      <c r="A4" s="287"/>
      <c r="B4" s="287"/>
      <c r="C4" s="287"/>
      <c r="D4" s="287"/>
      <c r="E4" s="287"/>
      <c r="F4" s="341"/>
      <c r="G4" s="340"/>
    </row>
    <row r="5" spans="1:7" ht="12.75">
      <c r="A5" s="289"/>
      <c r="B5" s="289"/>
      <c r="C5" s="289"/>
      <c r="D5" s="289"/>
      <c r="E5" s="290" t="s">
        <v>156</v>
      </c>
      <c r="F5" s="342" t="s">
        <v>157</v>
      </c>
      <c r="G5" s="289"/>
    </row>
    <row r="6" spans="1:7" ht="12.75">
      <c r="A6" s="289"/>
      <c r="B6" s="289"/>
      <c r="C6" s="289"/>
      <c r="D6" s="289"/>
      <c r="E6" s="287">
        <f>+'Income Statement Cash Flows'!E6</f>
        <v>2024</v>
      </c>
      <c r="F6" s="341">
        <f>+'Income Statement Cash Flows'!F6</f>
        <v>2025</v>
      </c>
      <c r="G6" s="290"/>
    </row>
    <row r="7" spans="1:8" ht="12.75">
      <c r="A7" s="288">
        <v>1</v>
      </c>
      <c r="B7" s="288" t="s">
        <v>395</v>
      </c>
      <c r="E7" s="318">
        <f>+'Modeling results'!B4</f>
        <v>3121402.3417528835</v>
      </c>
      <c r="F7" s="343">
        <f>+'Modeling results'!C4</f>
        <v>3167817.4043121454</v>
      </c>
      <c r="G7" s="318"/>
      <c r="H7" s="292"/>
    </row>
    <row r="8" spans="1:7" ht="12.75">
      <c r="A8" s="288">
        <v>2</v>
      </c>
      <c r="E8" s="291"/>
      <c r="F8" s="344"/>
      <c r="G8" s="287"/>
    </row>
    <row r="9" spans="1:2" ht="12.75">
      <c r="A9" s="288">
        <v>3</v>
      </c>
      <c r="B9" s="288" t="s">
        <v>164</v>
      </c>
    </row>
    <row r="10" spans="1:7" ht="12.75">
      <c r="A10" s="288">
        <v>4</v>
      </c>
      <c r="C10" s="288" t="s">
        <v>165</v>
      </c>
      <c r="E10" s="292"/>
      <c r="F10" s="294"/>
      <c r="G10" s="292"/>
    </row>
    <row r="11" spans="1:7" ht="12.75">
      <c r="A11" s="288">
        <v>5</v>
      </c>
      <c r="D11" s="288" t="s">
        <v>396</v>
      </c>
      <c r="E11" s="292">
        <f>+'Income Statement Cash Flows'!E9</f>
        <v>741372.2101500002</v>
      </c>
      <c r="F11" s="294">
        <f>+'Income Statement Cash Flows'!F9</f>
        <v>806672.4150200001</v>
      </c>
      <c r="G11" s="292"/>
    </row>
    <row r="12" spans="1:7" ht="12.75">
      <c r="A12" s="288">
        <v>6</v>
      </c>
      <c r="D12" s="288" t="s">
        <v>397</v>
      </c>
      <c r="E12" s="292">
        <f>+'Income Statement Cash Flows'!E10</f>
        <v>27749.25004</v>
      </c>
      <c r="F12" s="294">
        <f>+'Income Statement Cash Flows'!F10</f>
        <v>27500.000009999996</v>
      </c>
      <c r="G12" s="292"/>
    </row>
    <row r="13" spans="1:7" ht="12.75">
      <c r="A13" s="288">
        <v>7</v>
      </c>
      <c r="D13" s="288" t="s">
        <v>168</v>
      </c>
      <c r="E13" s="292">
        <f>+'Income Statement Cash Flows'!E11</f>
        <v>2340.9999299999995</v>
      </c>
      <c r="F13" s="294">
        <f>+'Income Statement Cash Flows'!F11</f>
        <v>2375.0000299999992</v>
      </c>
      <c r="G13" s="292"/>
    </row>
    <row r="14" spans="1:7" ht="12.75">
      <c r="A14" s="288">
        <v>8</v>
      </c>
      <c r="D14" s="288" t="s">
        <v>169</v>
      </c>
      <c r="E14" s="292">
        <f>+'Income Statement Cash Flows'!E12</f>
        <v>195570.99998</v>
      </c>
      <c r="F14" s="294">
        <f>+'Income Statement Cash Flows'!F12</f>
        <v>274315.99999</v>
      </c>
      <c r="G14" s="292"/>
    </row>
    <row r="15" spans="1:7" ht="12.75">
      <c r="A15" s="288">
        <v>9</v>
      </c>
      <c r="D15" s="288" t="s">
        <v>129</v>
      </c>
      <c r="E15" s="292">
        <f>+'Income Statement Cash Flows'!E13</f>
        <v>0</v>
      </c>
      <c r="F15" s="294">
        <f>+'Income Statement Cash Flows'!F13</f>
        <v>0</v>
      </c>
      <c r="G15" s="292"/>
    </row>
    <row r="16" spans="1:7" ht="12.75">
      <c r="A16" s="288">
        <v>10</v>
      </c>
      <c r="D16" s="288" t="s">
        <v>170</v>
      </c>
      <c r="E16" s="292">
        <f>+'Income Statement Cash Flows'!E14</f>
        <v>274777</v>
      </c>
      <c r="F16" s="294">
        <f>+'Income Statement Cash Flows'!F14</f>
        <v>274820</v>
      </c>
      <c r="G16" s="292"/>
    </row>
    <row r="17" spans="1:7" ht="12.75">
      <c r="A17" s="288">
        <v>11</v>
      </c>
      <c r="D17" s="288" t="s">
        <v>171</v>
      </c>
      <c r="E17" s="292">
        <f>+'Income Statement Cash Flows'!E15</f>
        <v>25967</v>
      </c>
      <c r="F17" s="294">
        <f>+'Income Statement Cash Flows'!F15</f>
        <v>26767.000010000003</v>
      </c>
      <c r="G17" s="292"/>
    </row>
    <row r="18" spans="1:7" ht="12.75">
      <c r="A18" s="288">
        <v>12</v>
      </c>
      <c r="D18" s="288" t="s">
        <v>172</v>
      </c>
      <c r="E18" s="292">
        <f>+'Income Statement Cash Flows'!E16</f>
        <v>113681.31301000001</v>
      </c>
      <c r="F18" s="294">
        <f>+'Income Statement Cash Flows'!F16</f>
        <v>113743.61806000002</v>
      </c>
      <c r="G18" s="292"/>
    </row>
    <row r="19" spans="1:7" ht="12.75">
      <c r="A19" s="288">
        <v>13</v>
      </c>
      <c r="C19" s="288" t="s">
        <v>173</v>
      </c>
      <c r="E19" s="292">
        <f>+'Income Statement Cash Flows'!E17</f>
        <v>82523.49659000001</v>
      </c>
      <c r="F19" s="294">
        <f>+'Income Statement Cash Flows'!F17</f>
        <v>83800.82810000001</v>
      </c>
      <c r="G19" s="292"/>
    </row>
    <row r="20" spans="1:7" ht="12.75">
      <c r="A20" s="288">
        <v>14</v>
      </c>
      <c r="C20" s="288" t="s">
        <v>174</v>
      </c>
      <c r="E20" s="292">
        <f>+'Income Statement Cash Flows'!E18</f>
        <v>209421.28199</v>
      </c>
      <c r="F20" s="294">
        <f>+'Income Statement Cash Flows'!F18</f>
        <v>210125.79898000002</v>
      </c>
      <c r="G20" s="292"/>
    </row>
    <row r="21" spans="1:7" ht="12.75">
      <c r="A21" s="288">
        <v>15</v>
      </c>
      <c r="C21" s="288" t="s">
        <v>398</v>
      </c>
      <c r="E21" s="292">
        <f>+'Income Statement Cash Flows'!E19</f>
        <v>313941.6472900001</v>
      </c>
      <c r="F21" s="294">
        <f>+'Income Statement Cash Flows'!F19</f>
        <v>313572.20191999996</v>
      </c>
      <c r="G21" s="292"/>
    </row>
    <row r="22" spans="1:7" ht="12.75">
      <c r="A22" s="288">
        <v>16</v>
      </c>
      <c r="C22" s="288" t="s">
        <v>399</v>
      </c>
      <c r="E22" s="292">
        <f>+'Income Statement Cash Flows'!E20</f>
        <v>112892.95552000003</v>
      </c>
      <c r="F22" s="294">
        <f>+'Income Statement Cash Flows'!F20</f>
        <v>116333.42686</v>
      </c>
      <c r="G22" s="292"/>
    </row>
    <row r="23" spans="1:7" ht="12.75">
      <c r="A23" s="288">
        <v>17</v>
      </c>
      <c r="C23" s="288" t="s">
        <v>176</v>
      </c>
      <c r="E23" s="292">
        <f>+'Income Statement Cash Flows'!E21</f>
        <v>0</v>
      </c>
      <c r="F23" s="294">
        <f>+'Income Statement Cash Flows'!F21</f>
        <v>0</v>
      </c>
      <c r="G23" s="292"/>
    </row>
    <row r="24" spans="1:7" ht="12.75">
      <c r="A24" s="288">
        <v>18</v>
      </c>
      <c r="C24" s="293" t="s">
        <v>187</v>
      </c>
      <c r="E24" s="292">
        <f>+'Income Statement Cash Flows'!E22</f>
        <v>139703.21333333332</v>
      </c>
      <c r="F24" s="294">
        <f>+'Income Statement Cash Flows'!F22</f>
        <v>143600.21333333332</v>
      </c>
      <c r="G24" s="292"/>
    </row>
    <row r="25" spans="1:7" ht="12.75">
      <c r="A25" s="288">
        <v>19</v>
      </c>
      <c r="B25" s="293"/>
      <c r="C25" s="293" t="s">
        <v>188</v>
      </c>
      <c r="D25" s="293"/>
      <c r="E25" s="292">
        <f>+'Income Statement Cash Flows'!E23</f>
        <v>312486.82492032886</v>
      </c>
      <c r="F25" s="294">
        <f>+'Income Statement Cash Flows'!F23</f>
        <v>316066.0666030087</v>
      </c>
      <c r="G25" s="292"/>
    </row>
    <row r="26" spans="1:7" ht="12.75">
      <c r="A26" s="288">
        <v>20</v>
      </c>
      <c r="B26" s="293"/>
      <c r="C26" s="293" t="s">
        <v>775</v>
      </c>
      <c r="D26" s="293"/>
      <c r="E26" s="302">
        <f>+'Income Statement Cash Flows'!E24</f>
        <v>40043.17800442227</v>
      </c>
      <c r="F26" s="296">
        <f>+'Income Statement Cash Flows'!F24</f>
        <v>41798.317985356014</v>
      </c>
      <c r="G26" s="292"/>
    </row>
    <row r="27" spans="1:9" ht="12.75">
      <c r="A27" s="288">
        <v>21</v>
      </c>
      <c r="B27" s="288" t="s">
        <v>189</v>
      </c>
      <c r="E27" s="292">
        <f>SUM(E11:E26)</f>
        <v>2592471.3707580846</v>
      </c>
      <c r="F27" s="294">
        <f>SUM(F11:F26)</f>
        <v>2751490.886901698</v>
      </c>
      <c r="G27" s="292"/>
      <c r="I27" s="422"/>
    </row>
    <row r="28" spans="1:7" ht="12.75">
      <c r="A28" s="288">
        <v>22</v>
      </c>
      <c r="E28" s="292"/>
      <c r="F28" s="294"/>
      <c r="G28" s="292"/>
    </row>
    <row r="29" spans="1:7" ht="12.75">
      <c r="A29" s="288">
        <v>23</v>
      </c>
      <c r="B29" s="288" t="s">
        <v>757</v>
      </c>
      <c r="C29" s="294"/>
      <c r="D29" s="294"/>
      <c r="E29" s="294"/>
      <c r="F29" s="294"/>
      <c r="G29" s="292"/>
    </row>
    <row r="30" spans="1:7" ht="12.75">
      <c r="A30" s="288">
        <v>24</v>
      </c>
      <c r="B30" s="294"/>
      <c r="C30" s="294" t="s">
        <v>178</v>
      </c>
      <c r="D30" s="294"/>
      <c r="E30" s="294"/>
      <c r="F30" s="294"/>
      <c r="G30" s="292"/>
    </row>
    <row r="31" spans="1:7" ht="12.75">
      <c r="A31" s="288">
        <v>25</v>
      </c>
      <c r="B31" s="294"/>
      <c r="C31" s="294"/>
      <c r="D31" s="294" t="s">
        <v>179</v>
      </c>
      <c r="E31" s="294">
        <f>+'Income Statement Cash Flows'!E29</f>
        <v>34236</v>
      </c>
      <c r="F31" s="294">
        <f>+'Income Statement Cash Flows'!F29</f>
        <v>23203</v>
      </c>
      <c r="G31" s="292"/>
    </row>
    <row r="32" spans="1:7" ht="12.75">
      <c r="A32" s="288">
        <v>26</v>
      </c>
      <c r="B32" s="294"/>
      <c r="D32" s="294" t="s">
        <v>180</v>
      </c>
      <c r="E32" s="294">
        <f>+'Income Statement Cash Flows'!E30</f>
        <v>-45937</v>
      </c>
      <c r="F32" s="294">
        <f>+'Income Statement Cash Flows'!F30</f>
        <v>-45937</v>
      </c>
      <c r="G32" s="292"/>
    </row>
    <row r="33" spans="1:7" ht="12.75">
      <c r="A33" s="288">
        <v>27</v>
      </c>
      <c r="B33" s="294"/>
      <c r="C33" s="294"/>
      <c r="D33" s="294" t="s">
        <v>181</v>
      </c>
      <c r="E33" s="294">
        <f>+'Income Statement Cash Flows'!E31</f>
        <v>39728</v>
      </c>
      <c r="F33" s="294">
        <f>+'Income Statement Cash Flows'!F31</f>
        <v>43660</v>
      </c>
      <c r="G33" s="292"/>
    </row>
    <row r="34" spans="1:7" ht="12.75">
      <c r="A34" s="288">
        <v>28</v>
      </c>
      <c r="B34" s="293"/>
      <c r="D34" s="293" t="s">
        <v>744</v>
      </c>
      <c r="E34" s="294">
        <f>+'Income Statement Cash Flows'!E32</f>
        <v>11090</v>
      </c>
      <c r="F34" s="294">
        <f>+'Income Statement Cash Flows'!F32</f>
        <v>605</v>
      </c>
      <c r="G34" s="292"/>
    </row>
    <row r="35" spans="1:7" ht="12.75">
      <c r="A35" s="288">
        <v>29</v>
      </c>
      <c r="B35" s="293"/>
      <c r="D35" s="293" t="s">
        <v>247</v>
      </c>
      <c r="E35" s="294">
        <f>+'Income Statement Cash Flows'!E33</f>
        <v>234544.12039516223</v>
      </c>
      <c r="F35" s="294">
        <f>+'Income Statement Cash Flows'!F33</f>
        <v>230535.0147731208</v>
      </c>
      <c r="G35" s="292"/>
    </row>
    <row r="36" spans="1:7" ht="12.75">
      <c r="A36" s="288">
        <v>30</v>
      </c>
      <c r="B36" s="293"/>
      <c r="D36" s="294" t="s">
        <v>806</v>
      </c>
      <c r="E36" s="294">
        <f>+'Income Statement Cash Flows'!E34</f>
        <v>-34766.96983530553</v>
      </c>
      <c r="F36" s="294">
        <f>+'Income Statement Cash Flows'!F34</f>
        <v>-38005.50889684399</v>
      </c>
      <c r="G36" s="292"/>
    </row>
    <row r="37" spans="1:7" ht="12.75">
      <c r="A37" s="288">
        <v>31</v>
      </c>
      <c r="B37" s="293"/>
      <c r="D37" s="294" t="s">
        <v>805</v>
      </c>
      <c r="E37" s="294">
        <f>+'Income Statement Cash Flows'!E35</f>
        <v>499.5126566666666</v>
      </c>
      <c r="F37" s="294">
        <f>+'Income Statement Cash Flows'!F35</f>
        <v>499.5126566666666</v>
      </c>
      <c r="G37" s="292"/>
    </row>
    <row r="38" spans="1:7" ht="12.75">
      <c r="A38" s="288">
        <v>32</v>
      </c>
      <c r="B38" s="293"/>
      <c r="C38" s="294" t="s">
        <v>182</v>
      </c>
      <c r="D38" s="294"/>
      <c r="E38" s="294">
        <f>+'Income Statement Cash Flows'!E36</f>
        <v>-17821.3925</v>
      </c>
      <c r="F38" s="294">
        <f>+'Income Statement Cash Flows'!F36</f>
        <v>-18137.16688</v>
      </c>
      <c r="G38" s="292"/>
    </row>
    <row r="39" spans="1:16" ht="12.75">
      <c r="A39" s="288">
        <v>33</v>
      </c>
      <c r="B39" s="294"/>
      <c r="C39" s="294" t="s">
        <v>183</v>
      </c>
      <c r="D39" s="294"/>
      <c r="E39" s="292">
        <f>-'interest credit calculations'!C76</f>
        <v>-3276.1160883431803</v>
      </c>
      <c r="F39" s="294">
        <f>-'interest credit calculations'!D76</f>
        <v>-5453.819640993919</v>
      </c>
      <c r="G39" s="292"/>
      <c r="J39" s="292"/>
      <c r="K39" s="292"/>
      <c r="O39" s="292"/>
      <c r="P39" s="292"/>
    </row>
    <row r="40" spans="1:16" ht="12.75">
      <c r="A40" s="288">
        <v>34</v>
      </c>
      <c r="B40" s="294"/>
      <c r="C40" s="288" t="s">
        <v>758</v>
      </c>
      <c r="D40" s="294"/>
      <c r="E40" s="294">
        <f>+'Income Statement Cash Flows'!E38</f>
        <v>-11469.375955208217</v>
      </c>
      <c r="F40" s="294">
        <f>+'Income Statement Cash Flows'!F38</f>
        <v>-12191.081595996058</v>
      </c>
      <c r="G40" s="292"/>
      <c r="O40" s="292"/>
      <c r="P40" s="292"/>
    </row>
    <row r="41" spans="1:7" ht="12.75">
      <c r="A41" s="288">
        <v>35</v>
      </c>
      <c r="B41" s="294"/>
      <c r="C41" s="294" t="s">
        <v>798</v>
      </c>
      <c r="D41" s="294"/>
      <c r="E41" s="296">
        <f>+'Income Statement Cash Flows'!E39</f>
        <v>-4335.0951722724485</v>
      </c>
      <c r="F41" s="296">
        <f>+'Income Statement Cash Flows'!F39</f>
        <v>-4607.879206155341</v>
      </c>
      <c r="G41" s="292"/>
    </row>
    <row r="42" spans="1:7" ht="12.75">
      <c r="A42" s="288">
        <v>36</v>
      </c>
      <c r="B42" s="288" t="s">
        <v>768</v>
      </c>
      <c r="C42" s="294"/>
      <c r="D42" s="294"/>
      <c r="E42" s="294">
        <f>SUM(E31:E41)</f>
        <v>202491.68350069958</v>
      </c>
      <c r="F42" s="294">
        <f>SUM(F31:F41)</f>
        <v>174170.07120979816</v>
      </c>
      <c r="G42" s="292"/>
    </row>
    <row r="43" spans="1:7" ht="12.75">
      <c r="A43" s="288">
        <v>37</v>
      </c>
      <c r="B43" s="294"/>
      <c r="C43" s="294"/>
      <c r="D43" s="294"/>
      <c r="E43" s="294"/>
      <c r="F43" s="294"/>
      <c r="G43" s="292"/>
    </row>
    <row r="44" spans="1:7" ht="12.75">
      <c r="A44" s="288">
        <v>38</v>
      </c>
      <c r="B44" s="294" t="s">
        <v>184</v>
      </c>
      <c r="C44" s="294"/>
      <c r="D44" s="294"/>
      <c r="E44" s="294">
        <f>E42+E27</f>
        <v>2794963.0542587843</v>
      </c>
      <c r="F44" s="294">
        <f>F42+F27</f>
        <v>2925660.958111496</v>
      </c>
      <c r="G44" s="294"/>
    </row>
    <row r="45" spans="1:7" ht="12.75">
      <c r="A45" s="288">
        <v>39</v>
      </c>
      <c r="B45" s="294"/>
      <c r="C45" s="294"/>
      <c r="D45" s="294"/>
      <c r="E45" s="294"/>
      <c r="F45" s="294"/>
      <c r="G45" s="292"/>
    </row>
    <row r="46" spans="1:7" ht="12.75">
      <c r="A46" s="288">
        <v>40</v>
      </c>
      <c r="B46" s="294" t="s">
        <v>400</v>
      </c>
      <c r="C46" s="294"/>
      <c r="D46" s="294"/>
      <c r="E46" s="294">
        <f>E7-E44</f>
        <v>326439.28749409923</v>
      </c>
      <c r="F46" s="294">
        <f>F7-F44</f>
        <v>242156.44620064925</v>
      </c>
      <c r="G46" s="294"/>
    </row>
    <row r="47" spans="2:7" ht="12.75">
      <c r="B47" s="292"/>
      <c r="C47" s="292"/>
      <c r="D47" s="292"/>
      <c r="E47" s="292"/>
      <c r="F47" s="294"/>
      <c r="G47" s="292"/>
    </row>
    <row r="48" spans="2:7" ht="12.75">
      <c r="B48" s="292"/>
      <c r="C48" s="292"/>
      <c r="D48" s="292"/>
      <c r="E48" s="292"/>
      <c r="F48" s="294"/>
      <c r="G48" s="292"/>
    </row>
    <row r="49" spans="2:7" ht="12.75">
      <c r="B49" s="292"/>
      <c r="C49" s="292"/>
      <c r="D49" s="292"/>
      <c r="E49" s="292"/>
      <c r="F49" s="294"/>
      <c r="G49" s="292"/>
    </row>
    <row r="50" spans="2:7" ht="12.75">
      <c r="B50" s="292"/>
      <c r="C50" s="292"/>
      <c r="D50" s="292"/>
      <c r="E50" s="292"/>
      <c r="F50" s="294"/>
      <c r="G50" s="298"/>
    </row>
    <row r="51" spans="6:7" ht="12.75">
      <c r="F51" s="345"/>
      <c r="G51" s="292"/>
    </row>
    <row r="52" spans="5:7" ht="12.75">
      <c r="E52" s="292"/>
      <c r="F52" s="294"/>
      <c r="G52" s="292"/>
    </row>
    <row r="53" spans="1:7" ht="12.75">
      <c r="A53" s="299"/>
      <c r="E53" s="292"/>
      <c r="F53" s="294"/>
      <c r="G53" s="292"/>
    </row>
    <row r="56" spans="1:7" ht="12.75">
      <c r="A56" s="483" t="s">
        <v>394</v>
      </c>
      <c r="B56" s="483"/>
      <c r="C56" s="483"/>
      <c r="D56" s="483"/>
      <c r="E56" s="483"/>
      <c r="F56" s="483"/>
      <c r="G56" s="340"/>
    </row>
    <row r="57" spans="1:7" ht="12.75">
      <c r="A57" s="483" t="s">
        <v>230</v>
      </c>
      <c r="B57" s="483"/>
      <c r="C57" s="483"/>
      <c r="D57" s="483"/>
      <c r="E57" s="483"/>
      <c r="F57" s="483"/>
      <c r="G57" s="340"/>
    </row>
    <row r="58" spans="1:7" ht="12.75">
      <c r="A58" s="483" t="s">
        <v>351</v>
      </c>
      <c r="B58" s="483"/>
      <c r="C58" s="483"/>
      <c r="D58" s="483"/>
      <c r="E58" s="483"/>
      <c r="F58" s="483"/>
      <c r="G58" s="340"/>
    </row>
    <row r="59" spans="1:7" ht="12.75">
      <c r="A59" s="292"/>
      <c r="B59" s="292"/>
      <c r="C59" s="292"/>
      <c r="D59" s="292"/>
      <c r="E59" s="292"/>
      <c r="F59" s="294"/>
      <c r="G59" s="292"/>
    </row>
    <row r="60" spans="1:7" ht="12.75">
      <c r="A60" s="292"/>
      <c r="B60" s="292"/>
      <c r="C60" s="292"/>
      <c r="D60" s="292"/>
      <c r="E60" s="290" t="s">
        <v>156</v>
      </c>
      <c r="F60" s="342" t="s">
        <v>157</v>
      </c>
      <c r="G60" s="290"/>
    </row>
    <row r="61" spans="1:7" ht="12.75">
      <c r="A61" s="292"/>
      <c r="B61" s="292"/>
      <c r="C61" s="292"/>
      <c r="D61" s="292"/>
      <c r="E61" s="287">
        <f>+'Income Statement Cash Flows'!E6</f>
        <v>2024</v>
      </c>
      <c r="F61" s="341">
        <f>+'Income Statement Cash Flows'!F6</f>
        <v>2025</v>
      </c>
      <c r="G61" s="287"/>
    </row>
    <row r="62" spans="1:7" ht="12.75">
      <c r="A62" s="292">
        <v>1</v>
      </c>
      <c r="B62" s="292" t="s">
        <v>234</v>
      </c>
      <c r="C62" s="292"/>
      <c r="D62" s="292"/>
      <c r="E62" s="292"/>
      <c r="F62" s="294"/>
      <c r="G62" s="292"/>
    </row>
    <row r="63" spans="1:7" ht="12.75" hidden="1">
      <c r="A63" s="292"/>
      <c r="B63" s="292"/>
      <c r="C63" s="292" t="s">
        <v>401</v>
      </c>
      <c r="D63" s="292"/>
      <c r="E63" s="292">
        <f>E7-E27-E31-E32-E33-E34-E38-E35-E36-E37-E40-E41</f>
        <v>323163.17140575626</v>
      </c>
      <c r="F63" s="292">
        <f>F7-F27-F31-F32-F33-F34-F38-F35-F36-F37-F40-F41</f>
        <v>236702.62655965524</v>
      </c>
      <c r="G63" s="292"/>
    </row>
    <row r="64" spans="1:7" ht="12.75">
      <c r="A64" s="292">
        <v>2</v>
      </c>
      <c r="B64" s="292"/>
      <c r="C64" s="292" t="s">
        <v>400</v>
      </c>
      <c r="D64" s="292"/>
      <c r="E64" s="292">
        <f>E46</f>
        <v>326439.28749409923</v>
      </c>
      <c r="F64" s="294">
        <f>F46</f>
        <v>242156.44620064925</v>
      </c>
      <c r="G64" s="294"/>
    </row>
    <row r="65" spans="1:7" ht="12.75">
      <c r="A65" s="292">
        <v>3</v>
      </c>
      <c r="B65" s="292"/>
      <c r="C65" s="292" t="s">
        <v>232</v>
      </c>
      <c r="D65" s="292"/>
      <c r="E65" s="292"/>
      <c r="F65" s="294"/>
      <c r="G65" s="292"/>
    </row>
    <row r="66" spans="1:12" ht="12.75">
      <c r="A66" s="292">
        <v>4</v>
      </c>
      <c r="B66" s="292"/>
      <c r="C66" s="292"/>
      <c r="D66" s="292" t="s">
        <v>247</v>
      </c>
      <c r="E66" s="292">
        <f>+'Income Statement Cash Flows'!E63</f>
        <v>5694.264395162258</v>
      </c>
      <c r="F66" s="292">
        <f>+'Income Statement Cash Flows'!F63</f>
        <v>4538.673773120818</v>
      </c>
      <c r="G66" s="292"/>
      <c r="K66" s="292"/>
      <c r="L66" s="292"/>
    </row>
    <row r="67" spans="1:12" ht="12.75">
      <c r="A67" s="292">
        <v>5</v>
      </c>
      <c r="B67" s="292"/>
      <c r="C67" s="292"/>
      <c r="D67" s="292" t="s">
        <v>233</v>
      </c>
      <c r="E67" s="292">
        <f>+'Income Statement Cash Flows'!E64</f>
        <v>452190.0382536622</v>
      </c>
      <c r="F67" s="292">
        <f>+'Income Statement Cash Flows'!F64</f>
        <v>459666.27993634203</v>
      </c>
      <c r="G67" s="292"/>
      <c r="K67" s="292"/>
      <c r="L67" s="292"/>
    </row>
    <row r="68" spans="1:12" ht="12.75">
      <c r="A68" s="292">
        <v>6</v>
      </c>
      <c r="B68" s="292"/>
      <c r="C68" s="292"/>
      <c r="D68" s="293" t="s">
        <v>775</v>
      </c>
      <c r="E68" s="292">
        <f>+'Income Statement Cash Flows'!E65</f>
        <v>40043.17800442227</v>
      </c>
      <c r="F68" s="292">
        <f>+'Income Statement Cash Flows'!F65</f>
        <v>41798.317985356014</v>
      </c>
      <c r="G68" s="292"/>
      <c r="K68" s="292"/>
      <c r="L68" s="292"/>
    </row>
    <row r="69" spans="1:12" ht="12.75">
      <c r="A69" s="292">
        <v>7</v>
      </c>
      <c r="B69" s="292"/>
      <c r="C69" s="292"/>
      <c r="D69" s="292" t="s">
        <v>628</v>
      </c>
      <c r="E69" s="292">
        <f>+'Income Statement Cash Flows'!E66</f>
        <v>-15804.471127480665</v>
      </c>
      <c r="F69" s="292">
        <f>+'Income Statement Cash Flows'!F66</f>
        <v>-16798.9608021514</v>
      </c>
      <c r="G69" s="292"/>
      <c r="K69" s="292"/>
      <c r="L69" s="292"/>
    </row>
    <row r="70" spans="1:12" ht="12.75">
      <c r="A70" s="292">
        <v>8</v>
      </c>
      <c r="B70" s="292"/>
      <c r="C70" s="292"/>
      <c r="D70" s="292" t="s">
        <v>180</v>
      </c>
      <c r="E70" s="292">
        <f>+'Income Statement Cash Flows'!E67</f>
        <v>-45937</v>
      </c>
      <c r="F70" s="292">
        <f>+'Income Statement Cash Flows'!F67</f>
        <v>-45937</v>
      </c>
      <c r="G70" s="292"/>
      <c r="K70" s="292"/>
      <c r="L70" s="292"/>
    </row>
    <row r="71" spans="1:12" ht="12.75">
      <c r="A71" s="292">
        <v>9</v>
      </c>
      <c r="B71" s="298"/>
      <c r="C71" s="346"/>
      <c r="D71" s="292" t="s">
        <v>402</v>
      </c>
      <c r="E71" s="292">
        <f>+'Income Statement Cash Flows'!E68</f>
        <v>-30600</v>
      </c>
      <c r="F71" s="292">
        <f>+'Income Statement Cash Flows'!F68</f>
        <v>-30600</v>
      </c>
      <c r="G71" s="292"/>
      <c r="K71" s="292"/>
      <c r="L71" s="292"/>
    </row>
    <row r="72" spans="1:12" ht="12.75">
      <c r="A72" s="292">
        <v>10</v>
      </c>
      <c r="B72" s="298"/>
      <c r="C72" s="346"/>
      <c r="D72" s="294" t="s">
        <v>806</v>
      </c>
      <c r="E72" s="292">
        <f>+'Income Statement Cash Flows'!E69</f>
        <v>-34766.96983530553</v>
      </c>
      <c r="F72" s="292">
        <f>+'Income Statement Cash Flows'!F69</f>
        <v>-38005.50889684399</v>
      </c>
      <c r="G72" s="292"/>
      <c r="K72" s="292"/>
      <c r="L72" s="292"/>
    </row>
    <row r="73" spans="1:12" ht="12.75">
      <c r="A73" s="292">
        <v>11</v>
      </c>
      <c r="B73" s="298"/>
      <c r="C73" s="346"/>
      <c r="D73" s="294" t="s">
        <v>805</v>
      </c>
      <c r="E73" s="292">
        <f>+'Income Statement Cash Flows'!E70</f>
        <v>499.5126566666666</v>
      </c>
      <c r="F73" s="292">
        <f>+'Income Statement Cash Flows'!F70</f>
        <v>499.5126566666666</v>
      </c>
      <c r="G73" s="292"/>
      <c r="K73" s="292"/>
      <c r="L73" s="292"/>
    </row>
    <row r="74" spans="1:12" ht="12.75">
      <c r="A74" s="292">
        <v>12</v>
      </c>
      <c r="B74" s="298"/>
      <c r="C74" s="288" t="s">
        <v>759</v>
      </c>
      <c r="D74" s="292"/>
      <c r="E74" s="292">
        <f>+'Income Statement Cash Flows'!E71</f>
        <v>-15100</v>
      </c>
      <c r="F74" s="292">
        <f>+'Income Statement Cash Flows'!F71</f>
        <v>-15100</v>
      </c>
      <c r="G74" s="292"/>
      <c r="K74" s="292"/>
      <c r="L74" s="292"/>
    </row>
    <row r="75" spans="1:12" ht="12.75">
      <c r="A75" s="292">
        <v>13</v>
      </c>
      <c r="B75" s="298"/>
      <c r="C75" s="288" t="s">
        <v>725</v>
      </c>
      <c r="D75" s="292"/>
      <c r="E75" s="292">
        <f>+'Income Statement Cash Flows'!E72</f>
        <v>17600</v>
      </c>
      <c r="F75" s="292">
        <f>+'Income Statement Cash Flows'!F72</f>
        <v>0</v>
      </c>
      <c r="G75" s="292"/>
      <c r="K75" s="292"/>
      <c r="L75" s="292"/>
    </row>
    <row r="76" spans="1:12" ht="12.75">
      <c r="A76" s="292">
        <v>14</v>
      </c>
      <c r="B76" s="294"/>
      <c r="C76" s="293" t="s">
        <v>403</v>
      </c>
      <c r="D76" s="294"/>
      <c r="E76" s="296">
        <v>0</v>
      </c>
      <c r="F76" s="296">
        <f>-E76</f>
        <v>0</v>
      </c>
      <c r="G76" s="292"/>
      <c r="K76" s="292"/>
      <c r="L76" s="292"/>
    </row>
    <row r="77" spans="1:12" ht="12.75">
      <c r="A77" s="292">
        <v>15</v>
      </c>
      <c r="B77" s="292" t="s">
        <v>234</v>
      </c>
      <c r="C77" s="292"/>
      <c r="D77" s="292"/>
      <c r="E77" s="347">
        <f>SUM(E64:E76)</f>
        <v>700257.8398412265</v>
      </c>
      <c r="F77" s="301">
        <f>SUM(F64:F76)</f>
        <v>602217.7608531395</v>
      </c>
      <c r="G77" s="347"/>
      <c r="K77" s="292"/>
      <c r="L77" s="292"/>
    </row>
    <row r="78" spans="1:12" ht="12.75">
      <c r="A78" s="292">
        <v>16</v>
      </c>
      <c r="B78" s="292"/>
      <c r="C78" s="292"/>
      <c r="D78" s="292"/>
      <c r="E78" s="292"/>
      <c r="F78" s="294"/>
      <c r="G78" s="292"/>
      <c r="K78" s="292"/>
      <c r="L78" s="292"/>
    </row>
    <row r="79" spans="1:12" ht="12.75">
      <c r="A79" s="292">
        <v>17</v>
      </c>
      <c r="B79" s="292" t="s">
        <v>404</v>
      </c>
      <c r="C79" s="292"/>
      <c r="D79" s="292"/>
      <c r="E79" s="292"/>
      <c r="F79" s="294"/>
      <c r="G79" s="292"/>
      <c r="K79" s="292"/>
      <c r="L79" s="292"/>
    </row>
    <row r="80" spans="1:12" ht="12.75">
      <c r="A80" s="292">
        <v>18</v>
      </c>
      <c r="B80" s="292"/>
      <c r="C80" s="292" t="s">
        <v>235</v>
      </c>
      <c r="D80" s="292"/>
      <c r="E80" s="292"/>
      <c r="F80" s="294"/>
      <c r="G80" s="292"/>
      <c r="K80" s="292"/>
      <c r="L80" s="292"/>
    </row>
    <row r="81" spans="1:12" ht="12.75">
      <c r="A81" s="292">
        <v>19</v>
      </c>
      <c r="B81" s="292"/>
      <c r="C81" s="292"/>
      <c r="D81" s="292" t="s">
        <v>405</v>
      </c>
      <c r="E81" s="292">
        <f>+'Income Statement Cash Flows'!E77</f>
        <v>-274444.47724764</v>
      </c>
      <c r="F81" s="292">
        <f>+'Income Statement Cash Flows'!F77</f>
        <v>-280650.897</v>
      </c>
      <c r="G81" s="292"/>
      <c r="K81" s="292"/>
      <c r="L81" s="292"/>
    </row>
    <row r="82" spans="1:12" ht="12.75">
      <c r="A82" s="292">
        <v>20</v>
      </c>
      <c r="B82" s="292"/>
      <c r="C82" s="292"/>
      <c r="D82" s="292" t="s">
        <v>223</v>
      </c>
      <c r="E82" s="302">
        <f>+'Income Statement Cash Flows'!E78</f>
        <v>-41000</v>
      </c>
      <c r="F82" s="302">
        <f>+'Income Statement Cash Flows'!F78</f>
        <v>-41000</v>
      </c>
      <c r="G82" s="292"/>
      <c r="K82" s="292"/>
      <c r="L82" s="292"/>
    </row>
    <row r="83" spans="1:12" ht="12.75">
      <c r="A83" s="292">
        <v>21</v>
      </c>
      <c r="B83" s="292" t="s">
        <v>404</v>
      </c>
      <c r="C83" s="292"/>
      <c r="D83" s="292"/>
      <c r="E83" s="292">
        <f>SUM(E81:E82)</f>
        <v>-315444.47724764</v>
      </c>
      <c r="F83" s="294">
        <f>SUM(F81:F82)</f>
        <v>-321650.897</v>
      </c>
      <c r="G83" s="292"/>
      <c r="K83" s="292"/>
      <c r="L83" s="292"/>
    </row>
    <row r="84" spans="1:12" ht="12.75">
      <c r="A84" s="292">
        <v>22</v>
      </c>
      <c r="B84" s="292"/>
      <c r="C84" s="292"/>
      <c r="D84" s="292"/>
      <c r="E84" s="292"/>
      <c r="F84" s="294"/>
      <c r="G84" s="292"/>
      <c r="K84" s="292"/>
      <c r="L84" s="292"/>
    </row>
    <row r="85" spans="1:12" ht="12.75">
      <c r="A85" s="292">
        <v>23</v>
      </c>
      <c r="B85" s="292" t="s">
        <v>406</v>
      </c>
      <c r="C85" s="292"/>
      <c r="D85" s="292"/>
      <c r="E85" s="292"/>
      <c r="F85" s="294"/>
      <c r="G85" s="292"/>
      <c r="K85" s="292"/>
      <c r="L85" s="292"/>
    </row>
    <row r="86" spans="1:12" ht="12.75">
      <c r="A86" s="292">
        <v>24</v>
      </c>
      <c r="C86" s="292" t="s">
        <v>407</v>
      </c>
      <c r="D86" s="292"/>
      <c r="E86" s="292">
        <f>+'Income Statement Cash Flows'!E82</f>
        <v>268256.86075</v>
      </c>
      <c r="F86" s="292">
        <f>+'Income Statement Cash Flows'!F82</f>
        <v>274710.393312</v>
      </c>
      <c r="G86" s="292"/>
      <c r="K86" s="292"/>
      <c r="L86" s="292"/>
    </row>
    <row r="87" spans="1:12" ht="12.75">
      <c r="A87" s="292">
        <v>25</v>
      </c>
      <c r="C87" s="292" t="s">
        <v>409</v>
      </c>
      <c r="D87" s="292"/>
      <c r="E87" s="292">
        <f>+'Income Statement Cash Flows'!E83</f>
        <v>-181200</v>
      </c>
      <c r="F87" s="292">
        <f>+'Income Statement Cash Flows'!F83</f>
        <v>-236863</v>
      </c>
      <c r="G87" s="292"/>
      <c r="K87" s="292"/>
      <c r="L87" s="292"/>
    </row>
    <row r="88" spans="1:12" ht="12.75">
      <c r="A88" s="292">
        <v>26</v>
      </c>
      <c r="C88" s="292" t="s">
        <v>240</v>
      </c>
      <c r="D88" s="292"/>
      <c r="E88" s="292">
        <f>+'Income Statement Cash Flows'!E84</f>
        <v>13444.47724764</v>
      </c>
      <c r="F88" s="292">
        <f>+'Income Statement Cash Flows'!F84</f>
        <v>12650.897</v>
      </c>
      <c r="G88" s="292"/>
      <c r="K88" s="292"/>
      <c r="L88" s="292"/>
    </row>
    <row r="89" spans="1:12" ht="12.75">
      <c r="A89" s="292">
        <v>27</v>
      </c>
      <c r="C89" s="292" t="s">
        <v>241</v>
      </c>
      <c r="D89" s="292"/>
      <c r="E89" s="292">
        <f>+'Income Statement Cash Flows'!E85</f>
        <v>-278799</v>
      </c>
      <c r="F89" s="292">
        <f>+'Income Statement Cash Flows'!F85</f>
        <v>-209137</v>
      </c>
      <c r="G89" s="292"/>
      <c r="K89" s="292"/>
      <c r="L89" s="292"/>
    </row>
    <row r="90" spans="1:12" ht="12.75">
      <c r="A90" s="292">
        <v>28</v>
      </c>
      <c r="C90" s="292" t="s">
        <v>629</v>
      </c>
      <c r="D90" s="292"/>
      <c r="E90" s="292">
        <f>+'Income Statement Cash Flows'!E86</f>
        <v>-27167.200000000008</v>
      </c>
      <c r="F90" s="292">
        <f>+'Income Statement Cash Flows'!F86</f>
        <v>-21092.85</v>
      </c>
      <c r="G90" s="292"/>
      <c r="K90" s="292"/>
      <c r="L90" s="292"/>
    </row>
    <row r="91" spans="1:12" ht="12.75">
      <c r="A91" s="292">
        <v>29</v>
      </c>
      <c r="C91" s="292" t="s">
        <v>408</v>
      </c>
      <c r="D91" s="292"/>
      <c r="E91" s="292">
        <f>+'Income Statement Cash Flows'!E87</f>
        <v>0</v>
      </c>
      <c r="F91" s="292">
        <f>+'Income Statement Cash Flows'!F87</f>
        <v>0</v>
      </c>
      <c r="G91" s="292"/>
      <c r="K91" s="292"/>
      <c r="L91" s="292"/>
    </row>
    <row r="92" spans="1:12" ht="12.75">
      <c r="A92" s="292">
        <v>30</v>
      </c>
      <c r="C92" s="292" t="s">
        <v>242</v>
      </c>
      <c r="D92" s="292"/>
      <c r="E92" s="302">
        <f>+'Income Statement Cash Flows'!E88</f>
        <v>-8067</v>
      </c>
      <c r="F92" s="302">
        <f>+'Income Statement Cash Flows'!F88</f>
        <v>-14006</v>
      </c>
      <c r="G92" s="292"/>
      <c r="K92" s="292"/>
      <c r="L92" s="292"/>
    </row>
    <row r="93" spans="1:12" ht="12.75">
      <c r="A93" s="292">
        <v>31</v>
      </c>
      <c r="B93" s="292" t="s">
        <v>410</v>
      </c>
      <c r="C93" s="292"/>
      <c r="D93" s="292"/>
      <c r="E93" s="292">
        <f>SUM(E86:E92)</f>
        <v>-213531.86200236002</v>
      </c>
      <c r="F93" s="294">
        <f>SUM(F86:F92)</f>
        <v>-193737.55968800004</v>
      </c>
      <c r="G93" s="292"/>
      <c r="K93" s="292"/>
      <c r="L93" s="292"/>
    </row>
    <row r="94" spans="1:7" ht="12.75">
      <c r="A94" s="292">
        <v>32</v>
      </c>
      <c r="B94" s="292"/>
      <c r="C94" s="292"/>
      <c r="D94" s="292"/>
      <c r="E94" s="292"/>
      <c r="F94" s="294"/>
      <c r="G94" s="292"/>
    </row>
    <row r="95" spans="1:7" ht="12.75">
      <c r="A95" s="292">
        <v>33</v>
      </c>
      <c r="B95" s="294" t="s">
        <v>244</v>
      </c>
      <c r="C95" s="294"/>
      <c r="D95" s="294"/>
      <c r="E95" s="294">
        <f>E77+E83+E93</f>
        <v>171281.50059122642</v>
      </c>
      <c r="F95" s="294">
        <f>F77+F83+F93</f>
        <v>86829.30416513942</v>
      </c>
      <c r="G95" s="292"/>
    </row>
    <row r="96" spans="1:7" ht="12.75">
      <c r="A96" s="292"/>
      <c r="B96" s="292"/>
      <c r="C96" s="292"/>
      <c r="D96" s="292"/>
      <c r="E96" s="292"/>
      <c r="F96" s="294"/>
      <c r="G96" s="292"/>
    </row>
    <row r="97" spans="1:7" ht="12.75">
      <c r="A97" s="292"/>
      <c r="B97" s="292"/>
      <c r="C97" s="292"/>
      <c r="D97" s="292"/>
      <c r="E97" s="292"/>
      <c r="F97" s="294"/>
      <c r="G97" s="292"/>
    </row>
    <row r="98" spans="1:7" ht="12.75">
      <c r="A98" s="292"/>
      <c r="B98" s="292"/>
      <c r="C98" s="292"/>
      <c r="D98" s="348"/>
      <c r="E98" s="292"/>
      <c r="F98" s="294"/>
      <c r="G98" s="292"/>
    </row>
    <row r="99" spans="3:7" ht="12.75">
      <c r="C99" s="292"/>
      <c r="D99" s="348"/>
      <c r="E99" s="292"/>
      <c r="F99" s="294"/>
      <c r="G99" s="292"/>
    </row>
    <row r="100" spans="1:7" ht="12.75">
      <c r="A100" s="292"/>
      <c r="C100" s="292"/>
      <c r="D100" s="348"/>
      <c r="E100" s="292"/>
      <c r="F100" s="294"/>
      <c r="G100" s="292"/>
    </row>
    <row r="101" spans="1:7" ht="12.75">
      <c r="A101" s="292"/>
      <c r="B101" s="292"/>
      <c r="C101" s="292" t="s">
        <v>411</v>
      </c>
      <c r="D101" s="292"/>
      <c r="E101" s="292">
        <f>E63+E67+E66+E70+E71+E83+E93+E75+E68+E69+E72+E73+E74+'interest credit calculations'!C80</f>
        <v>170950.38450288333</v>
      </c>
      <c r="F101" s="292">
        <f>F63+F67+F66+F70+F71+F83+F93+F75+F68+F69+F72+F73+F74+'interest credit calculations'!D80</f>
        <v>86593.4845241453</v>
      </c>
      <c r="G101" s="292"/>
    </row>
    <row r="102" spans="1:7" ht="12.75">
      <c r="A102" s="292"/>
      <c r="B102" s="292"/>
      <c r="G102" s="292"/>
    </row>
    <row r="103" spans="5:7" ht="12.75">
      <c r="E103" s="292"/>
      <c r="F103" s="294"/>
      <c r="G103" s="292"/>
    </row>
    <row r="104" spans="5:7" ht="12.75">
      <c r="E104" s="292"/>
      <c r="F104" s="294"/>
      <c r="G104" s="292"/>
    </row>
    <row r="105" spans="2:7" ht="12.75">
      <c r="B105" s="292"/>
      <c r="C105" s="292"/>
      <c r="D105" s="292"/>
      <c r="E105" s="292"/>
      <c r="F105" s="294"/>
      <c r="G105" s="292"/>
    </row>
    <row r="106" spans="5:7" ht="12.75">
      <c r="E106" s="292"/>
      <c r="F106" s="294"/>
      <c r="G106" s="292"/>
    </row>
    <row r="107" spans="5:7" ht="12.75">
      <c r="E107" s="292"/>
      <c r="F107" s="294"/>
      <c r="G107" s="292"/>
    </row>
    <row r="108" spans="5:7" ht="12.75">
      <c r="E108" s="292"/>
      <c r="F108" s="294"/>
      <c r="G108" s="292"/>
    </row>
    <row r="109" spans="5:7" ht="12.75">
      <c r="E109" s="292"/>
      <c r="F109" s="294"/>
      <c r="G109" s="292"/>
    </row>
    <row r="110" spans="5:7" ht="12.75">
      <c r="E110" s="292"/>
      <c r="F110" s="294"/>
      <c r="G110" s="292"/>
    </row>
    <row r="111" spans="5:7" ht="12.75">
      <c r="E111" s="292"/>
      <c r="F111" s="294"/>
      <c r="G111" s="292"/>
    </row>
    <row r="112" spans="5:7" ht="12.75">
      <c r="E112" s="292"/>
      <c r="F112" s="294"/>
      <c r="G112" s="292"/>
    </row>
    <row r="113" spans="5:7" ht="12.75">
      <c r="E113" s="292"/>
      <c r="F113" s="294"/>
      <c r="G113" s="292"/>
    </row>
    <row r="114" spans="5:7" ht="12.75">
      <c r="E114" s="292"/>
      <c r="F114" s="294"/>
      <c r="G114" s="292"/>
    </row>
    <row r="115" spans="5:7" ht="12.75">
      <c r="E115" s="292"/>
      <c r="F115" s="294"/>
      <c r="G115" s="292"/>
    </row>
    <row r="116" spans="5:7" ht="12.75">
      <c r="E116" s="292"/>
      <c r="F116" s="294"/>
      <c r="G116" s="292"/>
    </row>
    <row r="117" spans="5:7" ht="12.75">
      <c r="E117" s="292"/>
      <c r="F117" s="294"/>
      <c r="G117" s="292"/>
    </row>
    <row r="118" spans="5:7" ht="12.75">
      <c r="E118" s="292"/>
      <c r="F118" s="294"/>
      <c r="G118" s="292"/>
    </row>
    <row r="119" spans="5:7" ht="12.75">
      <c r="E119" s="292"/>
      <c r="F119" s="294"/>
      <c r="G119" s="292"/>
    </row>
    <row r="120" spans="5:7" ht="12.75">
      <c r="E120" s="292"/>
      <c r="F120" s="294"/>
      <c r="G120" s="292"/>
    </row>
    <row r="121" spans="5:7" ht="12.75">
      <c r="E121" s="292"/>
      <c r="F121" s="294"/>
      <c r="G121" s="292"/>
    </row>
    <row r="122" spans="5:7" ht="12.75">
      <c r="E122" s="292"/>
      <c r="F122" s="294"/>
      <c r="G122" s="292"/>
    </row>
    <row r="123" spans="5:7" ht="12.75">
      <c r="E123" s="292"/>
      <c r="F123" s="294"/>
      <c r="G123" s="292"/>
    </row>
    <row r="124" spans="5:7" ht="12.75">
      <c r="E124" s="292"/>
      <c r="F124" s="294"/>
      <c r="G124" s="292"/>
    </row>
    <row r="125" spans="5:7" ht="12.75">
      <c r="E125" s="292"/>
      <c r="F125" s="294"/>
      <c r="G125" s="292"/>
    </row>
    <row r="126" spans="5:7" ht="12.75">
      <c r="E126" s="292"/>
      <c r="F126" s="294"/>
      <c r="G126" s="292"/>
    </row>
    <row r="127" spans="5:7" ht="12.75">
      <c r="E127" s="292"/>
      <c r="F127" s="294"/>
      <c r="G127" s="292"/>
    </row>
    <row r="128" spans="5:7" ht="12.75">
      <c r="E128" s="292"/>
      <c r="F128" s="294"/>
      <c r="G128" s="292"/>
    </row>
    <row r="129" spans="5:7" ht="12.75">
      <c r="E129" s="292"/>
      <c r="F129" s="294"/>
      <c r="G129" s="292"/>
    </row>
    <row r="130" spans="5:7" ht="12.75">
      <c r="E130" s="292"/>
      <c r="F130" s="294"/>
      <c r="G130" s="292"/>
    </row>
    <row r="131" spans="5:7" ht="12.75">
      <c r="E131" s="292"/>
      <c r="F131" s="294"/>
      <c r="G131" s="292"/>
    </row>
    <row r="132" spans="5:7" ht="12.75">
      <c r="E132" s="292"/>
      <c r="F132" s="294"/>
      <c r="G132" s="292"/>
    </row>
    <row r="133" spans="5:7" ht="12.75">
      <c r="E133" s="292"/>
      <c r="F133" s="294"/>
      <c r="G133" s="292"/>
    </row>
    <row r="134" spans="5:7" ht="12.75">
      <c r="E134" s="292"/>
      <c r="F134" s="294"/>
      <c r="G134" s="292"/>
    </row>
    <row r="135" spans="5:7" ht="12.75">
      <c r="E135" s="292"/>
      <c r="F135" s="294"/>
      <c r="G135" s="292"/>
    </row>
    <row r="136" spans="5:7" ht="12.75">
      <c r="E136" s="292"/>
      <c r="F136" s="294"/>
      <c r="G136" s="292"/>
    </row>
    <row r="137" spans="5:7" ht="12.75">
      <c r="E137" s="292"/>
      <c r="F137" s="294"/>
      <c r="G137" s="292"/>
    </row>
    <row r="138" spans="5:7" ht="12.75">
      <c r="E138" s="292"/>
      <c r="F138" s="294"/>
      <c r="G138" s="292"/>
    </row>
    <row r="139" spans="5:7" ht="12.75">
      <c r="E139" s="292"/>
      <c r="F139" s="294"/>
      <c r="G139" s="292"/>
    </row>
    <row r="140" spans="5:7" ht="12.75">
      <c r="E140" s="292"/>
      <c r="F140" s="294"/>
      <c r="G140" s="292"/>
    </row>
    <row r="141" spans="5:7" ht="12.75">
      <c r="E141" s="292"/>
      <c r="F141" s="294"/>
      <c r="G141" s="292"/>
    </row>
    <row r="142" spans="5:7" ht="12.75">
      <c r="E142" s="292"/>
      <c r="F142" s="294"/>
      <c r="G142" s="292"/>
    </row>
    <row r="143" spans="5:7" ht="12.75">
      <c r="E143" s="292"/>
      <c r="F143" s="294"/>
      <c r="G143" s="292"/>
    </row>
    <row r="144" spans="5:7" ht="12.75">
      <c r="E144" s="292"/>
      <c r="F144" s="294"/>
      <c r="G144" s="292"/>
    </row>
    <row r="145" spans="5:7" ht="12.75">
      <c r="E145" s="292"/>
      <c r="F145" s="294"/>
      <c r="G145" s="292"/>
    </row>
    <row r="146" spans="5:7" ht="12.75">
      <c r="E146" s="292"/>
      <c r="F146" s="294"/>
      <c r="G146" s="292"/>
    </row>
    <row r="147" spans="5:7" ht="12.75">
      <c r="E147" s="292"/>
      <c r="F147" s="294"/>
      <c r="G147" s="292"/>
    </row>
    <row r="148" spans="5:7" ht="12.75">
      <c r="E148" s="292"/>
      <c r="F148" s="294"/>
      <c r="G148" s="292"/>
    </row>
    <row r="149" spans="5:7" ht="12.75">
      <c r="E149" s="292"/>
      <c r="F149" s="294"/>
      <c r="G149" s="292"/>
    </row>
    <row r="150" spans="5:7" ht="12.75">
      <c r="E150" s="292"/>
      <c r="F150" s="294"/>
      <c r="G150" s="292"/>
    </row>
    <row r="151" spans="5:7" ht="12.75">
      <c r="E151" s="292"/>
      <c r="F151" s="294"/>
      <c r="G151" s="292"/>
    </row>
    <row r="152" spans="5:7" ht="12.75">
      <c r="E152" s="292"/>
      <c r="F152" s="294"/>
      <c r="G152" s="292"/>
    </row>
    <row r="153" spans="5:7" ht="12.75">
      <c r="E153" s="292"/>
      <c r="F153" s="294"/>
      <c r="G153" s="292"/>
    </row>
    <row r="154" spans="5:7" ht="12.75">
      <c r="E154" s="292"/>
      <c r="F154" s="294"/>
      <c r="G154" s="292"/>
    </row>
  </sheetData>
  <mergeCells count="6">
    <mergeCell ref="A58:F58"/>
    <mergeCell ref="A1:F1"/>
    <mergeCell ref="A2:F2"/>
    <mergeCell ref="A3:F3"/>
    <mergeCell ref="A56:F56"/>
    <mergeCell ref="A57:F5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AK155"/>
  <sheetViews>
    <sheetView showGridLines="0" zoomScale="80" zoomScaleNormal="80" workbookViewId="0" topLeftCell="A9">
      <selection activeCell="Q109" sqref="Q109"/>
    </sheetView>
  </sheetViews>
  <sheetFormatPr defaultColWidth="11.00390625" defaultRowHeight="12.75"/>
  <cols>
    <col min="1" max="1" width="5.28125" style="318" customWidth="1"/>
    <col min="2" max="2" width="19.421875" style="292" customWidth="1"/>
    <col min="3" max="4" width="17.7109375" style="292" hidden="1" customWidth="1"/>
    <col min="5" max="5" width="18.7109375" style="292" hidden="1" customWidth="1"/>
    <col min="6" max="6" width="18.7109375" style="294" hidden="1" customWidth="1"/>
    <col min="7" max="7" width="19.00390625" style="292" hidden="1" customWidth="1"/>
    <col min="8" max="8" width="17.421875" style="292" hidden="1" customWidth="1"/>
    <col min="9" max="9" width="16.7109375" style="292" customWidth="1"/>
    <col min="10" max="10" width="18.8515625" style="292" customWidth="1"/>
    <col min="11" max="11" width="22.140625" style="292" customWidth="1"/>
    <col min="12" max="12" width="22.00390625" style="297" customWidth="1"/>
    <col min="13" max="13" width="19.00390625" style="297" customWidth="1"/>
    <col min="14" max="14" width="14.140625" style="297" customWidth="1"/>
    <col min="15" max="15" width="12.00390625" style="297" customWidth="1"/>
    <col min="16" max="17" width="25.00390625" style="297" customWidth="1"/>
    <col min="18" max="18" width="1.8515625" style="292" customWidth="1"/>
    <col min="19" max="19" width="17.8515625" style="292" customWidth="1"/>
    <col min="20" max="20" width="1.8515625" style="292" customWidth="1"/>
    <col min="21" max="21" width="19.00390625" style="292" customWidth="1"/>
    <col min="22" max="22" width="1.8515625" style="292" customWidth="1"/>
    <col min="23" max="23" width="16.7109375" style="292" customWidth="1"/>
    <col min="24" max="24" width="1.8515625" style="292" customWidth="1"/>
    <col min="25" max="25" width="16.7109375" style="292" customWidth="1"/>
    <col min="26" max="26" width="1.8515625" style="292" customWidth="1"/>
    <col min="27" max="27" width="16.7109375" style="292" customWidth="1"/>
    <col min="28" max="28" width="1.8515625" style="292" customWidth="1"/>
    <col min="29" max="29" width="16.7109375" style="292" customWidth="1"/>
    <col min="30" max="30" width="1.8515625" style="292" customWidth="1"/>
    <col min="31" max="31" width="17.8515625" style="292" customWidth="1"/>
    <col min="32" max="32" width="5.28125" style="292" customWidth="1"/>
    <col min="33" max="33" width="16.7109375" style="292" customWidth="1"/>
    <col min="34" max="34" width="5.28125" style="292" customWidth="1"/>
    <col min="35" max="35" width="14.421875" style="292" customWidth="1"/>
    <col min="36" max="36" width="1.8515625" style="292" customWidth="1"/>
    <col min="37" max="37" width="16.7109375" style="292" customWidth="1"/>
    <col min="38" max="247" width="11.00390625" style="292" customWidth="1"/>
    <col min="248" max="248" width="7.57421875" style="292" customWidth="1"/>
    <col min="249" max="249" width="15.57421875" style="292" customWidth="1"/>
    <col min="250" max="250" width="20.140625" style="292" customWidth="1"/>
    <col min="251" max="251" width="2.28125" style="292" customWidth="1"/>
    <col min="252" max="252" width="17.421875" style="292" customWidth="1"/>
    <col min="253" max="253" width="1.8515625" style="292" customWidth="1"/>
    <col min="254" max="254" width="18.7109375" style="292" customWidth="1"/>
    <col min="255" max="255" width="1.8515625" style="292" customWidth="1"/>
    <col min="256" max="256" width="23.00390625" style="292" customWidth="1"/>
    <col min="257" max="257" width="1.8515625" style="292" customWidth="1"/>
    <col min="258" max="258" width="17.421875" style="292" customWidth="1"/>
    <col min="259" max="259" width="3.00390625" style="292" customWidth="1"/>
    <col min="260" max="260" width="16.28125" style="292" customWidth="1"/>
    <col min="261" max="261" width="3.00390625" style="292" customWidth="1"/>
    <col min="262" max="262" width="14.140625" style="292" customWidth="1"/>
    <col min="263" max="263" width="2.00390625" style="292" customWidth="1"/>
    <col min="264" max="264" width="15.8515625" style="292" customWidth="1"/>
    <col min="265" max="265" width="3.140625" style="292" customWidth="1"/>
    <col min="266" max="266" width="17.8515625" style="292" customWidth="1"/>
    <col min="267" max="267" width="2.57421875" style="292" customWidth="1"/>
    <col min="268" max="268" width="15.57421875" style="292" customWidth="1"/>
    <col min="269" max="269" width="1.8515625" style="292" customWidth="1"/>
    <col min="270" max="270" width="14.140625" style="292" customWidth="1"/>
    <col min="271" max="271" width="11.00390625" style="292" customWidth="1"/>
    <col min="272" max="273" width="25.00390625" style="292" customWidth="1"/>
    <col min="274" max="274" width="1.8515625" style="292" customWidth="1"/>
    <col min="275" max="275" width="17.8515625" style="292" customWidth="1"/>
    <col min="276" max="276" width="1.8515625" style="292" customWidth="1"/>
    <col min="277" max="277" width="19.00390625" style="292" customWidth="1"/>
    <col min="278" max="278" width="1.8515625" style="292" customWidth="1"/>
    <col min="279" max="279" width="16.7109375" style="292" customWidth="1"/>
    <col min="280" max="280" width="1.8515625" style="292" customWidth="1"/>
    <col min="281" max="281" width="16.7109375" style="292" customWidth="1"/>
    <col min="282" max="282" width="1.8515625" style="292" customWidth="1"/>
    <col min="283" max="283" width="16.7109375" style="292" customWidth="1"/>
    <col min="284" max="284" width="1.8515625" style="292" customWidth="1"/>
    <col min="285" max="285" width="16.7109375" style="292" customWidth="1"/>
    <col min="286" max="286" width="1.8515625" style="292" customWidth="1"/>
    <col min="287" max="287" width="17.8515625" style="292" customWidth="1"/>
    <col min="288" max="288" width="5.28125" style="292" customWidth="1"/>
    <col min="289" max="289" width="16.7109375" style="292" customWidth="1"/>
    <col min="290" max="290" width="5.28125" style="292" customWidth="1"/>
    <col min="291" max="291" width="14.421875" style="292" customWidth="1"/>
    <col min="292" max="292" width="1.8515625" style="292" customWidth="1"/>
    <col min="293" max="293" width="16.7109375" style="292" customWidth="1"/>
    <col min="294" max="503" width="11.00390625" style="292" customWidth="1"/>
    <col min="504" max="504" width="7.57421875" style="292" customWidth="1"/>
    <col min="505" max="505" width="15.57421875" style="292" customWidth="1"/>
    <col min="506" max="506" width="20.140625" style="292" customWidth="1"/>
    <col min="507" max="507" width="2.28125" style="292" customWidth="1"/>
    <col min="508" max="508" width="17.421875" style="292" customWidth="1"/>
    <col min="509" max="509" width="1.8515625" style="292" customWidth="1"/>
    <col min="510" max="510" width="18.7109375" style="292" customWidth="1"/>
    <col min="511" max="511" width="1.8515625" style="292" customWidth="1"/>
    <col min="512" max="512" width="23.00390625" style="292" customWidth="1"/>
    <col min="513" max="513" width="1.8515625" style="292" customWidth="1"/>
    <col min="514" max="514" width="17.421875" style="292" customWidth="1"/>
    <col min="515" max="515" width="3.00390625" style="292" customWidth="1"/>
    <col min="516" max="516" width="16.28125" style="292" customWidth="1"/>
    <col min="517" max="517" width="3.00390625" style="292" customWidth="1"/>
    <col min="518" max="518" width="14.140625" style="292" customWidth="1"/>
    <col min="519" max="519" width="2.00390625" style="292" customWidth="1"/>
    <col min="520" max="520" width="15.8515625" style="292" customWidth="1"/>
    <col min="521" max="521" width="3.140625" style="292" customWidth="1"/>
    <col min="522" max="522" width="17.8515625" style="292" customWidth="1"/>
    <col min="523" max="523" width="2.57421875" style="292" customWidth="1"/>
    <col min="524" max="524" width="15.57421875" style="292" customWidth="1"/>
    <col min="525" max="525" width="1.8515625" style="292" customWidth="1"/>
    <col min="526" max="526" width="14.140625" style="292" customWidth="1"/>
    <col min="527" max="527" width="11.00390625" style="292" customWidth="1"/>
    <col min="528" max="529" width="25.00390625" style="292" customWidth="1"/>
    <col min="530" max="530" width="1.8515625" style="292" customWidth="1"/>
    <col min="531" max="531" width="17.8515625" style="292" customWidth="1"/>
    <col min="532" max="532" width="1.8515625" style="292" customWidth="1"/>
    <col min="533" max="533" width="19.00390625" style="292" customWidth="1"/>
    <col min="534" max="534" width="1.8515625" style="292" customWidth="1"/>
    <col min="535" max="535" width="16.7109375" style="292" customWidth="1"/>
    <col min="536" max="536" width="1.8515625" style="292" customWidth="1"/>
    <col min="537" max="537" width="16.7109375" style="292" customWidth="1"/>
    <col min="538" max="538" width="1.8515625" style="292" customWidth="1"/>
    <col min="539" max="539" width="16.7109375" style="292" customWidth="1"/>
    <col min="540" max="540" width="1.8515625" style="292" customWidth="1"/>
    <col min="541" max="541" width="16.7109375" style="292" customWidth="1"/>
    <col min="542" max="542" width="1.8515625" style="292" customWidth="1"/>
    <col min="543" max="543" width="17.8515625" style="292" customWidth="1"/>
    <col min="544" max="544" width="5.28125" style="292" customWidth="1"/>
    <col min="545" max="545" width="16.7109375" style="292" customWidth="1"/>
    <col min="546" max="546" width="5.28125" style="292" customWidth="1"/>
    <col min="547" max="547" width="14.421875" style="292" customWidth="1"/>
    <col min="548" max="548" width="1.8515625" style="292" customWidth="1"/>
    <col min="549" max="549" width="16.7109375" style="292" customWidth="1"/>
    <col min="550" max="759" width="11.00390625" style="292" customWidth="1"/>
    <col min="760" max="760" width="7.57421875" style="292" customWidth="1"/>
    <col min="761" max="761" width="15.57421875" style="292" customWidth="1"/>
    <col min="762" max="762" width="20.140625" style="292" customWidth="1"/>
    <col min="763" max="763" width="2.28125" style="292" customWidth="1"/>
    <col min="764" max="764" width="17.421875" style="292" customWidth="1"/>
    <col min="765" max="765" width="1.8515625" style="292" customWidth="1"/>
    <col min="766" max="766" width="18.7109375" style="292" customWidth="1"/>
    <col min="767" max="767" width="1.8515625" style="292" customWidth="1"/>
    <col min="768" max="768" width="23.00390625" style="292" customWidth="1"/>
    <col min="769" max="769" width="1.8515625" style="292" customWidth="1"/>
    <col min="770" max="770" width="17.421875" style="292" customWidth="1"/>
    <col min="771" max="771" width="3.00390625" style="292" customWidth="1"/>
    <col min="772" max="772" width="16.28125" style="292" customWidth="1"/>
    <col min="773" max="773" width="3.00390625" style="292" customWidth="1"/>
    <col min="774" max="774" width="14.140625" style="292" customWidth="1"/>
    <col min="775" max="775" width="2.00390625" style="292" customWidth="1"/>
    <col min="776" max="776" width="15.8515625" style="292" customWidth="1"/>
    <col min="777" max="777" width="3.140625" style="292" customWidth="1"/>
    <col min="778" max="778" width="17.8515625" style="292" customWidth="1"/>
    <col min="779" max="779" width="2.57421875" style="292" customWidth="1"/>
    <col min="780" max="780" width="15.57421875" style="292" customWidth="1"/>
    <col min="781" max="781" width="1.8515625" style="292" customWidth="1"/>
    <col min="782" max="782" width="14.140625" style="292" customWidth="1"/>
    <col min="783" max="783" width="11.00390625" style="292" customWidth="1"/>
    <col min="784" max="785" width="25.00390625" style="292" customWidth="1"/>
    <col min="786" max="786" width="1.8515625" style="292" customWidth="1"/>
    <col min="787" max="787" width="17.8515625" style="292" customWidth="1"/>
    <col min="788" max="788" width="1.8515625" style="292" customWidth="1"/>
    <col min="789" max="789" width="19.00390625" style="292" customWidth="1"/>
    <col min="790" max="790" width="1.8515625" style="292" customWidth="1"/>
    <col min="791" max="791" width="16.7109375" style="292" customWidth="1"/>
    <col min="792" max="792" width="1.8515625" style="292" customWidth="1"/>
    <col min="793" max="793" width="16.7109375" style="292" customWidth="1"/>
    <col min="794" max="794" width="1.8515625" style="292" customWidth="1"/>
    <col min="795" max="795" width="16.7109375" style="292" customWidth="1"/>
    <col min="796" max="796" width="1.8515625" style="292" customWidth="1"/>
    <col min="797" max="797" width="16.7109375" style="292" customWidth="1"/>
    <col min="798" max="798" width="1.8515625" style="292" customWidth="1"/>
    <col min="799" max="799" width="17.8515625" style="292" customWidth="1"/>
    <col min="800" max="800" width="5.28125" style="292" customWidth="1"/>
    <col min="801" max="801" width="16.7109375" style="292" customWidth="1"/>
    <col min="802" max="802" width="5.28125" style="292" customWidth="1"/>
    <col min="803" max="803" width="14.421875" style="292" customWidth="1"/>
    <col min="804" max="804" width="1.8515625" style="292" customWidth="1"/>
    <col min="805" max="805" width="16.7109375" style="292" customWidth="1"/>
    <col min="806" max="1015" width="11.00390625" style="292" customWidth="1"/>
    <col min="1016" max="1016" width="7.57421875" style="292" customWidth="1"/>
    <col min="1017" max="1017" width="15.57421875" style="292" customWidth="1"/>
    <col min="1018" max="1018" width="20.140625" style="292" customWidth="1"/>
    <col min="1019" max="1019" width="2.28125" style="292" customWidth="1"/>
    <col min="1020" max="1020" width="17.421875" style="292" customWidth="1"/>
    <col min="1021" max="1021" width="1.8515625" style="292" customWidth="1"/>
    <col min="1022" max="1022" width="18.7109375" style="292" customWidth="1"/>
    <col min="1023" max="1023" width="1.8515625" style="292" customWidth="1"/>
    <col min="1024" max="1024" width="23.00390625" style="292" customWidth="1"/>
    <col min="1025" max="1025" width="1.8515625" style="292" customWidth="1"/>
    <col min="1026" max="1026" width="17.421875" style="292" customWidth="1"/>
    <col min="1027" max="1027" width="3.00390625" style="292" customWidth="1"/>
    <col min="1028" max="1028" width="16.28125" style="292" customWidth="1"/>
    <col min="1029" max="1029" width="3.00390625" style="292" customWidth="1"/>
    <col min="1030" max="1030" width="14.140625" style="292" customWidth="1"/>
    <col min="1031" max="1031" width="2.00390625" style="292" customWidth="1"/>
    <col min="1032" max="1032" width="15.8515625" style="292" customWidth="1"/>
    <col min="1033" max="1033" width="3.140625" style="292" customWidth="1"/>
    <col min="1034" max="1034" width="17.8515625" style="292" customWidth="1"/>
    <col min="1035" max="1035" width="2.57421875" style="292" customWidth="1"/>
    <col min="1036" max="1036" width="15.57421875" style="292" customWidth="1"/>
    <col min="1037" max="1037" width="1.8515625" style="292" customWidth="1"/>
    <col min="1038" max="1038" width="14.140625" style="292" customWidth="1"/>
    <col min="1039" max="1039" width="11.00390625" style="292" customWidth="1"/>
    <col min="1040" max="1041" width="25.00390625" style="292" customWidth="1"/>
    <col min="1042" max="1042" width="1.8515625" style="292" customWidth="1"/>
    <col min="1043" max="1043" width="17.8515625" style="292" customWidth="1"/>
    <col min="1044" max="1044" width="1.8515625" style="292" customWidth="1"/>
    <col min="1045" max="1045" width="19.00390625" style="292" customWidth="1"/>
    <col min="1046" max="1046" width="1.8515625" style="292" customWidth="1"/>
    <col min="1047" max="1047" width="16.7109375" style="292" customWidth="1"/>
    <col min="1048" max="1048" width="1.8515625" style="292" customWidth="1"/>
    <col min="1049" max="1049" width="16.7109375" style="292" customWidth="1"/>
    <col min="1050" max="1050" width="1.8515625" style="292" customWidth="1"/>
    <col min="1051" max="1051" width="16.7109375" style="292" customWidth="1"/>
    <col min="1052" max="1052" width="1.8515625" style="292" customWidth="1"/>
    <col min="1053" max="1053" width="16.7109375" style="292" customWidth="1"/>
    <col min="1054" max="1054" width="1.8515625" style="292" customWidth="1"/>
    <col min="1055" max="1055" width="17.8515625" style="292" customWidth="1"/>
    <col min="1056" max="1056" width="5.28125" style="292" customWidth="1"/>
    <col min="1057" max="1057" width="16.7109375" style="292" customWidth="1"/>
    <col min="1058" max="1058" width="5.28125" style="292" customWidth="1"/>
    <col min="1059" max="1059" width="14.421875" style="292" customWidth="1"/>
    <col min="1060" max="1060" width="1.8515625" style="292" customWidth="1"/>
    <col min="1061" max="1061" width="16.7109375" style="292" customWidth="1"/>
    <col min="1062" max="1271" width="11.00390625" style="292" customWidth="1"/>
    <col min="1272" max="1272" width="7.57421875" style="292" customWidth="1"/>
    <col min="1273" max="1273" width="15.57421875" style="292" customWidth="1"/>
    <col min="1274" max="1274" width="20.140625" style="292" customWidth="1"/>
    <col min="1275" max="1275" width="2.28125" style="292" customWidth="1"/>
    <col min="1276" max="1276" width="17.421875" style="292" customWidth="1"/>
    <col min="1277" max="1277" width="1.8515625" style="292" customWidth="1"/>
    <col min="1278" max="1278" width="18.7109375" style="292" customWidth="1"/>
    <col min="1279" max="1279" width="1.8515625" style="292" customWidth="1"/>
    <col min="1280" max="1280" width="23.00390625" style="292" customWidth="1"/>
    <col min="1281" max="1281" width="1.8515625" style="292" customWidth="1"/>
    <col min="1282" max="1282" width="17.421875" style="292" customWidth="1"/>
    <col min="1283" max="1283" width="3.00390625" style="292" customWidth="1"/>
    <col min="1284" max="1284" width="16.28125" style="292" customWidth="1"/>
    <col min="1285" max="1285" width="3.00390625" style="292" customWidth="1"/>
    <col min="1286" max="1286" width="14.140625" style="292" customWidth="1"/>
    <col min="1287" max="1287" width="2.00390625" style="292" customWidth="1"/>
    <col min="1288" max="1288" width="15.8515625" style="292" customWidth="1"/>
    <col min="1289" max="1289" width="3.140625" style="292" customWidth="1"/>
    <col min="1290" max="1290" width="17.8515625" style="292" customWidth="1"/>
    <col min="1291" max="1291" width="2.57421875" style="292" customWidth="1"/>
    <col min="1292" max="1292" width="15.57421875" style="292" customWidth="1"/>
    <col min="1293" max="1293" width="1.8515625" style="292" customWidth="1"/>
    <col min="1294" max="1294" width="14.140625" style="292" customWidth="1"/>
    <col min="1295" max="1295" width="11.00390625" style="292" customWidth="1"/>
    <col min="1296" max="1297" width="25.00390625" style="292" customWidth="1"/>
    <col min="1298" max="1298" width="1.8515625" style="292" customWidth="1"/>
    <col min="1299" max="1299" width="17.8515625" style="292" customWidth="1"/>
    <col min="1300" max="1300" width="1.8515625" style="292" customWidth="1"/>
    <col min="1301" max="1301" width="19.00390625" style="292" customWidth="1"/>
    <col min="1302" max="1302" width="1.8515625" style="292" customWidth="1"/>
    <col min="1303" max="1303" width="16.7109375" style="292" customWidth="1"/>
    <col min="1304" max="1304" width="1.8515625" style="292" customWidth="1"/>
    <col min="1305" max="1305" width="16.7109375" style="292" customWidth="1"/>
    <col min="1306" max="1306" width="1.8515625" style="292" customWidth="1"/>
    <col min="1307" max="1307" width="16.7109375" style="292" customWidth="1"/>
    <col min="1308" max="1308" width="1.8515625" style="292" customWidth="1"/>
    <col min="1309" max="1309" width="16.7109375" style="292" customWidth="1"/>
    <col min="1310" max="1310" width="1.8515625" style="292" customWidth="1"/>
    <col min="1311" max="1311" width="17.8515625" style="292" customWidth="1"/>
    <col min="1312" max="1312" width="5.28125" style="292" customWidth="1"/>
    <col min="1313" max="1313" width="16.7109375" style="292" customWidth="1"/>
    <col min="1314" max="1314" width="5.28125" style="292" customWidth="1"/>
    <col min="1315" max="1315" width="14.421875" style="292" customWidth="1"/>
    <col min="1316" max="1316" width="1.8515625" style="292" customWidth="1"/>
    <col min="1317" max="1317" width="16.7109375" style="292" customWidth="1"/>
    <col min="1318" max="1527" width="11.00390625" style="292" customWidth="1"/>
    <col min="1528" max="1528" width="7.57421875" style="292" customWidth="1"/>
    <col min="1529" max="1529" width="15.57421875" style="292" customWidth="1"/>
    <col min="1530" max="1530" width="20.140625" style="292" customWidth="1"/>
    <col min="1531" max="1531" width="2.28125" style="292" customWidth="1"/>
    <col min="1532" max="1532" width="17.421875" style="292" customWidth="1"/>
    <col min="1533" max="1533" width="1.8515625" style="292" customWidth="1"/>
    <col min="1534" max="1534" width="18.7109375" style="292" customWidth="1"/>
    <col min="1535" max="1535" width="1.8515625" style="292" customWidth="1"/>
    <col min="1536" max="1536" width="23.00390625" style="292" customWidth="1"/>
    <col min="1537" max="1537" width="1.8515625" style="292" customWidth="1"/>
    <col min="1538" max="1538" width="17.421875" style="292" customWidth="1"/>
    <col min="1539" max="1539" width="3.00390625" style="292" customWidth="1"/>
    <col min="1540" max="1540" width="16.28125" style="292" customWidth="1"/>
    <col min="1541" max="1541" width="3.00390625" style="292" customWidth="1"/>
    <col min="1542" max="1542" width="14.140625" style="292" customWidth="1"/>
    <col min="1543" max="1543" width="2.00390625" style="292" customWidth="1"/>
    <col min="1544" max="1544" width="15.8515625" style="292" customWidth="1"/>
    <col min="1545" max="1545" width="3.140625" style="292" customWidth="1"/>
    <col min="1546" max="1546" width="17.8515625" style="292" customWidth="1"/>
    <col min="1547" max="1547" width="2.57421875" style="292" customWidth="1"/>
    <col min="1548" max="1548" width="15.57421875" style="292" customWidth="1"/>
    <col min="1549" max="1549" width="1.8515625" style="292" customWidth="1"/>
    <col min="1550" max="1550" width="14.140625" style="292" customWidth="1"/>
    <col min="1551" max="1551" width="11.00390625" style="292" customWidth="1"/>
    <col min="1552" max="1553" width="25.00390625" style="292" customWidth="1"/>
    <col min="1554" max="1554" width="1.8515625" style="292" customWidth="1"/>
    <col min="1555" max="1555" width="17.8515625" style="292" customWidth="1"/>
    <col min="1556" max="1556" width="1.8515625" style="292" customWidth="1"/>
    <col min="1557" max="1557" width="19.00390625" style="292" customWidth="1"/>
    <col min="1558" max="1558" width="1.8515625" style="292" customWidth="1"/>
    <col min="1559" max="1559" width="16.7109375" style="292" customWidth="1"/>
    <col min="1560" max="1560" width="1.8515625" style="292" customWidth="1"/>
    <col min="1561" max="1561" width="16.7109375" style="292" customWidth="1"/>
    <col min="1562" max="1562" width="1.8515625" style="292" customWidth="1"/>
    <col min="1563" max="1563" width="16.7109375" style="292" customWidth="1"/>
    <col min="1564" max="1564" width="1.8515625" style="292" customWidth="1"/>
    <col min="1565" max="1565" width="16.7109375" style="292" customWidth="1"/>
    <col min="1566" max="1566" width="1.8515625" style="292" customWidth="1"/>
    <col min="1567" max="1567" width="17.8515625" style="292" customWidth="1"/>
    <col min="1568" max="1568" width="5.28125" style="292" customWidth="1"/>
    <col min="1569" max="1569" width="16.7109375" style="292" customWidth="1"/>
    <col min="1570" max="1570" width="5.28125" style="292" customWidth="1"/>
    <col min="1571" max="1571" width="14.421875" style="292" customWidth="1"/>
    <col min="1572" max="1572" width="1.8515625" style="292" customWidth="1"/>
    <col min="1573" max="1573" width="16.7109375" style="292" customWidth="1"/>
    <col min="1574" max="1783" width="11.00390625" style="292" customWidth="1"/>
    <col min="1784" max="1784" width="7.57421875" style="292" customWidth="1"/>
    <col min="1785" max="1785" width="15.57421875" style="292" customWidth="1"/>
    <col min="1786" max="1786" width="20.140625" style="292" customWidth="1"/>
    <col min="1787" max="1787" width="2.28125" style="292" customWidth="1"/>
    <col min="1788" max="1788" width="17.421875" style="292" customWidth="1"/>
    <col min="1789" max="1789" width="1.8515625" style="292" customWidth="1"/>
    <col min="1790" max="1790" width="18.7109375" style="292" customWidth="1"/>
    <col min="1791" max="1791" width="1.8515625" style="292" customWidth="1"/>
    <col min="1792" max="1792" width="23.00390625" style="292" customWidth="1"/>
    <col min="1793" max="1793" width="1.8515625" style="292" customWidth="1"/>
    <col min="1794" max="1794" width="17.421875" style="292" customWidth="1"/>
    <col min="1795" max="1795" width="3.00390625" style="292" customWidth="1"/>
    <col min="1796" max="1796" width="16.28125" style="292" customWidth="1"/>
    <col min="1797" max="1797" width="3.00390625" style="292" customWidth="1"/>
    <col min="1798" max="1798" width="14.140625" style="292" customWidth="1"/>
    <col min="1799" max="1799" width="2.00390625" style="292" customWidth="1"/>
    <col min="1800" max="1800" width="15.8515625" style="292" customWidth="1"/>
    <col min="1801" max="1801" width="3.140625" style="292" customWidth="1"/>
    <col min="1802" max="1802" width="17.8515625" style="292" customWidth="1"/>
    <col min="1803" max="1803" width="2.57421875" style="292" customWidth="1"/>
    <col min="1804" max="1804" width="15.57421875" style="292" customWidth="1"/>
    <col min="1805" max="1805" width="1.8515625" style="292" customWidth="1"/>
    <col min="1806" max="1806" width="14.140625" style="292" customWidth="1"/>
    <col min="1807" max="1807" width="11.00390625" style="292" customWidth="1"/>
    <col min="1808" max="1809" width="25.00390625" style="292" customWidth="1"/>
    <col min="1810" max="1810" width="1.8515625" style="292" customWidth="1"/>
    <col min="1811" max="1811" width="17.8515625" style="292" customWidth="1"/>
    <col min="1812" max="1812" width="1.8515625" style="292" customWidth="1"/>
    <col min="1813" max="1813" width="19.00390625" style="292" customWidth="1"/>
    <col min="1814" max="1814" width="1.8515625" style="292" customWidth="1"/>
    <col min="1815" max="1815" width="16.7109375" style="292" customWidth="1"/>
    <col min="1816" max="1816" width="1.8515625" style="292" customWidth="1"/>
    <col min="1817" max="1817" width="16.7109375" style="292" customWidth="1"/>
    <col min="1818" max="1818" width="1.8515625" style="292" customWidth="1"/>
    <col min="1819" max="1819" width="16.7109375" style="292" customWidth="1"/>
    <col min="1820" max="1820" width="1.8515625" style="292" customWidth="1"/>
    <col min="1821" max="1821" width="16.7109375" style="292" customWidth="1"/>
    <col min="1822" max="1822" width="1.8515625" style="292" customWidth="1"/>
    <col min="1823" max="1823" width="17.8515625" style="292" customWidth="1"/>
    <col min="1824" max="1824" width="5.28125" style="292" customWidth="1"/>
    <col min="1825" max="1825" width="16.7109375" style="292" customWidth="1"/>
    <col min="1826" max="1826" width="5.28125" style="292" customWidth="1"/>
    <col min="1827" max="1827" width="14.421875" style="292" customWidth="1"/>
    <col min="1828" max="1828" width="1.8515625" style="292" customWidth="1"/>
    <col min="1829" max="1829" width="16.7109375" style="292" customWidth="1"/>
    <col min="1830" max="2039" width="11.00390625" style="292" customWidth="1"/>
    <col min="2040" max="2040" width="7.57421875" style="292" customWidth="1"/>
    <col min="2041" max="2041" width="15.57421875" style="292" customWidth="1"/>
    <col min="2042" max="2042" width="20.140625" style="292" customWidth="1"/>
    <col min="2043" max="2043" width="2.28125" style="292" customWidth="1"/>
    <col min="2044" max="2044" width="17.421875" style="292" customWidth="1"/>
    <col min="2045" max="2045" width="1.8515625" style="292" customWidth="1"/>
    <col min="2046" max="2046" width="18.7109375" style="292" customWidth="1"/>
    <col min="2047" max="2047" width="1.8515625" style="292" customWidth="1"/>
    <col min="2048" max="2048" width="23.00390625" style="292" customWidth="1"/>
    <col min="2049" max="2049" width="1.8515625" style="292" customWidth="1"/>
    <col min="2050" max="2050" width="17.421875" style="292" customWidth="1"/>
    <col min="2051" max="2051" width="3.00390625" style="292" customWidth="1"/>
    <col min="2052" max="2052" width="16.28125" style="292" customWidth="1"/>
    <col min="2053" max="2053" width="3.00390625" style="292" customWidth="1"/>
    <col min="2054" max="2054" width="14.140625" style="292" customWidth="1"/>
    <col min="2055" max="2055" width="2.00390625" style="292" customWidth="1"/>
    <col min="2056" max="2056" width="15.8515625" style="292" customWidth="1"/>
    <col min="2057" max="2057" width="3.140625" style="292" customWidth="1"/>
    <col min="2058" max="2058" width="17.8515625" style="292" customWidth="1"/>
    <col min="2059" max="2059" width="2.57421875" style="292" customWidth="1"/>
    <col min="2060" max="2060" width="15.57421875" style="292" customWidth="1"/>
    <col min="2061" max="2061" width="1.8515625" style="292" customWidth="1"/>
    <col min="2062" max="2062" width="14.140625" style="292" customWidth="1"/>
    <col min="2063" max="2063" width="11.00390625" style="292" customWidth="1"/>
    <col min="2064" max="2065" width="25.00390625" style="292" customWidth="1"/>
    <col min="2066" max="2066" width="1.8515625" style="292" customWidth="1"/>
    <col min="2067" max="2067" width="17.8515625" style="292" customWidth="1"/>
    <col min="2068" max="2068" width="1.8515625" style="292" customWidth="1"/>
    <col min="2069" max="2069" width="19.00390625" style="292" customWidth="1"/>
    <col min="2070" max="2070" width="1.8515625" style="292" customWidth="1"/>
    <col min="2071" max="2071" width="16.7109375" style="292" customWidth="1"/>
    <col min="2072" max="2072" width="1.8515625" style="292" customWidth="1"/>
    <col min="2073" max="2073" width="16.7109375" style="292" customWidth="1"/>
    <col min="2074" max="2074" width="1.8515625" style="292" customWidth="1"/>
    <col min="2075" max="2075" width="16.7109375" style="292" customWidth="1"/>
    <col min="2076" max="2076" width="1.8515625" style="292" customWidth="1"/>
    <col min="2077" max="2077" width="16.7109375" style="292" customWidth="1"/>
    <col min="2078" max="2078" width="1.8515625" style="292" customWidth="1"/>
    <col min="2079" max="2079" width="17.8515625" style="292" customWidth="1"/>
    <col min="2080" max="2080" width="5.28125" style="292" customWidth="1"/>
    <col min="2081" max="2081" width="16.7109375" style="292" customWidth="1"/>
    <col min="2082" max="2082" width="5.28125" style="292" customWidth="1"/>
    <col min="2083" max="2083" width="14.421875" style="292" customWidth="1"/>
    <col min="2084" max="2084" width="1.8515625" style="292" customWidth="1"/>
    <col min="2085" max="2085" width="16.7109375" style="292" customWidth="1"/>
    <col min="2086" max="2295" width="11.00390625" style="292" customWidth="1"/>
    <col min="2296" max="2296" width="7.57421875" style="292" customWidth="1"/>
    <col min="2297" max="2297" width="15.57421875" style="292" customWidth="1"/>
    <col min="2298" max="2298" width="20.140625" style="292" customWidth="1"/>
    <col min="2299" max="2299" width="2.28125" style="292" customWidth="1"/>
    <col min="2300" max="2300" width="17.421875" style="292" customWidth="1"/>
    <col min="2301" max="2301" width="1.8515625" style="292" customWidth="1"/>
    <col min="2302" max="2302" width="18.7109375" style="292" customWidth="1"/>
    <col min="2303" max="2303" width="1.8515625" style="292" customWidth="1"/>
    <col min="2304" max="2304" width="23.00390625" style="292" customWidth="1"/>
    <col min="2305" max="2305" width="1.8515625" style="292" customWidth="1"/>
    <col min="2306" max="2306" width="17.421875" style="292" customWidth="1"/>
    <col min="2307" max="2307" width="3.00390625" style="292" customWidth="1"/>
    <col min="2308" max="2308" width="16.28125" style="292" customWidth="1"/>
    <col min="2309" max="2309" width="3.00390625" style="292" customWidth="1"/>
    <col min="2310" max="2310" width="14.140625" style="292" customWidth="1"/>
    <col min="2311" max="2311" width="2.00390625" style="292" customWidth="1"/>
    <col min="2312" max="2312" width="15.8515625" style="292" customWidth="1"/>
    <col min="2313" max="2313" width="3.140625" style="292" customWidth="1"/>
    <col min="2314" max="2314" width="17.8515625" style="292" customWidth="1"/>
    <col min="2315" max="2315" width="2.57421875" style="292" customWidth="1"/>
    <col min="2316" max="2316" width="15.57421875" style="292" customWidth="1"/>
    <col min="2317" max="2317" width="1.8515625" style="292" customWidth="1"/>
    <col min="2318" max="2318" width="14.140625" style="292" customWidth="1"/>
    <col min="2319" max="2319" width="11.00390625" style="292" customWidth="1"/>
    <col min="2320" max="2321" width="25.00390625" style="292" customWidth="1"/>
    <col min="2322" max="2322" width="1.8515625" style="292" customWidth="1"/>
    <col min="2323" max="2323" width="17.8515625" style="292" customWidth="1"/>
    <col min="2324" max="2324" width="1.8515625" style="292" customWidth="1"/>
    <col min="2325" max="2325" width="19.00390625" style="292" customWidth="1"/>
    <col min="2326" max="2326" width="1.8515625" style="292" customWidth="1"/>
    <col min="2327" max="2327" width="16.7109375" style="292" customWidth="1"/>
    <col min="2328" max="2328" width="1.8515625" style="292" customWidth="1"/>
    <col min="2329" max="2329" width="16.7109375" style="292" customWidth="1"/>
    <col min="2330" max="2330" width="1.8515625" style="292" customWidth="1"/>
    <col min="2331" max="2331" width="16.7109375" style="292" customWidth="1"/>
    <col min="2332" max="2332" width="1.8515625" style="292" customWidth="1"/>
    <col min="2333" max="2333" width="16.7109375" style="292" customWidth="1"/>
    <col min="2334" max="2334" width="1.8515625" style="292" customWidth="1"/>
    <col min="2335" max="2335" width="17.8515625" style="292" customWidth="1"/>
    <col min="2336" max="2336" width="5.28125" style="292" customWidth="1"/>
    <col min="2337" max="2337" width="16.7109375" style="292" customWidth="1"/>
    <col min="2338" max="2338" width="5.28125" style="292" customWidth="1"/>
    <col min="2339" max="2339" width="14.421875" style="292" customWidth="1"/>
    <col min="2340" max="2340" width="1.8515625" style="292" customWidth="1"/>
    <col min="2341" max="2341" width="16.7109375" style="292" customWidth="1"/>
    <col min="2342" max="2551" width="11.00390625" style="292" customWidth="1"/>
    <col min="2552" max="2552" width="7.57421875" style="292" customWidth="1"/>
    <col min="2553" max="2553" width="15.57421875" style="292" customWidth="1"/>
    <col min="2554" max="2554" width="20.140625" style="292" customWidth="1"/>
    <col min="2555" max="2555" width="2.28125" style="292" customWidth="1"/>
    <col min="2556" max="2556" width="17.421875" style="292" customWidth="1"/>
    <col min="2557" max="2557" width="1.8515625" style="292" customWidth="1"/>
    <col min="2558" max="2558" width="18.7109375" style="292" customWidth="1"/>
    <col min="2559" max="2559" width="1.8515625" style="292" customWidth="1"/>
    <col min="2560" max="2560" width="23.00390625" style="292" customWidth="1"/>
    <col min="2561" max="2561" width="1.8515625" style="292" customWidth="1"/>
    <col min="2562" max="2562" width="17.421875" style="292" customWidth="1"/>
    <col min="2563" max="2563" width="3.00390625" style="292" customWidth="1"/>
    <col min="2564" max="2564" width="16.28125" style="292" customWidth="1"/>
    <col min="2565" max="2565" width="3.00390625" style="292" customWidth="1"/>
    <col min="2566" max="2566" width="14.140625" style="292" customWidth="1"/>
    <col min="2567" max="2567" width="2.00390625" style="292" customWidth="1"/>
    <col min="2568" max="2568" width="15.8515625" style="292" customWidth="1"/>
    <col min="2569" max="2569" width="3.140625" style="292" customWidth="1"/>
    <col min="2570" max="2570" width="17.8515625" style="292" customWidth="1"/>
    <col min="2571" max="2571" width="2.57421875" style="292" customWidth="1"/>
    <col min="2572" max="2572" width="15.57421875" style="292" customWidth="1"/>
    <col min="2573" max="2573" width="1.8515625" style="292" customWidth="1"/>
    <col min="2574" max="2574" width="14.140625" style="292" customWidth="1"/>
    <col min="2575" max="2575" width="11.00390625" style="292" customWidth="1"/>
    <col min="2576" max="2577" width="25.00390625" style="292" customWidth="1"/>
    <col min="2578" max="2578" width="1.8515625" style="292" customWidth="1"/>
    <col min="2579" max="2579" width="17.8515625" style="292" customWidth="1"/>
    <col min="2580" max="2580" width="1.8515625" style="292" customWidth="1"/>
    <col min="2581" max="2581" width="19.00390625" style="292" customWidth="1"/>
    <col min="2582" max="2582" width="1.8515625" style="292" customWidth="1"/>
    <col min="2583" max="2583" width="16.7109375" style="292" customWidth="1"/>
    <col min="2584" max="2584" width="1.8515625" style="292" customWidth="1"/>
    <col min="2585" max="2585" width="16.7109375" style="292" customWidth="1"/>
    <col min="2586" max="2586" width="1.8515625" style="292" customWidth="1"/>
    <col min="2587" max="2587" width="16.7109375" style="292" customWidth="1"/>
    <col min="2588" max="2588" width="1.8515625" style="292" customWidth="1"/>
    <col min="2589" max="2589" width="16.7109375" style="292" customWidth="1"/>
    <col min="2590" max="2590" width="1.8515625" style="292" customWidth="1"/>
    <col min="2591" max="2591" width="17.8515625" style="292" customWidth="1"/>
    <col min="2592" max="2592" width="5.28125" style="292" customWidth="1"/>
    <col min="2593" max="2593" width="16.7109375" style="292" customWidth="1"/>
    <col min="2594" max="2594" width="5.28125" style="292" customWidth="1"/>
    <col min="2595" max="2595" width="14.421875" style="292" customWidth="1"/>
    <col min="2596" max="2596" width="1.8515625" style="292" customWidth="1"/>
    <col min="2597" max="2597" width="16.7109375" style="292" customWidth="1"/>
    <col min="2598" max="2807" width="11.00390625" style="292" customWidth="1"/>
    <col min="2808" max="2808" width="7.57421875" style="292" customWidth="1"/>
    <col min="2809" max="2809" width="15.57421875" style="292" customWidth="1"/>
    <col min="2810" max="2810" width="20.140625" style="292" customWidth="1"/>
    <col min="2811" max="2811" width="2.28125" style="292" customWidth="1"/>
    <col min="2812" max="2812" width="17.421875" style="292" customWidth="1"/>
    <col min="2813" max="2813" width="1.8515625" style="292" customWidth="1"/>
    <col min="2814" max="2814" width="18.7109375" style="292" customWidth="1"/>
    <col min="2815" max="2815" width="1.8515625" style="292" customWidth="1"/>
    <col min="2816" max="2816" width="23.00390625" style="292" customWidth="1"/>
    <col min="2817" max="2817" width="1.8515625" style="292" customWidth="1"/>
    <col min="2818" max="2818" width="17.421875" style="292" customWidth="1"/>
    <col min="2819" max="2819" width="3.00390625" style="292" customWidth="1"/>
    <col min="2820" max="2820" width="16.28125" style="292" customWidth="1"/>
    <col min="2821" max="2821" width="3.00390625" style="292" customWidth="1"/>
    <col min="2822" max="2822" width="14.140625" style="292" customWidth="1"/>
    <col min="2823" max="2823" width="2.00390625" style="292" customWidth="1"/>
    <col min="2824" max="2824" width="15.8515625" style="292" customWidth="1"/>
    <col min="2825" max="2825" width="3.140625" style="292" customWidth="1"/>
    <col min="2826" max="2826" width="17.8515625" style="292" customWidth="1"/>
    <col min="2827" max="2827" width="2.57421875" style="292" customWidth="1"/>
    <col min="2828" max="2828" width="15.57421875" style="292" customWidth="1"/>
    <col min="2829" max="2829" width="1.8515625" style="292" customWidth="1"/>
    <col min="2830" max="2830" width="14.140625" style="292" customWidth="1"/>
    <col min="2831" max="2831" width="11.00390625" style="292" customWidth="1"/>
    <col min="2832" max="2833" width="25.00390625" style="292" customWidth="1"/>
    <col min="2834" max="2834" width="1.8515625" style="292" customWidth="1"/>
    <col min="2835" max="2835" width="17.8515625" style="292" customWidth="1"/>
    <col min="2836" max="2836" width="1.8515625" style="292" customWidth="1"/>
    <col min="2837" max="2837" width="19.00390625" style="292" customWidth="1"/>
    <col min="2838" max="2838" width="1.8515625" style="292" customWidth="1"/>
    <col min="2839" max="2839" width="16.7109375" style="292" customWidth="1"/>
    <col min="2840" max="2840" width="1.8515625" style="292" customWidth="1"/>
    <col min="2841" max="2841" width="16.7109375" style="292" customWidth="1"/>
    <col min="2842" max="2842" width="1.8515625" style="292" customWidth="1"/>
    <col min="2843" max="2843" width="16.7109375" style="292" customWidth="1"/>
    <col min="2844" max="2844" width="1.8515625" style="292" customWidth="1"/>
    <col min="2845" max="2845" width="16.7109375" style="292" customWidth="1"/>
    <col min="2846" max="2846" width="1.8515625" style="292" customWidth="1"/>
    <col min="2847" max="2847" width="17.8515625" style="292" customWidth="1"/>
    <col min="2848" max="2848" width="5.28125" style="292" customWidth="1"/>
    <col min="2849" max="2849" width="16.7109375" style="292" customWidth="1"/>
    <col min="2850" max="2850" width="5.28125" style="292" customWidth="1"/>
    <col min="2851" max="2851" width="14.421875" style="292" customWidth="1"/>
    <col min="2852" max="2852" width="1.8515625" style="292" customWidth="1"/>
    <col min="2853" max="2853" width="16.7109375" style="292" customWidth="1"/>
    <col min="2854" max="3063" width="11.00390625" style="292" customWidth="1"/>
    <col min="3064" max="3064" width="7.57421875" style="292" customWidth="1"/>
    <col min="3065" max="3065" width="15.57421875" style="292" customWidth="1"/>
    <col min="3066" max="3066" width="20.140625" style="292" customWidth="1"/>
    <col min="3067" max="3067" width="2.28125" style="292" customWidth="1"/>
    <col min="3068" max="3068" width="17.421875" style="292" customWidth="1"/>
    <col min="3069" max="3069" width="1.8515625" style="292" customWidth="1"/>
    <col min="3070" max="3070" width="18.7109375" style="292" customWidth="1"/>
    <col min="3071" max="3071" width="1.8515625" style="292" customWidth="1"/>
    <col min="3072" max="3072" width="23.00390625" style="292" customWidth="1"/>
    <col min="3073" max="3073" width="1.8515625" style="292" customWidth="1"/>
    <col min="3074" max="3074" width="17.421875" style="292" customWidth="1"/>
    <col min="3075" max="3075" width="3.00390625" style="292" customWidth="1"/>
    <col min="3076" max="3076" width="16.28125" style="292" customWidth="1"/>
    <col min="3077" max="3077" width="3.00390625" style="292" customWidth="1"/>
    <col min="3078" max="3078" width="14.140625" style="292" customWidth="1"/>
    <col min="3079" max="3079" width="2.00390625" style="292" customWidth="1"/>
    <col min="3080" max="3080" width="15.8515625" style="292" customWidth="1"/>
    <col min="3081" max="3081" width="3.140625" style="292" customWidth="1"/>
    <col min="3082" max="3082" width="17.8515625" style="292" customWidth="1"/>
    <col min="3083" max="3083" width="2.57421875" style="292" customWidth="1"/>
    <col min="3084" max="3084" width="15.57421875" style="292" customWidth="1"/>
    <col min="3085" max="3085" width="1.8515625" style="292" customWidth="1"/>
    <col min="3086" max="3086" width="14.140625" style="292" customWidth="1"/>
    <col min="3087" max="3087" width="11.00390625" style="292" customWidth="1"/>
    <col min="3088" max="3089" width="25.00390625" style="292" customWidth="1"/>
    <col min="3090" max="3090" width="1.8515625" style="292" customWidth="1"/>
    <col min="3091" max="3091" width="17.8515625" style="292" customWidth="1"/>
    <col min="3092" max="3092" width="1.8515625" style="292" customWidth="1"/>
    <col min="3093" max="3093" width="19.00390625" style="292" customWidth="1"/>
    <col min="3094" max="3094" width="1.8515625" style="292" customWidth="1"/>
    <col min="3095" max="3095" width="16.7109375" style="292" customWidth="1"/>
    <col min="3096" max="3096" width="1.8515625" style="292" customWidth="1"/>
    <col min="3097" max="3097" width="16.7109375" style="292" customWidth="1"/>
    <col min="3098" max="3098" width="1.8515625" style="292" customWidth="1"/>
    <col min="3099" max="3099" width="16.7109375" style="292" customWidth="1"/>
    <col min="3100" max="3100" width="1.8515625" style="292" customWidth="1"/>
    <col min="3101" max="3101" width="16.7109375" style="292" customWidth="1"/>
    <col min="3102" max="3102" width="1.8515625" style="292" customWidth="1"/>
    <col min="3103" max="3103" width="17.8515625" style="292" customWidth="1"/>
    <col min="3104" max="3104" width="5.28125" style="292" customWidth="1"/>
    <col min="3105" max="3105" width="16.7109375" style="292" customWidth="1"/>
    <col min="3106" max="3106" width="5.28125" style="292" customWidth="1"/>
    <col min="3107" max="3107" width="14.421875" style="292" customWidth="1"/>
    <col min="3108" max="3108" width="1.8515625" style="292" customWidth="1"/>
    <col min="3109" max="3109" width="16.7109375" style="292" customWidth="1"/>
    <col min="3110" max="3319" width="11.00390625" style="292" customWidth="1"/>
    <col min="3320" max="3320" width="7.57421875" style="292" customWidth="1"/>
    <col min="3321" max="3321" width="15.57421875" style="292" customWidth="1"/>
    <col min="3322" max="3322" width="20.140625" style="292" customWidth="1"/>
    <col min="3323" max="3323" width="2.28125" style="292" customWidth="1"/>
    <col min="3324" max="3324" width="17.421875" style="292" customWidth="1"/>
    <col min="3325" max="3325" width="1.8515625" style="292" customWidth="1"/>
    <col min="3326" max="3326" width="18.7109375" style="292" customWidth="1"/>
    <col min="3327" max="3327" width="1.8515625" style="292" customWidth="1"/>
    <col min="3328" max="3328" width="23.00390625" style="292" customWidth="1"/>
    <col min="3329" max="3329" width="1.8515625" style="292" customWidth="1"/>
    <col min="3330" max="3330" width="17.421875" style="292" customWidth="1"/>
    <col min="3331" max="3331" width="3.00390625" style="292" customWidth="1"/>
    <col min="3332" max="3332" width="16.28125" style="292" customWidth="1"/>
    <col min="3333" max="3333" width="3.00390625" style="292" customWidth="1"/>
    <col min="3334" max="3334" width="14.140625" style="292" customWidth="1"/>
    <col min="3335" max="3335" width="2.00390625" style="292" customWidth="1"/>
    <col min="3336" max="3336" width="15.8515625" style="292" customWidth="1"/>
    <col min="3337" max="3337" width="3.140625" style="292" customWidth="1"/>
    <col min="3338" max="3338" width="17.8515625" style="292" customWidth="1"/>
    <col min="3339" max="3339" width="2.57421875" style="292" customWidth="1"/>
    <col min="3340" max="3340" width="15.57421875" style="292" customWidth="1"/>
    <col min="3341" max="3341" width="1.8515625" style="292" customWidth="1"/>
    <col min="3342" max="3342" width="14.140625" style="292" customWidth="1"/>
    <col min="3343" max="3343" width="11.00390625" style="292" customWidth="1"/>
    <col min="3344" max="3345" width="25.00390625" style="292" customWidth="1"/>
    <col min="3346" max="3346" width="1.8515625" style="292" customWidth="1"/>
    <col min="3347" max="3347" width="17.8515625" style="292" customWidth="1"/>
    <col min="3348" max="3348" width="1.8515625" style="292" customWidth="1"/>
    <col min="3349" max="3349" width="19.00390625" style="292" customWidth="1"/>
    <col min="3350" max="3350" width="1.8515625" style="292" customWidth="1"/>
    <col min="3351" max="3351" width="16.7109375" style="292" customWidth="1"/>
    <col min="3352" max="3352" width="1.8515625" style="292" customWidth="1"/>
    <col min="3353" max="3353" width="16.7109375" style="292" customWidth="1"/>
    <col min="3354" max="3354" width="1.8515625" style="292" customWidth="1"/>
    <col min="3355" max="3355" width="16.7109375" style="292" customWidth="1"/>
    <col min="3356" max="3356" width="1.8515625" style="292" customWidth="1"/>
    <col min="3357" max="3357" width="16.7109375" style="292" customWidth="1"/>
    <col min="3358" max="3358" width="1.8515625" style="292" customWidth="1"/>
    <col min="3359" max="3359" width="17.8515625" style="292" customWidth="1"/>
    <col min="3360" max="3360" width="5.28125" style="292" customWidth="1"/>
    <col min="3361" max="3361" width="16.7109375" style="292" customWidth="1"/>
    <col min="3362" max="3362" width="5.28125" style="292" customWidth="1"/>
    <col min="3363" max="3363" width="14.421875" style="292" customWidth="1"/>
    <col min="3364" max="3364" width="1.8515625" style="292" customWidth="1"/>
    <col min="3365" max="3365" width="16.7109375" style="292" customWidth="1"/>
    <col min="3366" max="3575" width="11.00390625" style="292" customWidth="1"/>
    <col min="3576" max="3576" width="7.57421875" style="292" customWidth="1"/>
    <col min="3577" max="3577" width="15.57421875" style="292" customWidth="1"/>
    <col min="3578" max="3578" width="20.140625" style="292" customWidth="1"/>
    <col min="3579" max="3579" width="2.28125" style="292" customWidth="1"/>
    <col min="3580" max="3580" width="17.421875" style="292" customWidth="1"/>
    <col min="3581" max="3581" width="1.8515625" style="292" customWidth="1"/>
    <col min="3582" max="3582" width="18.7109375" style="292" customWidth="1"/>
    <col min="3583" max="3583" width="1.8515625" style="292" customWidth="1"/>
    <col min="3584" max="3584" width="23.00390625" style="292" customWidth="1"/>
    <col min="3585" max="3585" width="1.8515625" style="292" customWidth="1"/>
    <col min="3586" max="3586" width="17.421875" style="292" customWidth="1"/>
    <col min="3587" max="3587" width="3.00390625" style="292" customWidth="1"/>
    <col min="3588" max="3588" width="16.28125" style="292" customWidth="1"/>
    <col min="3589" max="3589" width="3.00390625" style="292" customWidth="1"/>
    <col min="3590" max="3590" width="14.140625" style="292" customWidth="1"/>
    <col min="3591" max="3591" width="2.00390625" style="292" customWidth="1"/>
    <col min="3592" max="3592" width="15.8515625" style="292" customWidth="1"/>
    <col min="3593" max="3593" width="3.140625" style="292" customWidth="1"/>
    <col min="3594" max="3594" width="17.8515625" style="292" customWidth="1"/>
    <col min="3595" max="3595" width="2.57421875" style="292" customWidth="1"/>
    <col min="3596" max="3596" width="15.57421875" style="292" customWidth="1"/>
    <col min="3597" max="3597" width="1.8515625" style="292" customWidth="1"/>
    <col min="3598" max="3598" width="14.140625" style="292" customWidth="1"/>
    <col min="3599" max="3599" width="11.00390625" style="292" customWidth="1"/>
    <col min="3600" max="3601" width="25.00390625" style="292" customWidth="1"/>
    <col min="3602" max="3602" width="1.8515625" style="292" customWidth="1"/>
    <col min="3603" max="3603" width="17.8515625" style="292" customWidth="1"/>
    <col min="3604" max="3604" width="1.8515625" style="292" customWidth="1"/>
    <col min="3605" max="3605" width="19.00390625" style="292" customWidth="1"/>
    <col min="3606" max="3606" width="1.8515625" style="292" customWidth="1"/>
    <col min="3607" max="3607" width="16.7109375" style="292" customWidth="1"/>
    <col min="3608" max="3608" width="1.8515625" style="292" customWidth="1"/>
    <col min="3609" max="3609" width="16.7109375" style="292" customWidth="1"/>
    <col min="3610" max="3610" width="1.8515625" style="292" customWidth="1"/>
    <col min="3611" max="3611" width="16.7109375" style="292" customWidth="1"/>
    <col min="3612" max="3612" width="1.8515625" style="292" customWidth="1"/>
    <col min="3613" max="3613" width="16.7109375" style="292" customWidth="1"/>
    <col min="3614" max="3614" width="1.8515625" style="292" customWidth="1"/>
    <col min="3615" max="3615" width="17.8515625" style="292" customWidth="1"/>
    <col min="3616" max="3616" width="5.28125" style="292" customWidth="1"/>
    <col min="3617" max="3617" width="16.7109375" style="292" customWidth="1"/>
    <col min="3618" max="3618" width="5.28125" style="292" customWidth="1"/>
    <col min="3619" max="3619" width="14.421875" style="292" customWidth="1"/>
    <col min="3620" max="3620" width="1.8515625" style="292" customWidth="1"/>
    <col min="3621" max="3621" width="16.7109375" style="292" customWidth="1"/>
    <col min="3622" max="3831" width="11.00390625" style="292" customWidth="1"/>
    <col min="3832" max="3832" width="7.57421875" style="292" customWidth="1"/>
    <col min="3833" max="3833" width="15.57421875" style="292" customWidth="1"/>
    <col min="3834" max="3834" width="20.140625" style="292" customWidth="1"/>
    <col min="3835" max="3835" width="2.28125" style="292" customWidth="1"/>
    <col min="3836" max="3836" width="17.421875" style="292" customWidth="1"/>
    <col min="3837" max="3837" width="1.8515625" style="292" customWidth="1"/>
    <col min="3838" max="3838" width="18.7109375" style="292" customWidth="1"/>
    <col min="3839" max="3839" width="1.8515625" style="292" customWidth="1"/>
    <col min="3840" max="3840" width="23.00390625" style="292" customWidth="1"/>
    <col min="3841" max="3841" width="1.8515625" style="292" customWidth="1"/>
    <col min="3842" max="3842" width="17.421875" style="292" customWidth="1"/>
    <col min="3843" max="3843" width="3.00390625" style="292" customWidth="1"/>
    <col min="3844" max="3844" width="16.28125" style="292" customWidth="1"/>
    <col min="3845" max="3845" width="3.00390625" style="292" customWidth="1"/>
    <col min="3846" max="3846" width="14.140625" style="292" customWidth="1"/>
    <col min="3847" max="3847" width="2.00390625" style="292" customWidth="1"/>
    <col min="3848" max="3848" width="15.8515625" style="292" customWidth="1"/>
    <col min="3849" max="3849" width="3.140625" style="292" customWidth="1"/>
    <col min="3850" max="3850" width="17.8515625" style="292" customWidth="1"/>
    <col min="3851" max="3851" width="2.57421875" style="292" customWidth="1"/>
    <col min="3852" max="3852" width="15.57421875" style="292" customWidth="1"/>
    <col min="3853" max="3853" width="1.8515625" style="292" customWidth="1"/>
    <col min="3854" max="3854" width="14.140625" style="292" customWidth="1"/>
    <col min="3855" max="3855" width="11.00390625" style="292" customWidth="1"/>
    <col min="3856" max="3857" width="25.00390625" style="292" customWidth="1"/>
    <col min="3858" max="3858" width="1.8515625" style="292" customWidth="1"/>
    <col min="3859" max="3859" width="17.8515625" style="292" customWidth="1"/>
    <col min="3860" max="3860" width="1.8515625" style="292" customWidth="1"/>
    <col min="3861" max="3861" width="19.00390625" style="292" customWidth="1"/>
    <col min="3862" max="3862" width="1.8515625" style="292" customWidth="1"/>
    <col min="3863" max="3863" width="16.7109375" style="292" customWidth="1"/>
    <col min="3864" max="3864" width="1.8515625" style="292" customWidth="1"/>
    <col min="3865" max="3865" width="16.7109375" style="292" customWidth="1"/>
    <col min="3866" max="3866" width="1.8515625" style="292" customWidth="1"/>
    <col min="3867" max="3867" width="16.7109375" style="292" customWidth="1"/>
    <col min="3868" max="3868" width="1.8515625" style="292" customWidth="1"/>
    <col min="3869" max="3869" width="16.7109375" style="292" customWidth="1"/>
    <col min="3870" max="3870" width="1.8515625" style="292" customWidth="1"/>
    <col min="3871" max="3871" width="17.8515625" style="292" customWidth="1"/>
    <col min="3872" max="3872" width="5.28125" style="292" customWidth="1"/>
    <col min="3873" max="3873" width="16.7109375" style="292" customWidth="1"/>
    <col min="3874" max="3874" width="5.28125" style="292" customWidth="1"/>
    <col min="3875" max="3875" width="14.421875" style="292" customWidth="1"/>
    <col min="3876" max="3876" width="1.8515625" style="292" customWidth="1"/>
    <col min="3877" max="3877" width="16.7109375" style="292" customWidth="1"/>
    <col min="3878" max="4087" width="11.00390625" style="292" customWidth="1"/>
    <col min="4088" max="4088" width="7.57421875" style="292" customWidth="1"/>
    <col min="4089" max="4089" width="15.57421875" style="292" customWidth="1"/>
    <col min="4090" max="4090" width="20.140625" style="292" customWidth="1"/>
    <col min="4091" max="4091" width="2.28125" style="292" customWidth="1"/>
    <col min="4092" max="4092" width="17.421875" style="292" customWidth="1"/>
    <col min="4093" max="4093" width="1.8515625" style="292" customWidth="1"/>
    <col min="4094" max="4094" width="18.7109375" style="292" customWidth="1"/>
    <col min="4095" max="4095" width="1.8515625" style="292" customWidth="1"/>
    <col min="4096" max="4096" width="23.00390625" style="292" customWidth="1"/>
    <col min="4097" max="4097" width="1.8515625" style="292" customWidth="1"/>
    <col min="4098" max="4098" width="17.421875" style="292" customWidth="1"/>
    <col min="4099" max="4099" width="3.00390625" style="292" customWidth="1"/>
    <col min="4100" max="4100" width="16.28125" style="292" customWidth="1"/>
    <col min="4101" max="4101" width="3.00390625" style="292" customWidth="1"/>
    <col min="4102" max="4102" width="14.140625" style="292" customWidth="1"/>
    <col min="4103" max="4103" width="2.00390625" style="292" customWidth="1"/>
    <col min="4104" max="4104" width="15.8515625" style="292" customWidth="1"/>
    <col min="4105" max="4105" width="3.140625" style="292" customWidth="1"/>
    <col min="4106" max="4106" width="17.8515625" style="292" customWidth="1"/>
    <col min="4107" max="4107" width="2.57421875" style="292" customWidth="1"/>
    <col min="4108" max="4108" width="15.57421875" style="292" customWidth="1"/>
    <col min="4109" max="4109" width="1.8515625" style="292" customWidth="1"/>
    <col min="4110" max="4110" width="14.140625" style="292" customWidth="1"/>
    <col min="4111" max="4111" width="11.00390625" style="292" customWidth="1"/>
    <col min="4112" max="4113" width="25.00390625" style="292" customWidth="1"/>
    <col min="4114" max="4114" width="1.8515625" style="292" customWidth="1"/>
    <col min="4115" max="4115" width="17.8515625" style="292" customWidth="1"/>
    <col min="4116" max="4116" width="1.8515625" style="292" customWidth="1"/>
    <col min="4117" max="4117" width="19.00390625" style="292" customWidth="1"/>
    <col min="4118" max="4118" width="1.8515625" style="292" customWidth="1"/>
    <col min="4119" max="4119" width="16.7109375" style="292" customWidth="1"/>
    <col min="4120" max="4120" width="1.8515625" style="292" customWidth="1"/>
    <col min="4121" max="4121" width="16.7109375" style="292" customWidth="1"/>
    <col min="4122" max="4122" width="1.8515625" style="292" customWidth="1"/>
    <col min="4123" max="4123" width="16.7109375" style="292" customWidth="1"/>
    <col min="4124" max="4124" width="1.8515625" style="292" customWidth="1"/>
    <col min="4125" max="4125" width="16.7109375" style="292" customWidth="1"/>
    <col min="4126" max="4126" width="1.8515625" style="292" customWidth="1"/>
    <col min="4127" max="4127" width="17.8515625" style="292" customWidth="1"/>
    <col min="4128" max="4128" width="5.28125" style="292" customWidth="1"/>
    <col min="4129" max="4129" width="16.7109375" style="292" customWidth="1"/>
    <col min="4130" max="4130" width="5.28125" style="292" customWidth="1"/>
    <col min="4131" max="4131" width="14.421875" style="292" customWidth="1"/>
    <col min="4132" max="4132" width="1.8515625" style="292" customWidth="1"/>
    <col min="4133" max="4133" width="16.7109375" style="292" customWidth="1"/>
    <col min="4134" max="4343" width="11.00390625" style="292" customWidth="1"/>
    <col min="4344" max="4344" width="7.57421875" style="292" customWidth="1"/>
    <col min="4345" max="4345" width="15.57421875" style="292" customWidth="1"/>
    <col min="4346" max="4346" width="20.140625" style="292" customWidth="1"/>
    <col min="4347" max="4347" width="2.28125" style="292" customWidth="1"/>
    <col min="4348" max="4348" width="17.421875" style="292" customWidth="1"/>
    <col min="4349" max="4349" width="1.8515625" style="292" customWidth="1"/>
    <col min="4350" max="4350" width="18.7109375" style="292" customWidth="1"/>
    <col min="4351" max="4351" width="1.8515625" style="292" customWidth="1"/>
    <col min="4352" max="4352" width="23.00390625" style="292" customWidth="1"/>
    <col min="4353" max="4353" width="1.8515625" style="292" customWidth="1"/>
    <col min="4354" max="4354" width="17.421875" style="292" customWidth="1"/>
    <col min="4355" max="4355" width="3.00390625" style="292" customWidth="1"/>
    <col min="4356" max="4356" width="16.28125" style="292" customWidth="1"/>
    <col min="4357" max="4357" width="3.00390625" style="292" customWidth="1"/>
    <col min="4358" max="4358" width="14.140625" style="292" customWidth="1"/>
    <col min="4359" max="4359" width="2.00390625" style="292" customWidth="1"/>
    <col min="4360" max="4360" width="15.8515625" style="292" customWidth="1"/>
    <col min="4361" max="4361" width="3.140625" style="292" customWidth="1"/>
    <col min="4362" max="4362" width="17.8515625" style="292" customWidth="1"/>
    <col min="4363" max="4363" width="2.57421875" style="292" customWidth="1"/>
    <col min="4364" max="4364" width="15.57421875" style="292" customWidth="1"/>
    <col min="4365" max="4365" width="1.8515625" style="292" customWidth="1"/>
    <col min="4366" max="4366" width="14.140625" style="292" customWidth="1"/>
    <col min="4367" max="4367" width="11.00390625" style="292" customWidth="1"/>
    <col min="4368" max="4369" width="25.00390625" style="292" customWidth="1"/>
    <col min="4370" max="4370" width="1.8515625" style="292" customWidth="1"/>
    <col min="4371" max="4371" width="17.8515625" style="292" customWidth="1"/>
    <col min="4372" max="4372" width="1.8515625" style="292" customWidth="1"/>
    <col min="4373" max="4373" width="19.00390625" style="292" customWidth="1"/>
    <col min="4374" max="4374" width="1.8515625" style="292" customWidth="1"/>
    <col min="4375" max="4375" width="16.7109375" style="292" customWidth="1"/>
    <col min="4376" max="4376" width="1.8515625" style="292" customWidth="1"/>
    <col min="4377" max="4377" width="16.7109375" style="292" customWidth="1"/>
    <col min="4378" max="4378" width="1.8515625" style="292" customWidth="1"/>
    <col min="4379" max="4379" width="16.7109375" style="292" customWidth="1"/>
    <col min="4380" max="4380" width="1.8515625" style="292" customWidth="1"/>
    <col min="4381" max="4381" width="16.7109375" style="292" customWidth="1"/>
    <col min="4382" max="4382" width="1.8515625" style="292" customWidth="1"/>
    <col min="4383" max="4383" width="17.8515625" style="292" customWidth="1"/>
    <col min="4384" max="4384" width="5.28125" style="292" customWidth="1"/>
    <col min="4385" max="4385" width="16.7109375" style="292" customWidth="1"/>
    <col min="4386" max="4386" width="5.28125" style="292" customWidth="1"/>
    <col min="4387" max="4387" width="14.421875" style="292" customWidth="1"/>
    <col min="4388" max="4388" width="1.8515625" style="292" customWidth="1"/>
    <col min="4389" max="4389" width="16.7109375" style="292" customWidth="1"/>
    <col min="4390" max="4599" width="11.00390625" style="292" customWidth="1"/>
    <col min="4600" max="4600" width="7.57421875" style="292" customWidth="1"/>
    <col min="4601" max="4601" width="15.57421875" style="292" customWidth="1"/>
    <col min="4602" max="4602" width="20.140625" style="292" customWidth="1"/>
    <col min="4603" max="4603" width="2.28125" style="292" customWidth="1"/>
    <col min="4604" max="4604" width="17.421875" style="292" customWidth="1"/>
    <col min="4605" max="4605" width="1.8515625" style="292" customWidth="1"/>
    <col min="4606" max="4606" width="18.7109375" style="292" customWidth="1"/>
    <col min="4607" max="4607" width="1.8515625" style="292" customWidth="1"/>
    <col min="4608" max="4608" width="23.00390625" style="292" customWidth="1"/>
    <col min="4609" max="4609" width="1.8515625" style="292" customWidth="1"/>
    <col min="4610" max="4610" width="17.421875" style="292" customWidth="1"/>
    <col min="4611" max="4611" width="3.00390625" style="292" customWidth="1"/>
    <col min="4612" max="4612" width="16.28125" style="292" customWidth="1"/>
    <col min="4613" max="4613" width="3.00390625" style="292" customWidth="1"/>
    <col min="4614" max="4614" width="14.140625" style="292" customWidth="1"/>
    <col min="4615" max="4615" width="2.00390625" style="292" customWidth="1"/>
    <col min="4616" max="4616" width="15.8515625" style="292" customWidth="1"/>
    <col min="4617" max="4617" width="3.140625" style="292" customWidth="1"/>
    <col min="4618" max="4618" width="17.8515625" style="292" customWidth="1"/>
    <col min="4619" max="4619" width="2.57421875" style="292" customWidth="1"/>
    <col min="4620" max="4620" width="15.57421875" style="292" customWidth="1"/>
    <col min="4621" max="4621" width="1.8515625" style="292" customWidth="1"/>
    <col min="4622" max="4622" width="14.140625" style="292" customWidth="1"/>
    <col min="4623" max="4623" width="11.00390625" style="292" customWidth="1"/>
    <col min="4624" max="4625" width="25.00390625" style="292" customWidth="1"/>
    <col min="4626" max="4626" width="1.8515625" style="292" customWidth="1"/>
    <col min="4627" max="4627" width="17.8515625" style="292" customWidth="1"/>
    <col min="4628" max="4628" width="1.8515625" style="292" customWidth="1"/>
    <col min="4629" max="4629" width="19.00390625" style="292" customWidth="1"/>
    <col min="4630" max="4630" width="1.8515625" style="292" customWidth="1"/>
    <col min="4631" max="4631" width="16.7109375" style="292" customWidth="1"/>
    <col min="4632" max="4632" width="1.8515625" style="292" customWidth="1"/>
    <col min="4633" max="4633" width="16.7109375" style="292" customWidth="1"/>
    <col min="4634" max="4634" width="1.8515625" style="292" customWidth="1"/>
    <col min="4635" max="4635" width="16.7109375" style="292" customWidth="1"/>
    <col min="4636" max="4636" width="1.8515625" style="292" customWidth="1"/>
    <col min="4637" max="4637" width="16.7109375" style="292" customWidth="1"/>
    <col min="4638" max="4638" width="1.8515625" style="292" customWidth="1"/>
    <col min="4639" max="4639" width="17.8515625" style="292" customWidth="1"/>
    <col min="4640" max="4640" width="5.28125" style="292" customWidth="1"/>
    <col min="4641" max="4641" width="16.7109375" style="292" customWidth="1"/>
    <col min="4642" max="4642" width="5.28125" style="292" customWidth="1"/>
    <col min="4643" max="4643" width="14.421875" style="292" customWidth="1"/>
    <col min="4644" max="4644" width="1.8515625" style="292" customWidth="1"/>
    <col min="4645" max="4645" width="16.7109375" style="292" customWidth="1"/>
    <col min="4646" max="4855" width="11.00390625" style="292" customWidth="1"/>
    <col min="4856" max="4856" width="7.57421875" style="292" customWidth="1"/>
    <col min="4857" max="4857" width="15.57421875" style="292" customWidth="1"/>
    <col min="4858" max="4858" width="20.140625" style="292" customWidth="1"/>
    <col min="4859" max="4859" width="2.28125" style="292" customWidth="1"/>
    <col min="4860" max="4860" width="17.421875" style="292" customWidth="1"/>
    <col min="4861" max="4861" width="1.8515625" style="292" customWidth="1"/>
    <col min="4862" max="4862" width="18.7109375" style="292" customWidth="1"/>
    <col min="4863" max="4863" width="1.8515625" style="292" customWidth="1"/>
    <col min="4864" max="4864" width="23.00390625" style="292" customWidth="1"/>
    <col min="4865" max="4865" width="1.8515625" style="292" customWidth="1"/>
    <col min="4866" max="4866" width="17.421875" style="292" customWidth="1"/>
    <col min="4867" max="4867" width="3.00390625" style="292" customWidth="1"/>
    <col min="4868" max="4868" width="16.28125" style="292" customWidth="1"/>
    <col min="4869" max="4869" width="3.00390625" style="292" customWidth="1"/>
    <col min="4870" max="4870" width="14.140625" style="292" customWidth="1"/>
    <col min="4871" max="4871" width="2.00390625" style="292" customWidth="1"/>
    <col min="4872" max="4872" width="15.8515625" style="292" customWidth="1"/>
    <col min="4873" max="4873" width="3.140625" style="292" customWidth="1"/>
    <col min="4874" max="4874" width="17.8515625" style="292" customWidth="1"/>
    <col min="4875" max="4875" width="2.57421875" style="292" customWidth="1"/>
    <col min="4876" max="4876" width="15.57421875" style="292" customWidth="1"/>
    <col min="4877" max="4877" width="1.8515625" style="292" customWidth="1"/>
    <col min="4878" max="4878" width="14.140625" style="292" customWidth="1"/>
    <col min="4879" max="4879" width="11.00390625" style="292" customWidth="1"/>
    <col min="4880" max="4881" width="25.00390625" style="292" customWidth="1"/>
    <col min="4882" max="4882" width="1.8515625" style="292" customWidth="1"/>
    <col min="4883" max="4883" width="17.8515625" style="292" customWidth="1"/>
    <col min="4884" max="4884" width="1.8515625" style="292" customWidth="1"/>
    <col min="4885" max="4885" width="19.00390625" style="292" customWidth="1"/>
    <col min="4886" max="4886" width="1.8515625" style="292" customWidth="1"/>
    <col min="4887" max="4887" width="16.7109375" style="292" customWidth="1"/>
    <col min="4888" max="4888" width="1.8515625" style="292" customWidth="1"/>
    <col min="4889" max="4889" width="16.7109375" style="292" customWidth="1"/>
    <col min="4890" max="4890" width="1.8515625" style="292" customWidth="1"/>
    <col min="4891" max="4891" width="16.7109375" style="292" customWidth="1"/>
    <col min="4892" max="4892" width="1.8515625" style="292" customWidth="1"/>
    <col min="4893" max="4893" width="16.7109375" style="292" customWidth="1"/>
    <col min="4894" max="4894" width="1.8515625" style="292" customWidth="1"/>
    <col min="4895" max="4895" width="17.8515625" style="292" customWidth="1"/>
    <col min="4896" max="4896" width="5.28125" style="292" customWidth="1"/>
    <col min="4897" max="4897" width="16.7109375" style="292" customWidth="1"/>
    <col min="4898" max="4898" width="5.28125" style="292" customWidth="1"/>
    <col min="4899" max="4899" width="14.421875" style="292" customWidth="1"/>
    <col min="4900" max="4900" width="1.8515625" style="292" customWidth="1"/>
    <col min="4901" max="4901" width="16.7109375" style="292" customWidth="1"/>
    <col min="4902" max="5111" width="11.00390625" style="292" customWidth="1"/>
    <col min="5112" max="5112" width="7.57421875" style="292" customWidth="1"/>
    <col min="5113" max="5113" width="15.57421875" style="292" customWidth="1"/>
    <col min="5114" max="5114" width="20.140625" style="292" customWidth="1"/>
    <col min="5115" max="5115" width="2.28125" style="292" customWidth="1"/>
    <col min="5116" max="5116" width="17.421875" style="292" customWidth="1"/>
    <col min="5117" max="5117" width="1.8515625" style="292" customWidth="1"/>
    <col min="5118" max="5118" width="18.7109375" style="292" customWidth="1"/>
    <col min="5119" max="5119" width="1.8515625" style="292" customWidth="1"/>
    <col min="5120" max="5120" width="23.00390625" style="292" customWidth="1"/>
    <col min="5121" max="5121" width="1.8515625" style="292" customWidth="1"/>
    <col min="5122" max="5122" width="17.421875" style="292" customWidth="1"/>
    <col min="5123" max="5123" width="3.00390625" style="292" customWidth="1"/>
    <col min="5124" max="5124" width="16.28125" style="292" customWidth="1"/>
    <col min="5125" max="5125" width="3.00390625" style="292" customWidth="1"/>
    <col min="5126" max="5126" width="14.140625" style="292" customWidth="1"/>
    <col min="5127" max="5127" width="2.00390625" style="292" customWidth="1"/>
    <col min="5128" max="5128" width="15.8515625" style="292" customWidth="1"/>
    <col min="5129" max="5129" width="3.140625" style="292" customWidth="1"/>
    <col min="5130" max="5130" width="17.8515625" style="292" customWidth="1"/>
    <col min="5131" max="5131" width="2.57421875" style="292" customWidth="1"/>
    <col min="5132" max="5132" width="15.57421875" style="292" customWidth="1"/>
    <col min="5133" max="5133" width="1.8515625" style="292" customWidth="1"/>
    <col min="5134" max="5134" width="14.140625" style="292" customWidth="1"/>
    <col min="5135" max="5135" width="11.00390625" style="292" customWidth="1"/>
    <col min="5136" max="5137" width="25.00390625" style="292" customWidth="1"/>
    <col min="5138" max="5138" width="1.8515625" style="292" customWidth="1"/>
    <col min="5139" max="5139" width="17.8515625" style="292" customWidth="1"/>
    <col min="5140" max="5140" width="1.8515625" style="292" customWidth="1"/>
    <col min="5141" max="5141" width="19.00390625" style="292" customWidth="1"/>
    <col min="5142" max="5142" width="1.8515625" style="292" customWidth="1"/>
    <col min="5143" max="5143" width="16.7109375" style="292" customWidth="1"/>
    <col min="5144" max="5144" width="1.8515625" style="292" customWidth="1"/>
    <col min="5145" max="5145" width="16.7109375" style="292" customWidth="1"/>
    <col min="5146" max="5146" width="1.8515625" style="292" customWidth="1"/>
    <col min="5147" max="5147" width="16.7109375" style="292" customWidth="1"/>
    <col min="5148" max="5148" width="1.8515625" style="292" customWidth="1"/>
    <col min="5149" max="5149" width="16.7109375" style="292" customWidth="1"/>
    <col min="5150" max="5150" width="1.8515625" style="292" customWidth="1"/>
    <col min="5151" max="5151" width="17.8515625" style="292" customWidth="1"/>
    <col min="5152" max="5152" width="5.28125" style="292" customWidth="1"/>
    <col min="5153" max="5153" width="16.7109375" style="292" customWidth="1"/>
    <col min="5154" max="5154" width="5.28125" style="292" customWidth="1"/>
    <col min="5155" max="5155" width="14.421875" style="292" customWidth="1"/>
    <col min="5156" max="5156" width="1.8515625" style="292" customWidth="1"/>
    <col min="5157" max="5157" width="16.7109375" style="292" customWidth="1"/>
    <col min="5158" max="5367" width="11.00390625" style="292" customWidth="1"/>
    <col min="5368" max="5368" width="7.57421875" style="292" customWidth="1"/>
    <col min="5369" max="5369" width="15.57421875" style="292" customWidth="1"/>
    <col min="5370" max="5370" width="20.140625" style="292" customWidth="1"/>
    <col min="5371" max="5371" width="2.28125" style="292" customWidth="1"/>
    <col min="5372" max="5372" width="17.421875" style="292" customWidth="1"/>
    <col min="5373" max="5373" width="1.8515625" style="292" customWidth="1"/>
    <col min="5374" max="5374" width="18.7109375" style="292" customWidth="1"/>
    <col min="5375" max="5375" width="1.8515625" style="292" customWidth="1"/>
    <col min="5376" max="5376" width="23.00390625" style="292" customWidth="1"/>
    <col min="5377" max="5377" width="1.8515625" style="292" customWidth="1"/>
    <col min="5378" max="5378" width="17.421875" style="292" customWidth="1"/>
    <col min="5379" max="5379" width="3.00390625" style="292" customWidth="1"/>
    <col min="5380" max="5380" width="16.28125" style="292" customWidth="1"/>
    <col min="5381" max="5381" width="3.00390625" style="292" customWidth="1"/>
    <col min="5382" max="5382" width="14.140625" style="292" customWidth="1"/>
    <col min="5383" max="5383" width="2.00390625" style="292" customWidth="1"/>
    <col min="5384" max="5384" width="15.8515625" style="292" customWidth="1"/>
    <col min="5385" max="5385" width="3.140625" style="292" customWidth="1"/>
    <col min="5386" max="5386" width="17.8515625" style="292" customWidth="1"/>
    <col min="5387" max="5387" width="2.57421875" style="292" customWidth="1"/>
    <col min="5388" max="5388" width="15.57421875" style="292" customWidth="1"/>
    <col min="5389" max="5389" width="1.8515625" style="292" customWidth="1"/>
    <col min="5390" max="5390" width="14.140625" style="292" customWidth="1"/>
    <col min="5391" max="5391" width="11.00390625" style="292" customWidth="1"/>
    <col min="5392" max="5393" width="25.00390625" style="292" customWidth="1"/>
    <col min="5394" max="5394" width="1.8515625" style="292" customWidth="1"/>
    <col min="5395" max="5395" width="17.8515625" style="292" customWidth="1"/>
    <col min="5396" max="5396" width="1.8515625" style="292" customWidth="1"/>
    <col min="5397" max="5397" width="19.00390625" style="292" customWidth="1"/>
    <col min="5398" max="5398" width="1.8515625" style="292" customWidth="1"/>
    <col min="5399" max="5399" width="16.7109375" style="292" customWidth="1"/>
    <col min="5400" max="5400" width="1.8515625" style="292" customWidth="1"/>
    <col min="5401" max="5401" width="16.7109375" style="292" customWidth="1"/>
    <col min="5402" max="5402" width="1.8515625" style="292" customWidth="1"/>
    <col min="5403" max="5403" width="16.7109375" style="292" customWidth="1"/>
    <col min="5404" max="5404" width="1.8515625" style="292" customWidth="1"/>
    <col min="5405" max="5405" width="16.7109375" style="292" customWidth="1"/>
    <col min="5406" max="5406" width="1.8515625" style="292" customWidth="1"/>
    <col min="5407" max="5407" width="17.8515625" style="292" customWidth="1"/>
    <col min="5408" max="5408" width="5.28125" style="292" customWidth="1"/>
    <col min="5409" max="5409" width="16.7109375" style="292" customWidth="1"/>
    <col min="5410" max="5410" width="5.28125" style="292" customWidth="1"/>
    <col min="5411" max="5411" width="14.421875" style="292" customWidth="1"/>
    <col min="5412" max="5412" width="1.8515625" style="292" customWidth="1"/>
    <col min="5413" max="5413" width="16.7109375" style="292" customWidth="1"/>
    <col min="5414" max="5623" width="11.00390625" style="292" customWidth="1"/>
    <col min="5624" max="5624" width="7.57421875" style="292" customWidth="1"/>
    <col min="5625" max="5625" width="15.57421875" style="292" customWidth="1"/>
    <col min="5626" max="5626" width="20.140625" style="292" customWidth="1"/>
    <col min="5627" max="5627" width="2.28125" style="292" customWidth="1"/>
    <col min="5628" max="5628" width="17.421875" style="292" customWidth="1"/>
    <col min="5629" max="5629" width="1.8515625" style="292" customWidth="1"/>
    <col min="5630" max="5630" width="18.7109375" style="292" customWidth="1"/>
    <col min="5631" max="5631" width="1.8515625" style="292" customWidth="1"/>
    <col min="5632" max="5632" width="23.00390625" style="292" customWidth="1"/>
    <col min="5633" max="5633" width="1.8515625" style="292" customWidth="1"/>
    <col min="5634" max="5634" width="17.421875" style="292" customWidth="1"/>
    <col min="5635" max="5635" width="3.00390625" style="292" customWidth="1"/>
    <col min="5636" max="5636" width="16.28125" style="292" customWidth="1"/>
    <col min="5637" max="5637" width="3.00390625" style="292" customWidth="1"/>
    <col min="5638" max="5638" width="14.140625" style="292" customWidth="1"/>
    <col min="5639" max="5639" width="2.00390625" style="292" customWidth="1"/>
    <col min="5640" max="5640" width="15.8515625" style="292" customWidth="1"/>
    <col min="5641" max="5641" width="3.140625" style="292" customWidth="1"/>
    <col min="5642" max="5642" width="17.8515625" style="292" customWidth="1"/>
    <col min="5643" max="5643" width="2.57421875" style="292" customWidth="1"/>
    <col min="5644" max="5644" width="15.57421875" style="292" customWidth="1"/>
    <col min="5645" max="5645" width="1.8515625" style="292" customWidth="1"/>
    <col min="5646" max="5646" width="14.140625" style="292" customWidth="1"/>
    <col min="5647" max="5647" width="11.00390625" style="292" customWidth="1"/>
    <col min="5648" max="5649" width="25.00390625" style="292" customWidth="1"/>
    <col min="5650" max="5650" width="1.8515625" style="292" customWidth="1"/>
    <col min="5651" max="5651" width="17.8515625" style="292" customWidth="1"/>
    <col min="5652" max="5652" width="1.8515625" style="292" customWidth="1"/>
    <col min="5653" max="5653" width="19.00390625" style="292" customWidth="1"/>
    <col min="5654" max="5654" width="1.8515625" style="292" customWidth="1"/>
    <col min="5655" max="5655" width="16.7109375" style="292" customWidth="1"/>
    <col min="5656" max="5656" width="1.8515625" style="292" customWidth="1"/>
    <col min="5657" max="5657" width="16.7109375" style="292" customWidth="1"/>
    <col min="5658" max="5658" width="1.8515625" style="292" customWidth="1"/>
    <col min="5659" max="5659" width="16.7109375" style="292" customWidth="1"/>
    <col min="5660" max="5660" width="1.8515625" style="292" customWidth="1"/>
    <col min="5661" max="5661" width="16.7109375" style="292" customWidth="1"/>
    <col min="5662" max="5662" width="1.8515625" style="292" customWidth="1"/>
    <col min="5663" max="5663" width="17.8515625" style="292" customWidth="1"/>
    <col min="5664" max="5664" width="5.28125" style="292" customWidth="1"/>
    <col min="5665" max="5665" width="16.7109375" style="292" customWidth="1"/>
    <col min="5666" max="5666" width="5.28125" style="292" customWidth="1"/>
    <col min="5667" max="5667" width="14.421875" style="292" customWidth="1"/>
    <col min="5668" max="5668" width="1.8515625" style="292" customWidth="1"/>
    <col min="5669" max="5669" width="16.7109375" style="292" customWidth="1"/>
    <col min="5670" max="5879" width="11.00390625" style="292" customWidth="1"/>
    <col min="5880" max="5880" width="7.57421875" style="292" customWidth="1"/>
    <col min="5881" max="5881" width="15.57421875" style="292" customWidth="1"/>
    <col min="5882" max="5882" width="20.140625" style="292" customWidth="1"/>
    <col min="5883" max="5883" width="2.28125" style="292" customWidth="1"/>
    <col min="5884" max="5884" width="17.421875" style="292" customWidth="1"/>
    <col min="5885" max="5885" width="1.8515625" style="292" customWidth="1"/>
    <col min="5886" max="5886" width="18.7109375" style="292" customWidth="1"/>
    <col min="5887" max="5887" width="1.8515625" style="292" customWidth="1"/>
    <col min="5888" max="5888" width="23.00390625" style="292" customWidth="1"/>
    <col min="5889" max="5889" width="1.8515625" style="292" customWidth="1"/>
    <col min="5890" max="5890" width="17.421875" style="292" customWidth="1"/>
    <col min="5891" max="5891" width="3.00390625" style="292" customWidth="1"/>
    <col min="5892" max="5892" width="16.28125" style="292" customWidth="1"/>
    <col min="5893" max="5893" width="3.00390625" style="292" customWidth="1"/>
    <col min="5894" max="5894" width="14.140625" style="292" customWidth="1"/>
    <col min="5895" max="5895" width="2.00390625" style="292" customWidth="1"/>
    <col min="5896" max="5896" width="15.8515625" style="292" customWidth="1"/>
    <col min="5897" max="5897" width="3.140625" style="292" customWidth="1"/>
    <col min="5898" max="5898" width="17.8515625" style="292" customWidth="1"/>
    <col min="5899" max="5899" width="2.57421875" style="292" customWidth="1"/>
    <col min="5900" max="5900" width="15.57421875" style="292" customWidth="1"/>
    <col min="5901" max="5901" width="1.8515625" style="292" customWidth="1"/>
    <col min="5902" max="5902" width="14.140625" style="292" customWidth="1"/>
    <col min="5903" max="5903" width="11.00390625" style="292" customWidth="1"/>
    <col min="5904" max="5905" width="25.00390625" style="292" customWidth="1"/>
    <col min="5906" max="5906" width="1.8515625" style="292" customWidth="1"/>
    <col min="5907" max="5907" width="17.8515625" style="292" customWidth="1"/>
    <col min="5908" max="5908" width="1.8515625" style="292" customWidth="1"/>
    <col min="5909" max="5909" width="19.00390625" style="292" customWidth="1"/>
    <col min="5910" max="5910" width="1.8515625" style="292" customWidth="1"/>
    <col min="5911" max="5911" width="16.7109375" style="292" customWidth="1"/>
    <col min="5912" max="5912" width="1.8515625" style="292" customWidth="1"/>
    <col min="5913" max="5913" width="16.7109375" style="292" customWidth="1"/>
    <col min="5914" max="5914" width="1.8515625" style="292" customWidth="1"/>
    <col min="5915" max="5915" width="16.7109375" style="292" customWidth="1"/>
    <col min="5916" max="5916" width="1.8515625" style="292" customWidth="1"/>
    <col min="5917" max="5917" width="16.7109375" style="292" customWidth="1"/>
    <col min="5918" max="5918" width="1.8515625" style="292" customWidth="1"/>
    <col min="5919" max="5919" width="17.8515625" style="292" customWidth="1"/>
    <col min="5920" max="5920" width="5.28125" style="292" customWidth="1"/>
    <col min="5921" max="5921" width="16.7109375" style="292" customWidth="1"/>
    <col min="5922" max="5922" width="5.28125" style="292" customWidth="1"/>
    <col min="5923" max="5923" width="14.421875" style="292" customWidth="1"/>
    <col min="5924" max="5924" width="1.8515625" style="292" customWidth="1"/>
    <col min="5925" max="5925" width="16.7109375" style="292" customWidth="1"/>
    <col min="5926" max="6135" width="11.00390625" style="292" customWidth="1"/>
    <col min="6136" max="6136" width="7.57421875" style="292" customWidth="1"/>
    <col min="6137" max="6137" width="15.57421875" style="292" customWidth="1"/>
    <col min="6138" max="6138" width="20.140625" style="292" customWidth="1"/>
    <col min="6139" max="6139" width="2.28125" style="292" customWidth="1"/>
    <col min="6140" max="6140" width="17.421875" style="292" customWidth="1"/>
    <col min="6141" max="6141" width="1.8515625" style="292" customWidth="1"/>
    <col min="6142" max="6142" width="18.7109375" style="292" customWidth="1"/>
    <col min="6143" max="6143" width="1.8515625" style="292" customWidth="1"/>
    <col min="6144" max="6144" width="23.00390625" style="292" customWidth="1"/>
    <col min="6145" max="6145" width="1.8515625" style="292" customWidth="1"/>
    <col min="6146" max="6146" width="17.421875" style="292" customWidth="1"/>
    <col min="6147" max="6147" width="3.00390625" style="292" customWidth="1"/>
    <col min="6148" max="6148" width="16.28125" style="292" customWidth="1"/>
    <col min="6149" max="6149" width="3.00390625" style="292" customWidth="1"/>
    <col min="6150" max="6150" width="14.140625" style="292" customWidth="1"/>
    <col min="6151" max="6151" width="2.00390625" style="292" customWidth="1"/>
    <col min="6152" max="6152" width="15.8515625" style="292" customWidth="1"/>
    <col min="6153" max="6153" width="3.140625" style="292" customWidth="1"/>
    <col min="6154" max="6154" width="17.8515625" style="292" customWidth="1"/>
    <col min="6155" max="6155" width="2.57421875" style="292" customWidth="1"/>
    <col min="6156" max="6156" width="15.57421875" style="292" customWidth="1"/>
    <col min="6157" max="6157" width="1.8515625" style="292" customWidth="1"/>
    <col min="6158" max="6158" width="14.140625" style="292" customWidth="1"/>
    <col min="6159" max="6159" width="11.00390625" style="292" customWidth="1"/>
    <col min="6160" max="6161" width="25.00390625" style="292" customWidth="1"/>
    <col min="6162" max="6162" width="1.8515625" style="292" customWidth="1"/>
    <col min="6163" max="6163" width="17.8515625" style="292" customWidth="1"/>
    <col min="6164" max="6164" width="1.8515625" style="292" customWidth="1"/>
    <col min="6165" max="6165" width="19.00390625" style="292" customWidth="1"/>
    <col min="6166" max="6166" width="1.8515625" style="292" customWidth="1"/>
    <col min="6167" max="6167" width="16.7109375" style="292" customWidth="1"/>
    <col min="6168" max="6168" width="1.8515625" style="292" customWidth="1"/>
    <col min="6169" max="6169" width="16.7109375" style="292" customWidth="1"/>
    <col min="6170" max="6170" width="1.8515625" style="292" customWidth="1"/>
    <col min="6171" max="6171" width="16.7109375" style="292" customWidth="1"/>
    <col min="6172" max="6172" width="1.8515625" style="292" customWidth="1"/>
    <col min="6173" max="6173" width="16.7109375" style="292" customWidth="1"/>
    <col min="6174" max="6174" width="1.8515625" style="292" customWidth="1"/>
    <col min="6175" max="6175" width="17.8515625" style="292" customWidth="1"/>
    <col min="6176" max="6176" width="5.28125" style="292" customWidth="1"/>
    <col min="6177" max="6177" width="16.7109375" style="292" customWidth="1"/>
    <col min="6178" max="6178" width="5.28125" style="292" customWidth="1"/>
    <col min="6179" max="6179" width="14.421875" style="292" customWidth="1"/>
    <col min="6180" max="6180" width="1.8515625" style="292" customWidth="1"/>
    <col min="6181" max="6181" width="16.7109375" style="292" customWidth="1"/>
    <col min="6182" max="6391" width="11.00390625" style="292" customWidth="1"/>
    <col min="6392" max="6392" width="7.57421875" style="292" customWidth="1"/>
    <col min="6393" max="6393" width="15.57421875" style="292" customWidth="1"/>
    <col min="6394" max="6394" width="20.140625" style="292" customWidth="1"/>
    <col min="6395" max="6395" width="2.28125" style="292" customWidth="1"/>
    <col min="6396" max="6396" width="17.421875" style="292" customWidth="1"/>
    <col min="6397" max="6397" width="1.8515625" style="292" customWidth="1"/>
    <col min="6398" max="6398" width="18.7109375" style="292" customWidth="1"/>
    <col min="6399" max="6399" width="1.8515625" style="292" customWidth="1"/>
    <col min="6400" max="6400" width="23.00390625" style="292" customWidth="1"/>
    <col min="6401" max="6401" width="1.8515625" style="292" customWidth="1"/>
    <col min="6402" max="6402" width="17.421875" style="292" customWidth="1"/>
    <col min="6403" max="6403" width="3.00390625" style="292" customWidth="1"/>
    <col min="6404" max="6404" width="16.28125" style="292" customWidth="1"/>
    <col min="6405" max="6405" width="3.00390625" style="292" customWidth="1"/>
    <col min="6406" max="6406" width="14.140625" style="292" customWidth="1"/>
    <col min="6407" max="6407" width="2.00390625" style="292" customWidth="1"/>
    <col min="6408" max="6408" width="15.8515625" style="292" customWidth="1"/>
    <col min="6409" max="6409" width="3.140625" style="292" customWidth="1"/>
    <col min="6410" max="6410" width="17.8515625" style="292" customWidth="1"/>
    <col min="6411" max="6411" width="2.57421875" style="292" customWidth="1"/>
    <col min="6412" max="6412" width="15.57421875" style="292" customWidth="1"/>
    <col min="6413" max="6413" width="1.8515625" style="292" customWidth="1"/>
    <col min="6414" max="6414" width="14.140625" style="292" customWidth="1"/>
    <col min="6415" max="6415" width="11.00390625" style="292" customWidth="1"/>
    <col min="6416" max="6417" width="25.00390625" style="292" customWidth="1"/>
    <col min="6418" max="6418" width="1.8515625" style="292" customWidth="1"/>
    <col min="6419" max="6419" width="17.8515625" style="292" customWidth="1"/>
    <col min="6420" max="6420" width="1.8515625" style="292" customWidth="1"/>
    <col min="6421" max="6421" width="19.00390625" style="292" customWidth="1"/>
    <col min="6422" max="6422" width="1.8515625" style="292" customWidth="1"/>
    <col min="6423" max="6423" width="16.7109375" style="292" customWidth="1"/>
    <col min="6424" max="6424" width="1.8515625" style="292" customWidth="1"/>
    <col min="6425" max="6425" width="16.7109375" style="292" customWidth="1"/>
    <col min="6426" max="6426" width="1.8515625" style="292" customWidth="1"/>
    <col min="6427" max="6427" width="16.7109375" style="292" customWidth="1"/>
    <col min="6428" max="6428" width="1.8515625" style="292" customWidth="1"/>
    <col min="6429" max="6429" width="16.7109375" style="292" customWidth="1"/>
    <col min="6430" max="6430" width="1.8515625" style="292" customWidth="1"/>
    <col min="6431" max="6431" width="17.8515625" style="292" customWidth="1"/>
    <col min="6432" max="6432" width="5.28125" style="292" customWidth="1"/>
    <col min="6433" max="6433" width="16.7109375" style="292" customWidth="1"/>
    <col min="6434" max="6434" width="5.28125" style="292" customWidth="1"/>
    <col min="6435" max="6435" width="14.421875" style="292" customWidth="1"/>
    <col min="6436" max="6436" width="1.8515625" style="292" customWidth="1"/>
    <col min="6437" max="6437" width="16.7109375" style="292" customWidth="1"/>
    <col min="6438" max="6647" width="11.00390625" style="292" customWidth="1"/>
    <col min="6648" max="6648" width="7.57421875" style="292" customWidth="1"/>
    <col min="6649" max="6649" width="15.57421875" style="292" customWidth="1"/>
    <col min="6650" max="6650" width="20.140625" style="292" customWidth="1"/>
    <col min="6651" max="6651" width="2.28125" style="292" customWidth="1"/>
    <col min="6652" max="6652" width="17.421875" style="292" customWidth="1"/>
    <col min="6653" max="6653" width="1.8515625" style="292" customWidth="1"/>
    <col min="6654" max="6654" width="18.7109375" style="292" customWidth="1"/>
    <col min="6655" max="6655" width="1.8515625" style="292" customWidth="1"/>
    <col min="6656" max="6656" width="23.00390625" style="292" customWidth="1"/>
    <col min="6657" max="6657" width="1.8515625" style="292" customWidth="1"/>
    <col min="6658" max="6658" width="17.421875" style="292" customWidth="1"/>
    <col min="6659" max="6659" width="3.00390625" style="292" customWidth="1"/>
    <col min="6660" max="6660" width="16.28125" style="292" customWidth="1"/>
    <col min="6661" max="6661" width="3.00390625" style="292" customWidth="1"/>
    <col min="6662" max="6662" width="14.140625" style="292" customWidth="1"/>
    <col min="6663" max="6663" width="2.00390625" style="292" customWidth="1"/>
    <col min="6664" max="6664" width="15.8515625" style="292" customWidth="1"/>
    <col min="6665" max="6665" width="3.140625" style="292" customWidth="1"/>
    <col min="6666" max="6666" width="17.8515625" style="292" customWidth="1"/>
    <col min="6667" max="6667" width="2.57421875" style="292" customWidth="1"/>
    <col min="6668" max="6668" width="15.57421875" style="292" customWidth="1"/>
    <col min="6669" max="6669" width="1.8515625" style="292" customWidth="1"/>
    <col min="6670" max="6670" width="14.140625" style="292" customWidth="1"/>
    <col min="6671" max="6671" width="11.00390625" style="292" customWidth="1"/>
    <col min="6672" max="6673" width="25.00390625" style="292" customWidth="1"/>
    <col min="6674" max="6674" width="1.8515625" style="292" customWidth="1"/>
    <col min="6675" max="6675" width="17.8515625" style="292" customWidth="1"/>
    <col min="6676" max="6676" width="1.8515625" style="292" customWidth="1"/>
    <col min="6677" max="6677" width="19.00390625" style="292" customWidth="1"/>
    <col min="6678" max="6678" width="1.8515625" style="292" customWidth="1"/>
    <col min="6679" max="6679" width="16.7109375" style="292" customWidth="1"/>
    <col min="6680" max="6680" width="1.8515625" style="292" customWidth="1"/>
    <col min="6681" max="6681" width="16.7109375" style="292" customWidth="1"/>
    <col min="6682" max="6682" width="1.8515625" style="292" customWidth="1"/>
    <col min="6683" max="6683" width="16.7109375" style="292" customWidth="1"/>
    <col min="6684" max="6684" width="1.8515625" style="292" customWidth="1"/>
    <col min="6685" max="6685" width="16.7109375" style="292" customWidth="1"/>
    <col min="6686" max="6686" width="1.8515625" style="292" customWidth="1"/>
    <col min="6687" max="6687" width="17.8515625" style="292" customWidth="1"/>
    <col min="6688" max="6688" width="5.28125" style="292" customWidth="1"/>
    <col min="6689" max="6689" width="16.7109375" style="292" customWidth="1"/>
    <col min="6690" max="6690" width="5.28125" style="292" customWidth="1"/>
    <col min="6691" max="6691" width="14.421875" style="292" customWidth="1"/>
    <col min="6692" max="6692" width="1.8515625" style="292" customWidth="1"/>
    <col min="6693" max="6693" width="16.7109375" style="292" customWidth="1"/>
    <col min="6694" max="6903" width="11.00390625" style="292" customWidth="1"/>
    <col min="6904" max="6904" width="7.57421875" style="292" customWidth="1"/>
    <col min="6905" max="6905" width="15.57421875" style="292" customWidth="1"/>
    <col min="6906" max="6906" width="20.140625" style="292" customWidth="1"/>
    <col min="6907" max="6907" width="2.28125" style="292" customWidth="1"/>
    <col min="6908" max="6908" width="17.421875" style="292" customWidth="1"/>
    <col min="6909" max="6909" width="1.8515625" style="292" customWidth="1"/>
    <col min="6910" max="6910" width="18.7109375" style="292" customWidth="1"/>
    <col min="6911" max="6911" width="1.8515625" style="292" customWidth="1"/>
    <col min="6912" max="6912" width="23.00390625" style="292" customWidth="1"/>
    <col min="6913" max="6913" width="1.8515625" style="292" customWidth="1"/>
    <col min="6914" max="6914" width="17.421875" style="292" customWidth="1"/>
    <col min="6915" max="6915" width="3.00390625" style="292" customWidth="1"/>
    <col min="6916" max="6916" width="16.28125" style="292" customWidth="1"/>
    <col min="6917" max="6917" width="3.00390625" style="292" customWidth="1"/>
    <col min="6918" max="6918" width="14.140625" style="292" customWidth="1"/>
    <col min="6919" max="6919" width="2.00390625" style="292" customWidth="1"/>
    <col min="6920" max="6920" width="15.8515625" style="292" customWidth="1"/>
    <col min="6921" max="6921" width="3.140625" style="292" customWidth="1"/>
    <col min="6922" max="6922" width="17.8515625" style="292" customWidth="1"/>
    <col min="6923" max="6923" width="2.57421875" style="292" customWidth="1"/>
    <col min="6924" max="6924" width="15.57421875" style="292" customWidth="1"/>
    <col min="6925" max="6925" width="1.8515625" style="292" customWidth="1"/>
    <col min="6926" max="6926" width="14.140625" style="292" customWidth="1"/>
    <col min="6927" max="6927" width="11.00390625" style="292" customWidth="1"/>
    <col min="6928" max="6929" width="25.00390625" style="292" customWidth="1"/>
    <col min="6930" max="6930" width="1.8515625" style="292" customWidth="1"/>
    <col min="6931" max="6931" width="17.8515625" style="292" customWidth="1"/>
    <col min="6932" max="6932" width="1.8515625" style="292" customWidth="1"/>
    <col min="6933" max="6933" width="19.00390625" style="292" customWidth="1"/>
    <col min="6934" max="6934" width="1.8515625" style="292" customWidth="1"/>
    <col min="6935" max="6935" width="16.7109375" style="292" customWidth="1"/>
    <col min="6936" max="6936" width="1.8515625" style="292" customWidth="1"/>
    <col min="6937" max="6937" width="16.7109375" style="292" customWidth="1"/>
    <col min="6938" max="6938" width="1.8515625" style="292" customWidth="1"/>
    <col min="6939" max="6939" width="16.7109375" style="292" customWidth="1"/>
    <col min="6940" max="6940" width="1.8515625" style="292" customWidth="1"/>
    <col min="6941" max="6941" width="16.7109375" style="292" customWidth="1"/>
    <col min="6942" max="6942" width="1.8515625" style="292" customWidth="1"/>
    <col min="6943" max="6943" width="17.8515625" style="292" customWidth="1"/>
    <col min="6944" max="6944" width="5.28125" style="292" customWidth="1"/>
    <col min="6945" max="6945" width="16.7109375" style="292" customWidth="1"/>
    <col min="6946" max="6946" width="5.28125" style="292" customWidth="1"/>
    <col min="6947" max="6947" width="14.421875" style="292" customWidth="1"/>
    <col min="6948" max="6948" width="1.8515625" style="292" customWidth="1"/>
    <col min="6949" max="6949" width="16.7109375" style="292" customWidth="1"/>
    <col min="6950" max="7159" width="11.00390625" style="292" customWidth="1"/>
    <col min="7160" max="7160" width="7.57421875" style="292" customWidth="1"/>
    <col min="7161" max="7161" width="15.57421875" style="292" customWidth="1"/>
    <col min="7162" max="7162" width="20.140625" style="292" customWidth="1"/>
    <col min="7163" max="7163" width="2.28125" style="292" customWidth="1"/>
    <col min="7164" max="7164" width="17.421875" style="292" customWidth="1"/>
    <col min="7165" max="7165" width="1.8515625" style="292" customWidth="1"/>
    <col min="7166" max="7166" width="18.7109375" style="292" customWidth="1"/>
    <col min="7167" max="7167" width="1.8515625" style="292" customWidth="1"/>
    <col min="7168" max="7168" width="23.00390625" style="292" customWidth="1"/>
    <col min="7169" max="7169" width="1.8515625" style="292" customWidth="1"/>
    <col min="7170" max="7170" width="17.421875" style="292" customWidth="1"/>
    <col min="7171" max="7171" width="3.00390625" style="292" customWidth="1"/>
    <col min="7172" max="7172" width="16.28125" style="292" customWidth="1"/>
    <col min="7173" max="7173" width="3.00390625" style="292" customWidth="1"/>
    <col min="7174" max="7174" width="14.140625" style="292" customWidth="1"/>
    <col min="7175" max="7175" width="2.00390625" style="292" customWidth="1"/>
    <col min="7176" max="7176" width="15.8515625" style="292" customWidth="1"/>
    <col min="7177" max="7177" width="3.140625" style="292" customWidth="1"/>
    <col min="7178" max="7178" width="17.8515625" style="292" customWidth="1"/>
    <col min="7179" max="7179" width="2.57421875" style="292" customWidth="1"/>
    <col min="7180" max="7180" width="15.57421875" style="292" customWidth="1"/>
    <col min="7181" max="7181" width="1.8515625" style="292" customWidth="1"/>
    <col min="7182" max="7182" width="14.140625" style="292" customWidth="1"/>
    <col min="7183" max="7183" width="11.00390625" style="292" customWidth="1"/>
    <col min="7184" max="7185" width="25.00390625" style="292" customWidth="1"/>
    <col min="7186" max="7186" width="1.8515625" style="292" customWidth="1"/>
    <col min="7187" max="7187" width="17.8515625" style="292" customWidth="1"/>
    <col min="7188" max="7188" width="1.8515625" style="292" customWidth="1"/>
    <col min="7189" max="7189" width="19.00390625" style="292" customWidth="1"/>
    <col min="7190" max="7190" width="1.8515625" style="292" customWidth="1"/>
    <col min="7191" max="7191" width="16.7109375" style="292" customWidth="1"/>
    <col min="7192" max="7192" width="1.8515625" style="292" customWidth="1"/>
    <col min="7193" max="7193" width="16.7109375" style="292" customWidth="1"/>
    <col min="7194" max="7194" width="1.8515625" style="292" customWidth="1"/>
    <col min="7195" max="7195" width="16.7109375" style="292" customWidth="1"/>
    <col min="7196" max="7196" width="1.8515625" style="292" customWidth="1"/>
    <col min="7197" max="7197" width="16.7109375" style="292" customWidth="1"/>
    <col min="7198" max="7198" width="1.8515625" style="292" customWidth="1"/>
    <col min="7199" max="7199" width="17.8515625" style="292" customWidth="1"/>
    <col min="7200" max="7200" width="5.28125" style="292" customWidth="1"/>
    <col min="7201" max="7201" width="16.7109375" style="292" customWidth="1"/>
    <col min="7202" max="7202" width="5.28125" style="292" customWidth="1"/>
    <col min="7203" max="7203" width="14.421875" style="292" customWidth="1"/>
    <col min="7204" max="7204" width="1.8515625" style="292" customWidth="1"/>
    <col min="7205" max="7205" width="16.7109375" style="292" customWidth="1"/>
    <col min="7206" max="7415" width="11.00390625" style="292" customWidth="1"/>
    <col min="7416" max="7416" width="7.57421875" style="292" customWidth="1"/>
    <col min="7417" max="7417" width="15.57421875" style="292" customWidth="1"/>
    <col min="7418" max="7418" width="20.140625" style="292" customWidth="1"/>
    <col min="7419" max="7419" width="2.28125" style="292" customWidth="1"/>
    <col min="7420" max="7420" width="17.421875" style="292" customWidth="1"/>
    <col min="7421" max="7421" width="1.8515625" style="292" customWidth="1"/>
    <col min="7422" max="7422" width="18.7109375" style="292" customWidth="1"/>
    <col min="7423" max="7423" width="1.8515625" style="292" customWidth="1"/>
    <col min="7424" max="7424" width="23.00390625" style="292" customWidth="1"/>
    <col min="7425" max="7425" width="1.8515625" style="292" customWidth="1"/>
    <col min="7426" max="7426" width="17.421875" style="292" customWidth="1"/>
    <col min="7427" max="7427" width="3.00390625" style="292" customWidth="1"/>
    <col min="7428" max="7428" width="16.28125" style="292" customWidth="1"/>
    <col min="7429" max="7429" width="3.00390625" style="292" customWidth="1"/>
    <col min="7430" max="7430" width="14.140625" style="292" customWidth="1"/>
    <col min="7431" max="7431" width="2.00390625" style="292" customWidth="1"/>
    <col min="7432" max="7432" width="15.8515625" style="292" customWidth="1"/>
    <col min="7433" max="7433" width="3.140625" style="292" customWidth="1"/>
    <col min="7434" max="7434" width="17.8515625" style="292" customWidth="1"/>
    <col min="7435" max="7435" width="2.57421875" style="292" customWidth="1"/>
    <col min="7436" max="7436" width="15.57421875" style="292" customWidth="1"/>
    <col min="7437" max="7437" width="1.8515625" style="292" customWidth="1"/>
    <col min="7438" max="7438" width="14.140625" style="292" customWidth="1"/>
    <col min="7439" max="7439" width="11.00390625" style="292" customWidth="1"/>
    <col min="7440" max="7441" width="25.00390625" style="292" customWidth="1"/>
    <col min="7442" max="7442" width="1.8515625" style="292" customWidth="1"/>
    <col min="7443" max="7443" width="17.8515625" style="292" customWidth="1"/>
    <col min="7444" max="7444" width="1.8515625" style="292" customWidth="1"/>
    <col min="7445" max="7445" width="19.00390625" style="292" customWidth="1"/>
    <col min="7446" max="7446" width="1.8515625" style="292" customWidth="1"/>
    <col min="7447" max="7447" width="16.7109375" style="292" customWidth="1"/>
    <col min="7448" max="7448" width="1.8515625" style="292" customWidth="1"/>
    <col min="7449" max="7449" width="16.7109375" style="292" customWidth="1"/>
    <col min="7450" max="7450" width="1.8515625" style="292" customWidth="1"/>
    <col min="7451" max="7451" width="16.7109375" style="292" customWidth="1"/>
    <col min="7452" max="7452" width="1.8515625" style="292" customWidth="1"/>
    <col min="7453" max="7453" width="16.7109375" style="292" customWidth="1"/>
    <col min="7454" max="7454" width="1.8515625" style="292" customWidth="1"/>
    <col min="7455" max="7455" width="17.8515625" style="292" customWidth="1"/>
    <col min="7456" max="7456" width="5.28125" style="292" customWidth="1"/>
    <col min="7457" max="7457" width="16.7109375" style="292" customWidth="1"/>
    <col min="7458" max="7458" width="5.28125" style="292" customWidth="1"/>
    <col min="7459" max="7459" width="14.421875" style="292" customWidth="1"/>
    <col min="7460" max="7460" width="1.8515625" style="292" customWidth="1"/>
    <col min="7461" max="7461" width="16.7109375" style="292" customWidth="1"/>
    <col min="7462" max="7671" width="11.00390625" style="292" customWidth="1"/>
    <col min="7672" max="7672" width="7.57421875" style="292" customWidth="1"/>
    <col min="7673" max="7673" width="15.57421875" style="292" customWidth="1"/>
    <col min="7674" max="7674" width="20.140625" style="292" customWidth="1"/>
    <col min="7675" max="7675" width="2.28125" style="292" customWidth="1"/>
    <col min="7676" max="7676" width="17.421875" style="292" customWidth="1"/>
    <col min="7677" max="7677" width="1.8515625" style="292" customWidth="1"/>
    <col min="7678" max="7678" width="18.7109375" style="292" customWidth="1"/>
    <col min="7679" max="7679" width="1.8515625" style="292" customWidth="1"/>
    <col min="7680" max="7680" width="23.00390625" style="292" customWidth="1"/>
    <col min="7681" max="7681" width="1.8515625" style="292" customWidth="1"/>
    <col min="7682" max="7682" width="17.421875" style="292" customWidth="1"/>
    <col min="7683" max="7683" width="3.00390625" style="292" customWidth="1"/>
    <col min="7684" max="7684" width="16.28125" style="292" customWidth="1"/>
    <col min="7685" max="7685" width="3.00390625" style="292" customWidth="1"/>
    <col min="7686" max="7686" width="14.140625" style="292" customWidth="1"/>
    <col min="7687" max="7687" width="2.00390625" style="292" customWidth="1"/>
    <col min="7688" max="7688" width="15.8515625" style="292" customWidth="1"/>
    <col min="7689" max="7689" width="3.140625" style="292" customWidth="1"/>
    <col min="7690" max="7690" width="17.8515625" style="292" customWidth="1"/>
    <col min="7691" max="7691" width="2.57421875" style="292" customWidth="1"/>
    <col min="7692" max="7692" width="15.57421875" style="292" customWidth="1"/>
    <col min="7693" max="7693" width="1.8515625" style="292" customWidth="1"/>
    <col min="7694" max="7694" width="14.140625" style="292" customWidth="1"/>
    <col min="7695" max="7695" width="11.00390625" style="292" customWidth="1"/>
    <col min="7696" max="7697" width="25.00390625" style="292" customWidth="1"/>
    <col min="7698" max="7698" width="1.8515625" style="292" customWidth="1"/>
    <col min="7699" max="7699" width="17.8515625" style="292" customWidth="1"/>
    <col min="7700" max="7700" width="1.8515625" style="292" customWidth="1"/>
    <col min="7701" max="7701" width="19.00390625" style="292" customWidth="1"/>
    <col min="7702" max="7702" width="1.8515625" style="292" customWidth="1"/>
    <col min="7703" max="7703" width="16.7109375" style="292" customWidth="1"/>
    <col min="7704" max="7704" width="1.8515625" style="292" customWidth="1"/>
    <col min="7705" max="7705" width="16.7109375" style="292" customWidth="1"/>
    <col min="7706" max="7706" width="1.8515625" style="292" customWidth="1"/>
    <col min="7707" max="7707" width="16.7109375" style="292" customWidth="1"/>
    <col min="7708" max="7708" width="1.8515625" style="292" customWidth="1"/>
    <col min="7709" max="7709" width="16.7109375" style="292" customWidth="1"/>
    <col min="7710" max="7710" width="1.8515625" style="292" customWidth="1"/>
    <col min="7711" max="7711" width="17.8515625" style="292" customWidth="1"/>
    <col min="7712" max="7712" width="5.28125" style="292" customWidth="1"/>
    <col min="7713" max="7713" width="16.7109375" style="292" customWidth="1"/>
    <col min="7714" max="7714" width="5.28125" style="292" customWidth="1"/>
    <col min="7715" max="7715" width="14.421875" style="292" customWidth="1"/>
    <col min="7716" max="7716" width="1.8515625" style="292" customWidth="1"/>
    <col min="7717" max="7717" width="16.7109375" style="292" customWidth="1"/>
    <col min="7718" max="7927" width="11.00390625" style="292" customWidth="1"/>
    <col min="7928" max="7928" width="7.57421875" style="292" customWidth="1"/>
    <col min="7929" max="7929" width="15.57421875" style="292" customWidth="1"/>
    <col min="7930" max="7930" width="20.140625" style="292" customWidth="1"/>
    <col min="7931" max="7931" width="2.28125" style="292" customWidth="1"/>
    <col min="7932" max="7932" width="17.421875" style="292" customWidth="1"/>
    <col min="7933" max="7933" width="1.8515625" style="292" customWidth="1"/>
    <col min="7934" max="7934" width="18.7109375" style="292" customWidth="1"/>
    <col min="7935" max="7935" width="1.8515625" style="292" customWidth="1"/>
    <col min="7936" max="7936" width="23.00390625" style="292" customWidth="1"/>
    <col min="7937" max="7937" width="1.8515625" style="292" customWidth="1"/>
    <col min="7938" max="7938" width="17.421875" style="292" customWidth="1"/>
    <col min="7939" max="7939" width="3.00390625" style="292" customWidth="1"/>
    <col min="7940" max="7940" width="16.28125" style="292" customWidth="1"/>
    <col min="7941" max="7941" width="3.00390625" style="292" customWidth="1"/>
    <col min="7942" max="7942" width="14.140625" style="292" customWidth="1"/>
    <col min="7943" max="7943" width="2.00390625" style="292" customWidth="1"/>
    <col min="7944" max="7944" width="15.8515625" style="292" customWidth="1"/>
    <col min="7945" max="7945" width="3.140625" style="292" customWidth="1"/>
    <col min="7946" max="7946" width="17.8515625" style="292" customWidth="1"/>
    <col min="7947" max="7947" width="2.57421875" style="292" customWidth="1"/>
    <col min="7948" max="7948" width="15.57421875" style="292" customWidth="1"/>
    <col min="7949" max="7949" width="1.8515625" style="292" customWidth="1"/>
    <col min="7950" max="7950" width="14.140625" style="292" customWidth="1"/>
    <col min="7951" max="7951" width="11.00390625" style="292" customWidth="1"/>
    <col min="7952" max="7953" width="25.00390625" style="292" customWidth="1"/>
    <col min="7954" max="7954" width="1.8515625" style="292" customWidth="1"/>
    <col min="7955" max="7955" width="17.8515625" style="292" customWidth="1"/>
    <col min="7956" max="7956" width="1.8515625" style="292" customWidth="1"/>
    <col min="7957" max="7957" width="19.00390625" style="292" customWidth="1"/>
    <col min="7958" max="7958" width="1.8515625" style="292" customWidth="1"/>
    <col min="7959" max="7959" width="16.7109375" style="292" customWidth="1"/>
    <col min="7960" max="7960" width="1.8515625" style="292" customWidth="1"/>
    <col min="7961" max="7961" width="16.7109375" style="292" customWidth="1"/>
    <col min="7962" max="7962" width="1.8515625" style="292" customWidth="1"/>
    <col min="7963" max="7963" width="16.7109375" style="292" customWidth="1"/>
    <col min="7964" max="7964" width="1.8515625" style="292" customWidth="1"/>
    <col min="7965" max="7965" width="16.7109375" style="292" customWidth="1"/>
    <col min="7966" max="7966" width="1.8515625" style="292" customWidth="1"/>
    <col min="7967" max="7967" width="17.8515625" style="292" customWidth="1"/>
    <col min="7968" max="7968" width="5.28125" style="292" customWidth="1"/>
    <col min="7969" max="7969" width="16.7109375" style="292" customWidth="1"/>
    <col min="7970" max="7970" width="5.28125" style="292" customWidth="1"/>
    <col min="7971" max="7971" width="14.421875" style="292" customWidth="1"/>
    <col min="7972" max="7972" width="1.8515625" style="292" customWidth="1"/>
    <col min="7973" max="7973" width="16.7109375" style="292" customWidth="1"/>
    <col min="7974" max="8183" width="11.00390625" style="292" customWidth="1"/>
    <col min="8184" max="8184" width="7.57421875" style="292" customWidth="1"/>
    <col min="8185" max="8185" width="15.57421875" style="292" customWidth="1"/>
    <col min="8186" max="8186" width="20.140625" style="292" customWidth="1"/>
    <col min="8187" max="8187" width="2.28125" style="292" customWidth="1"/>
    <col min="8188" max="8188" width="17.421875" style="292" customWidth="1"/>
    <col min="8189" max="8189" width="1.8515625" style="292" customWidth="1"/>
    <col min="8190" max="8190" width="18.7109375" style="292" customWidth="1"/>
    <col min="8191" max="8191" width="1.8515625" style="292" customWidth="1"/>
    <col min="8192" max="8192" width="23.00390625" style="292" customWidth="1"/>
    <col min="8193" max="8193" width="1.8515625" style="292" customWidth="1"/>
    <col min="8194" max="8194" width="17.421875" style="292" customWidth="1"/>
    <col min="8195" max="8195" width="3.00390625" style="292" customWidth="1"/>
    <col min="8196" max="8196" width="16.28125" style="292" customWidth="1"/>
    <col min="8197" max="8197" width="3.00390625" style="292" customWidth="1"/>
    <col min="8198" max="8198" width="14.140625" style="292" customWidth="1"/>
    <col min="8199" max="8199" width="2.00390625" style="292" customWidth="1"/>
    <col min="8200" max="8200" width="15.8515625" style="292" customWidth="1"/>
    <col min="8201" max="8201" width="3.140625" style="292" customWidth="1"/>
    <col min="8202" max="8202" width="17.8515625" style="292" customWidth="1"/>
    <col min="8203" max="8203" width="2.57421875" style="292" customWidth="1"/>
    <col min="8204" max="8204" width="15.57421875" style="292" customWidth="1"/>
    <col min="8205" max="8205" width="1.8515625" style="292" customWidth="1"/>
    <col min="8206" max="8206" width="14.140625" style="292" customWidth="1"/>
    <col min="8207" max="8207" width="11.00390625" style="292" customWidth="1"/>
    <col min="8208" max="8209" width="25.00390625" style="292" customWidth="1"/>
    <col min="8210" max="8210" width="1.8515625" style="292" customWidth="1"/>
    <col min="8211" max="8211" width="17.8515625" style="292" customWidth="1"/>
    <col min="8212" max="8212" width="1.8515625" style="292" customWidth="1"/>
    <col min="8213" max="8213" width="19.00390625" style="292" customWidth="1"/>
    <col min="8214" max="8214" width="1.8515625" style="292" customWidth="1"/>
    <col min="8215" max="8215" width="16.7109375" style="292" customWidth="1"/>
    <col min="8216" max="8216" width="1.8515625" style="292" customWidth="1"/>
    <col min="8217" max="8217" width="16.7109375" style="292" customWidth="1"/>
    <col min="8218" max="8218" width="1.8515625" style="292" customWidth="1"/>
    <col min="8219" max="8219" width="16.7109375" style="292" customWidth="1"/>
    <col min="8220" max="8220" width="1.8515625" style="292" customWidth="1"/>
    <col min="8221" max="8221" width="16.7109375" style="292" customWidth="1"/>
    <col min="8222" max="8222" width="1.8515625" style="292" customWidth="1"/>
    <col min="8223" max="8223" width="17.8515625" style="292" customWidth="1"/>
    <col min="8224" max="8224" width="5.28125" style="292" customWidth="1"/>
    <col min="8225" max="8225" width="16.7109375" style="292" customWidth="1"/>
    <col min="8226" max="8226" width="5.28125" style="292" customWidth="1"/>
    <col min="8227" max="8227" width="14.421875" style="292" customWidth="1"/>
    <col min="8228" max="8228" width="1.8515625" style="292" customWidth="1"/>
    <col min="8229" max="8229" width="16.7109375" style="292" customWidth="1"/>
    <col min="8230" max="8439" width="11.00390625" style="292" customWidth="1"/>
    <col min="8440" max="8440" width="7.57421875" style="292" customWidth="1"/>
    <col min="8441" max="8441" width="15.57421875" style="292" customWidth="1"/>
    <col min="8442" max="8442" width="20.140625" style="292" customWidth="1"/>
    <col min="8443" max="8443" width="2.28125" style="292" customWidth="1"/>
    <col min="8444" max="8444" width="17.421875" style="292" customWidth="1"/>
    <col min="8445" max="8445" width="1.8515625" style="292" customWidth="1"/>
    <col min="8446" max="8446" width="18.7109375" style="292" customWidth="1"/>
    <col min="8447" max="8447" width="1.8515625" style="292" customWidth="1"/>
    <col min="8448" max="8448" width="23.00390625" style="292" customWidth="1"/>
    <col min="8449" max="8449" width="1.8515625" style="292" customWidth="1"/>
    <col min="8450" max="8450" width="17.421875" style="292" customWidth="1"/>
    <col min="8451" max="8451" width="3.00390625" style="292" customWidth="1"/>
    <col min="8452" max="8452" width="16.28125" style="292" customWidth="1"/>
    <col min="8453" max="8453" width="3.00390625" style="292" customWidth="1"/>
    <col min="8454" max="8454" width="14.140625" style="292" customWidth="1"/>
    <col min="8455" max="8455" width="2.00390625" style="292" customWidth="1"/>
    <col min="8456" max="8456" width="15.8515625" style="292" customWidth="1"/>
    <col min="8457" max="8457" width="3.140625" style="292" customWidth="1"/>
    <col min="8458" max="8458" width="17.8515625" style="292" customWidth="1"/>
    <col min="8459" max="8459" width="2.57421875" style="292" customWidth="1"/>
    <col min="8460" max="8460" width="15.57421875" style="292" customWidth="1"/>
    <col min="8461" max="8461" width="1.8515625" style="292" customWidth="1"/>
    <col min="8462" max="8462" width="14.140625" style="292" customWidth="1"/>
    <col min="8463" max="8463" width="11.00390625" style="292" customWidth="1"/>
    <col min="8464" max="8465" width="25.00390625" style="292" customWidth="1"/>
    <col min="8466" max="8466" width="1.8515625" style="292" customWidth="1"/>
    <col min="8467" max="8467" width="17.8515625" style="292" customWidth="1"/>
    <col min="8468" max="8468" width="1.8515625" style="292" customWidth="1"/>
    <col min="8469" max="8469" width="19.00390625" style="292" customWidth="1"/>
    <col min="8470" max="8470" width="1.8515625" style="292" customWidth="1"/>
    <col min="8471" max="8471" width="16.7109375" style="292" customWidth="1"/>
    <col min="8472" max="8472" width="1.8515625" style="292" customWidth="1"/>
    <col min="8473" max="8473" width="16.7109375" style="292" customWidth="1"/>
    <col min="8474" max="8474" width="1.8515625" style="292" customWidth="1"/>
    <col min="8475" max="8475" width="16.7109375" style="292" customWidth="1"/>
    <col min="8476" max="8476" width="1.8515625" style="292" customWidth="1"/>
    <col min="8477" max="8477" width="16.7109375" style="292" customWidth="1"/>
    <col min="8478" max="8478" width="1.8515625" style="292" customWidth="1"/>
    <col min="8479" max="8479" width="17.8515625" style="292" customWidth="1"/>
    <col min="8480" max="8480" width="5.28125" style="292" customWidth="1"/>
    <col min="8481" max="8481" width="16.7109375" style="292" customWidth="1"/>
    <col min="8482" max="8482" width="5.28125" style="292" customWidth="1"/>
    <col min="8483" max="8483" width="14.421875" style="292" customWidth="1"/>
    <col min="8484" max="8484" width="1.8515625" style="292" customWidth="1"/>
    <col min="8485" max="8485" width="16.7109375" style="292" customWidth="1"/>
    <col min="8486" max="8695" width="11.00390625" style="292" customWidth="1"/>
    <col min="8696" max="8696" width="7.57421875" style="292" customWidth="1"/>
    <col min="8697" max="8697" width="15.57421875" style="292" customWidth="1"/>
    <col min="8698" max="8698" width="20.140625" style="292" customWidth="1"/>
    <col min="8699" max="8699" width="2.28125" style="292" customWidth="1"/>
    <col min="8700" max="8700" width="17.421875" style="292" customWidth="1"/>
    <col min="8701" max="8701" width="1.8515625" style="292" customWidth="1"/>
    <col min="8702" max="8702" width="18.7109375" style="292" customWidth="1"/>
    <col min="8703" max="8703" width="1.8515625" style="292" customWidth="1"/>
    <col min="8704" max="8704" width="23.00390625" style="292" customWidth="1"/>
    <col min="8705" max="8705" width="1.8515625" style="292" customWidth="1"/>
    <col min="8706" max="8706" width="17.421875" style="292" customWidth="1"/>
    <col min="8707" max="8707" width="3.00390625" style="292" customWidth="1"/>
    <col min="8708" max="8708" width="16.28125" style="292" customWidth="1"/>
    <col min="8709" max="8709" width="3.00390625" style="292" customWidth="1"/>
    <col min="8710" max="8710" width="14.140625" style="292" customWidth="1"/>
    <col min="8711" max="8711" width="2.00390625" style="292" customWidth="1"/>
    <col min="8712" max="8712" width="15.8515625" style="292" customWidth="1"/>
    <col min="8713" max="8713" width="3.140625" style="292" customWidth="1"/>
    <col min="8714" max="8714" width="17.8515625" style="292" customWidth="1"/>
    <col min="8715" max="8715" width="2.57421875" style="292" customWidth="1"/>
    <col min="8716" max="8716" width="15.57421875" style="292" customWidth="1"/>
    <col min="8717" max="8717" width="1.8515625" style="292" customWidth="1"/>
    <col min="8718" max="8718" width="14.140625" style="292" customWidth="1"/>
    <col min="8719" max="8719" width="11.00390625" style="292" customWidth="1"/>
    <col min="8720" max="8721" width="25.00390625" style="292" customWidth="1"/>
    <col min="8722" max="8722" width="1.8515625" style="292" customWidth="1"/>
    <col min="8723" max="8723" width="17.8515625" style="292" customWidth="1"/>
    <col min="8724" max="8724" width="1.8515625" style="292" customWidth="1"/>
    <col min="8725" max="8725" width="19.00390625" style="292" customWidth="1"/>
    <col min="8726" max="8726" width="1.8515625" style="292" customWidth="1"/>
    <col min="8727" max="8727" width="16.7109375" style="292" customWidth="1"/>
    <col min="8728" max="8728" width="1.8515625" style="292" customWidth="1"/>
    <col min="8729" max="8729" width="16.7109375" style="292" customWidth="1"/>
    <col min="8730" max="8730" width="1.8515625" style="292" customWidth="1"/>
    <col min="8731" max="8731" width="16.7109375" style="292" customWidth="1"/>
    <col min="8732" max="8732" width="1.8515625" style="292" customWidth="1"/>
    <col min="8733" max="8733" width="16.7109375" style="292" customWidth="1"/>
    <col min="8734" max="8734" width="1.8515625" style="292" customWidth="1"/>
    <col min="8735" max="8735" width="17.8515625" style="292" customWidth="1"/>
    <col min="8736" max="8736" width="5.28125" style="292" customWidth="1"/>
    <col min="8737" max="8737" width="16.7109375" style="292" customWidth="1"/>
    <col min="8738" max="8738" width="5.28125" style="292" customWidth="1"/>
    <col min="8739" max="8739" width="14.421875" style="292" customWidth="1"/>
    <col min="8740" max="8740" width="1.8515625" style="292" customWidth="1"/>
    <col min="8741" max="8741" width="16.7109375" style="292" customWidth="1"/>
    <col min="8742" max="8951" width="11.00390625" style="292" customWidth="1"/>
    <col min="8952" max="8952" width="7.57421875" style="292" customWidth="1"/>
    <col min="8953" max="8953" width="15.57421875" style="292" customWidth="1"/>
    <col min="8954" max="8954" width="20.140625" style="292" customWidth="1"/>
    <col min="8955" max="8955" width="2.28125" style="292" customWidth="1"/>
    <col min="8956" max="8956" width="17.421875" style="292" customWidth="1"/>
    <col min="8957" max="8957" width="1.8515625" style="292" customWidth="1"/>
    <col min="8958" max="8958" width="18.7109375" style="292" customWidth="1"/>
    <col min="8959" max="8959" width="1.8515625" style="292" customWidth="1"/>
    <col min="8960" max="8960" width="23.00390625" style="292" customWidth="1"/>
    <col min="8961" max="8961" width="1.8515625" style="292" customWidth="1"/>
    <col min="8962" max="8962" width="17.421875" style="292" customWidth="1"/>
    <col min="8963" max="8963" width="3.00390625" style="292" customWidth="1"/>
    <col min="8964" max="8964" width="16.28125" style="292" customWidth="1"/>
    <col min="8965" max="8965" width="3.00390625" style="292" customWidth="1"/>
    <col min="8966" max="8966" width="14.140625" style="292" customWidth="1"/>
    <col min="8967" max="8967" width="2.00390625" style="292" customWidth="1"/>
    <col min="8968" max="8968" width="15.8515625" style="292" customWidth="1"/>
    <col min="8969" max="8969" width="3.140625" style="292" customWidth="1"/>
    <col min="8970" max="8970" width="17.8515625" style="292" customWidth="1"/>
    <col min="8971" max="8971" width="2.57421875" style="292" customWidth="1"/>
    <col min="8972" max="8972" width="15.57421875" style="292" customWidth="1"/>
    <col min="8973" max="8973" width="1.8515625" style="292" customWidth="1"/>
    <col min="8974" max="8974" width="14.140625" style="292" customWidth="1"/>
    <col min="8975" max="8975" width="11.00390625" style="292" customWidth="1"/>
    <col min="8976" max="8977" width="25.00390625" style="292" customWidth="1"/>
    <col min="8978" max="8978" width="1.8515625" style="292" customWidth="1"/>
    <col min="8979" max="8979" width="17.8515625" style="292" customWidth="1"/>
    <col min="8980" max="8980" width="1.8515625" style="292" customWidth="1"/>
    <col min="8981" max="8981" width="19.00390625" style="292" customWidth="1"/>
    <col min="8982" max="8982" width="1.8515625" style="292" customWidth="1"/>
    <col min="8983" max="8983" width="16.7109375" style="292" customWidth="1"/>
    <col min="8984" max="8984" width="1.8515625" style="292" customWidth="1"/>
    <col min="8985" max="8985" width="16.7109375" style="292" customWidth="1"/>
    <col min="8986" max="8986" width="1.8515625" style="292" customWidth="1"/>
    <col min="8987" max="8987" width="16.7109375" style="292" customWidth="1"/>
    <col min="8988" max="8988" width="1.8515625" style="292" customWidth="1"/>
    <col min="8989" max="8989" width="16.7109375" style="292" customWidth="1"/>
    <col min="8990" max="8990" width="1.8515625" style="292" customWidth="1"/>
    <col min="8991" max="8991" width="17.8515625" style="292" customWidth="1"/>
    <col min="8992" max="8992" width="5.28125" style="292" customWidth="1"/>
    <col min="8993" max="8993" width="16.7109375" style="292" customWidth="1"/>
    <col min="8994" max="8994" width="5.28125" style="292" customWidth="1"/>
    <col min="8995" max="8995" width="14.421875" style="292" customWidth="1"/>
    <col min="8996" max="8996" width="1.8515625" style="292" customWidth="1"/>
    <col min="8997" max="8997" width="16.7109375" style="292" customWidth="1"/>
    <col min="8998" max="9207" width="11.00390625" style="292" customWidth="1"/>
    <col min="9208" max="9208" width="7.57421875" style="292" customWidth="1"/>
    <col min="9209" max="9209" width="15.57421875" style="292" customWidth="1"/>
    <col min="9210" max="9210" width="20.140625" style="292" customWidth="1"/>
    <col min="9211" max="9211" width="2.28125" style="292" customWidth="1"/>
    <col min="9212" max="9212" width="17.421875" style="292" customWidth="1"/>
    <col min="9213" max="9213" width="1.8515625" style="292" customWidth="1"/>
    <col min="9214" max="9214" width="18.7109375" style="292" customWidth="1"/>
    <col min="9215" max="9215" width="1.8515625" style="292" customWidth="1"/>
    <col min="9216" max="9216" width="23.00390625" style="292" customWidth="1"/>
    <col min="9217" max="9217" width="1.8515625" style="292" customWidth="1"/>
    <col min="9218" max="9218" width="17.421875" style="292" customWidth="1"/>
    <col min="9219" max="9219" width="3.00390625" style="292" customWidth="1"/>
    <col min="9220" max="9220" width="16.28125" style="292" customWidth="1"/>
    <col min="9221" max="9221" width="3.00390625" style="292" customWidth="1"/>
    <col min="9222" max="9222" width="14.140625" style="292" customWidth="1"/>
    <col min="9223" max="9223" width="2.00390625" style="292" customWidth="1"/>
    <col min="9224" max="9224" width="15.8515625" style="292" customWidth="1"/>
    <col min="9225" max="9225" width="3.140625" style="292" customWidth="1"/>
    <col min="9226" max="9226" width="17.8515625" style="292" customWidth="1"/>
    <col min="9227" max="9227" width="2.57421875" style="292" customWidth="1"/>
    <col min="9228" max="9228" width="15.57421875" style="292" customWidth="1"/>
    <col min="9229" max="9229" width="1.8515625" style="292" customWidth="1"/>
    <col min="9230" max="9230" width="14.140625" style="292" customWidth="1"/>
    <col min="9231" max="9231" width="11.00390625" style="292" customWidth="1"/>
    <col min="9232" max="9233" width="25.00390625" style="292" customWidth="1"/>
    <col min="9234" max="9234" width="1.8515625" style="292" customWidth="1"/>
    <col min="9235" max="9235" width="17.8515625" style="292" customWidth="1"/>
    <col min="9236" max="9236" width="1.8515625" style="292" customWidth="1"/>
    <col min="9237" max="9237" width="19.00390625" style="292" customWidth="1"/>
    <col min="9238" max="9238" width="1.8515625" style="292" customWidth="1"/>
    <col min="9239" max="9239" width="16.7109375" style="292" customWidth="1"/>
    <col min="9240" max="9240" width="1.8515625" style="292" customWidth="1"/>
    <col min="9241" max="9241" width="16.7109375" style="292" customWidth="1"/>
    <col min="9242" max="9242" width="1.8515625" style="292" customWidth="1"/>
    <col min="9243" max="9243" width="16.7109375" style="292" customWidth="1"/>
    <col min="9244" max="9244" width="1.8515625" style="292" customWidth="1"/>
    <col min="9245" max="9245" width="16.7109375" style="292" customWidth="1"/>
    <col min="9246" max="9246" width="1.8515625" style="292" customWidth="1"/>
    <col min="9247" max="9247" width="17.8515625" style="292" customWidth="1"/>
    <col min="9248" max="9248" width="5.28125" style="292" customWidth="1"/>
    <col min="9249" max="9249" width="16.7109375" style="292" customWidth="1"/>
    <col min="9250" max="9250" width="5.28125" style="292" customWidth="1"/>
    <col min="9251" max="9251" width="14.421875" style="292" customWidth="1"/>
    <col min="9252" max="9252" width="1.8515625" style="292" customWidth="1"/>
    <col min="9253" max="9253" width="16.7109375" style="292" customWidth="1"/>
    <col min="9254" max="9463" width="11.00390625" style="292" customWidth="1"/>
    <col min="9464" max="9464" width="7.57421875" style="292" customWidth="1"/>
    <col min="9465" max="9465" width="15.57421875" style="292" customWidth="1"/>
    <col min="9466" max="9466" width="20.140625" style="292" customWidth="1"/>
    <col min="9467" max="9467" width="2.28125" style="292" customWidth="1"/>
    <col min="9468" max="9468" width="17.421875" style="292" customWidth="1"/>
    <col min="9469" max="9469" width="1.8515625" style="292" customWidth="1"/>
    <col min="9470" max="9470" width="18.7109375" style="292" customWidth="1"/>
    <col min="9471" max="9471" width="1.8515625" style="292" customWidth="1"/>
    <col min="9472" max="9472" width="23.00390625" style="292" customWidth="1"/>
    <col min="9473" max="9473" width="1.8515625" style="292" customWidth="1"/>
    <col min="9474" max="9474" width="17.421875" style="292" customWidth="1"/>
    <col min="9475" max="9475" width="3.00390625" style="292" customWidth="1"/>
    <col min="9476" max="9476" width="16.28125" style="292" customWidth="1"/>
    <col min="9477" max="9477" width="3.00390625" style="292" customWidth="1"/>
    <col min="9478" max="9478" width="14.140625" style="292" customWidth="1"/>
    <col min="9479" max="9479" width="2.00390625" style="292" customWidth="1"/>
    <col min="9480" max="9480" width="15.8515625" style="292" customWidth="1"/>
    <col min="9481" max="9481" width="3.140625" style="292" customWidth="1"/>
    <col min="9482" max="9482" width="17.8515625" style="292" customWidth="1"/>
    <col min="9483" max="9483" width="2.57421875" style="292" customWidth="1"/>
    <col min="9484" max="9484" width="15.57421875" style="292" customWidth="1"/>
    <col min="9485" max="9485" width="1.8515625" style="292" customWidth="1"/>
    <col min="9486" max="9486" width="14.140625" style="292" customWidth="1"/>
    <col min="9487" max="9487" width="11.00390625" style="292" customWidth="1"/>
    <col min="9488" max="9489" width="25.00390625" style="292" customWidth="1"/>
    <col min="9490" max="9490" width="1.8515625" style="292" customWidth="1"/>
    <col min="9491" max="9491" width="17.8515625" style="292" customWidth="1"/>
    <col min="9492" max="9492" width="1.8515625" style="292" customWidth="1"/>
    <col min="9493" max="9493" width="19.00390625" style="292" customWidth="1"/>
    <col min="9494" max="9494" width="1.8515625" style="292" customWidth="1"/>
    <col min="9495" max="9495" width="16.7109375" style="292" customWidth="1"/>
    <col min="9496" max="9496" width="1.8515625" style="292" customWidth="1"/>
    <col min="9497" max="9497" width="16.7109375" style="292" customWidth="1"/>
    <col min="9498" max="9498" width="1.8515625" style="292" customWidth="1"/>
    <col min="9499" max="9499" width="16.7109375" style="292" customWidth="1"/>
    <col min="9500" max="9500" width="1.8515625" style="292" customWidth="1"/>
    <col min="9501" max="9501" width="16.7109375" style="292" customWidth="1"/>
    <col min="9502" max="9502" width="1.8515625" style="292" customWidth="1"/>
    <col min="9503" max="9503" width="17.8515625" style="292" customWidth="1"/>
    <col min="9504" max="9504" width="5.28125" style="292" customWidth="1"/>
    <col min="9505" max="9505" width="16.7109375" style="292" customWidth="1"/>
    <col min="9506" max="9506" width="5.28125" style="292" customWidth="1"/>
    <col min="9507" max="9507" width="14.421875" style="292" customWidth="1"/>
    <col min="9508" max="9508" width="1.8515625" style="292" customWidth="1"/>
    <col min="9509" max="9509" width="16.7109375" style="292" customWidth="1"/>
    <col min="9510" max="9719" width="11.00390625" style="292" customWidth="1"/>
    <col min="9720" max="9720" width="7.57421875" style="292" customWidth="1"/>
    <col min="9721" max="9721" width="15.57421875" style="292" customWidth="1"/>
    <col min="9722" max="9722" width="20.140625" style="292" customWidth="1"/>
    <col min="9723" max="9723" width="2.28125" style="292" customWidth="1"/>
    <col min="9724" max="9724" width="17.421875" style="292" customWidth="1"/>
    <col min="9725" max="9725" width="1.8515625" style="292" customWidth="1"/>
    <col min="9726" max="9726" width="18.7109375" style="292" customWidth="1"/>
    <col min="9727" max="9727" width="1.8515625" style="292" customWidth="1"/>
    <col min="9728" max="9728" width="23.00390625" style="292" customWidth="1"/>
    <col min="9729" max="9729" width="1.8515625" style="292" customWidth="1"/>
    <col min="9730" max="9730" width="17.421875" style="292" customWidth="1"/>
    <col min="9731" max="9731" width="3.00390625" style="292" customWidth="1"/>
    <col min="9732" max="9732" width="16.28125" style="292" customWidth="1"/>
    <col min="9733" max="9733" width="3.00390625" style="292" customWidth="1"/>
    <col min="9734" max="9734" width="14.140625" style="292" customWidth="1"/>
    <col min="9735" max="9735" width="2.00390625" style="292" customWidth="1"/>
    <col min="9736" max="9736" width="15.8515625" style="292" customWidth="1"/>
    <col min="9737" max="9737" width="3.140625" style="292" customWidth="1"/>
    <col min="9738" max="9738" width="17.8515625" style="292" customWidth="1"/>
    <col min="9739" max="9739" width="2.57421875" style="292" customWidth="1"/>
    <col min="9740" max="9740" width="15.57421875" style="292" customWidth="1"/>
    <col min="9741" max="9741" width="1.8515625" style="292" customWidth="1"/>
    <col min="9742" max="9742" width="14.140625" style="292" customWidth="1"/>
    <col min="9743" max="9743" width="11.00390625" style="292" customWidth="1"/>
    <col min="9744" max="9745" width="25.00390625" style="292" customWidth="1"/>
    <col min="9746" max="9746" width="1.8515625" style="292" customWidth="1"/>
    <col min="9747" max="9747" width="17.8515625" style="292" customWidth="1"/>
    <col min="9748" max="9748" width="1.8515625" style="292" customWidth="1"/>
    <col min="9749" max="9749" width="19.00390625" style="292" customWidth="1"/>
    <col min="9750" max="9750" width="1.8515625" style="292" customWidth="1"/>
    <col min="9751" max="9751" width="16.7109375" style="292" customWidth="1"/>
    <col min="9752" max="9752" width="1.8515625" style="292" customWidth="1"/>
    <col min="9753" max="9753" width="16.7109375" style="292" customWidth="1"/>
    <col min="9754" max="9754" width="1.8515625" style="292" customWidth="1"/>
    <col min="9755" max="9755" width="16.7109375" style="292" customWidth="1"/>
    <col min="9756" max="9756" width="1.8515625" style="292" customWidth="1"/>
    <col min="9757" max="9757" width="16.7109375" style="292" customWidth="1"/>
    <col min="9758" max="9758" width="1.8515625" style="292" customWidth="1"/>
    <col min="9759" max="9759" width="17.8515625" style="292" customWidth="1"/>
    <col min="9760" max="9760" width="5.28125" style="292" customWidth="1"/>
    <col min="9761" max="9761" width="16.7109375" style="292" customWidth="1"/>
    <col min="9762" max="9762" width="5.28125" style="292" customWidth="1"/>
    <col min="9763" max="9763" width="14.421875" style="292" customWidth="1"/>
    <col min="9764" max="9764" width="1.8515625" style="292" customWidth="1"/>
    <col min="9765" max="9765" width="16.7109375" style="292" customWidth="1"/>
    <col min="9766" max="9975" width="11.00390625" style="292" customWidth="1"/>
    <col min="9976" max="9976" width="7.57421875" style="292" customWidth="1"/>
    <col min="9977" max="9977" width="15.57421875" style="292" customWidth="1"/>
    <col min="9978" max="9978" width="20.140625" style="292" customWidth="1"/>
    <col min="9979" max="9979" width="2.28125" style="292" customWidth="1"/>
    <col min="9980" max="9980" width="17.421875" style="292" customWidth="1"/>
    <col min="9981" max="9981" width="1.8515625" style="292" customWidth="1"/>
    <col min="9982" max="9982" width="18.7109375" style="292" customWidth="1"/>
    <col min="9983" max="9983" width="1.8515625" style="292" customWidth="1"/>
    <col min="9984" max="9984" width="23.00390625" style="292" customWidth="1"/>
    <col min="9985" max="9985" width="1.8515625" style="292" customWidth="1"/>
    <col min="9986" max="9986" width="17.421875" style="292" customWidth="1"/>
    <col min="9987" max="9987" width="3.00390625" style="292" customWidth="1"/>
    <col min="9988" max="9988" width="16.28125" style="292" customWidth="1"/>
    <col min="9989" max="9989" width="3.00390625" style="292" customWidth="1"/>
    <col min="9990" max="9990" width="14.140625" style="292" customWidth="1"/>
    <col min="9991" max="9991" width="2.00390625" style="292" customWidth="1"/>
    <col min="9992" max="9992" width="15.8515625" style="292" customWidth="1"/>
    <col min="9993" max="9993" width="3.140625" style="292" customWidth="1"/>
    <col min="9994" max="9994" width="17.8515625" style="292" customWidth="1"/>
    <col min="9995" max="9995" width="2.57421875" style="292" customWidth="1"/>
    <col min="9996" max="9996" width="15.57421875" style="292" customWidth="1"/>
    <col min="9997" max="9997" width="1.8515625" style="292" customWidth="1"/>
    <col min="9998" max="9998" width="14.140625" style="292" customWidth="1"/>
    <col min="9999" max="9999" width="11.00390625" style="292" customWidth="1"/>
    <col min="10000" max="10001" width="25.00390625" style="292" customWidth="1"/>
    <col min="10002" max="10002" width="1.8515625" style="292" customWidth="1"/>
    <col min="10003" max="10003" width="17.8515625" style="292" customWidth="1"/>
    <col min="10004" max="10004" width="1.8515625" style="292" customWidth="1"/>
    <col min="10005" max="10005" width="19.00390625" style="292" customWidth="1"/>
    <col min="10006" max="10006" width="1.8515625" style="292" customWidth="1"/>
    <col min="10007" max="10007" width="16.7109375" style="292" customWidth="1"/>
    <col min="10008" max="10008" width="1.8515625" style="292" customWidth="1"/>
    <col min="10009" max="10009" width="16.7109375" style="292" customWidth="1"/>
    <col min="10010" max="10010" width="1.8515625" style="292" customWidth="1"/>
    <col min="10011" max="10011" width="16.7109375" style="292" customWidth="1"/>
    <col min="10012" max="10012" width="1.8515625" style="292" customWidth="1"/>
    <col min="10013" max="10013" width="16.7109375" style="292" customWidth="1"/>
    <col min="10014" max="10014" width="1.8515625" style="292" customWidth="1"/>
    <col min="10015" max="10015" width="17.8515625" style="292" customWidth="1"/>
    <col min="10016" max="10016" width="5.28125" style="292" customWidth="1"/>
    <col min="10017" max="10017" width="16.7109375" style="292" customWidth="1"/>
    <col min="10018" max="10018" width="5.28125" style="292" customWidth="1"/>
    <col min="10019" max="10019" width="14.421875" style="292" customWidth="1"/>
    <col min="10020" max="10020" width="1.8515625" style="292" customWidth="1"/>
    <col min="10021" max="10021" width="16.7109375" style="292" customWidth="1"/>
    <col min="10022" max="10231" width="11.00390625" style="292" customWidth="1"/>
    <col min="10232" max="10232" width="7.57421875" style="292" customWidth="1"/>
    <col min="10233" max="10233" width="15.57421875" style="292" customWidth="1"/>
    <col min="10234" max="10234" width="20.140625" style="292" customWidth="1"/>
    <col min="10235" max="10235" width="2.28125" style="292" customWidth="1"/>
    <col min="10236" max="10236" width="17.421875" style="292" customWidth="1"/>
    <col min="10237" max="10237" width="1.8515625" style="292" customWidth="1"/>
    <col min="10238" max="10238" width="18.7109375" style="292" customWidth="1"/>
    <col min="10239" max="10239" width="1.8515625" style="292" customWidth="1"/>
    <col min="10240" max="10240" width="23.00390625" style="292" customWidth="1"/>
    <col min="10241" max="10241" width="1.8515625" style="292" customWidth="1"/>
    <col min="10242" max="10242" width="17.421875" style="292" customWidth="1"/>
    <col min="10243" max="10243" width="3.00390625" style="292" customWidth="1"/>
    <col min="10244" max="10244" width="16.28125" style="292" customWidth="1"/>
    <col min="10245" max="10245" width="3.00390625" style="292" customWidth="1"/>
    <col min="10246" max="10246" width="14.140625" style="292" customWidth="1"/>
    <col min="10247" max="10247" width="2.00390625" style="292" customWidth="1"/>
    <col min="10248" max="10248" width="15.8515625" style="292" customWidth="1"/>
    <col min="10249" max="10249" width="3.140625" style="292" customWidth="1"/>
    <col min="10250" max="10250" width="17.8515625" style="292" customWidth="1"/>
    <col min="10251" max="10251" width="2.57421875" style="292" customWidth="1"/>
    <col min="10252" max="10252" width="15.57421875" style="292" customWidth="1"/>
    <col min="10253" max="10253" width="1.8515625" style="292" customWidth="1"/>
    <col min="10254" max="10254" width="14.140625" style="292" customWidth="1"/>
    <col min="10255" max="10255" width="11.00390625" style="292" customWidth="1"/>
    <col min="10256" max="10257" width="25.00390625" style="292" customWidth="1"/>
    <col min="10258" max="10258" width="1.8515625" style="292" customWidth="1"/>
    <col min="10259" max="10259" width="17.8515625" style="292" customWidth="1"/>
    <col min="10260" max="10260" width="1.8515625" style="292" customWidth="1"/>
    <col min="10261" max="10261" width="19.00390625" style="292" customWidth="1"/>
    <col min="10262" max="10262" width="1.8515625" style="292" customWidth="1"/>
    <col min="10263" max="10263" width="16.7109375" style="292" customWidth="1"/>
    <col min="10264" max="10264" width="1.8515625" style="292" customWidth="1"/>
    <col min="10265" max="10265" width="16.7109375" style="292" customWidth="1"/>
    <col min="10266" max="10266" width="1.8515625" style="292" customWidth="1"/>
    <col min="10267" max="10267" width="16.7109375" style="292" customWidth="1"/>
    <col min="10268" max="10268" width="1.8515625" style="292" customWidth="1"/>
    <col min="10269" max="10269" width="16.7109375" style="292" customWidth="1"/>
    <col min="10270" max="10270" width="1.8515625" style="292" customWidth="1"/>
    <col min="10271" max="10271" width="17.8515625" style="292" customWidth="1"/>
    <col min="10272" max="10272" width="5.28125" style="292" customWidth="1"/>
    <col min="10273" max="10273" width="16.7109375" style="292" customWidth="1"/>
    <col min="10274" max="10274" width="5.28125" style="292" customWidth="1"/>
    <col min="10275" max="10275" width="14.421875" style="292" customWidth="1"/>
    <col min="10276" max="10276" width="1.8515625" style="292" customWidth="1"/>
    <col min="10277" max="10277" width="16.7109375" style="292" customWidth="1"/>
    <col min="10278" max="10487" width="11.00390625" style="292" customWidth="1"/>
    <col min="10488" max="10488" width="7.57421875" style="292" customWidth="1"/>
    <col min="10489" max="10489" width="15.57421875" style="292" customWidth="1"/>
    <col min="10490" max="10490" width="20.140625" style="292" customWidth="1"/>
    <col min="10491" max="10491" width="2.28125" style="292" customWidth="1"/>
    <col min="10492" max="10492" width="17.421875" style="292" customWidth="1"/>
    <col min="10493" max="10493" width="1.8515625" style="292" customWidth="1"/>
    <col min="10494" max="10494" width="18.7109375" style="292" customWidth="1"/>
    <col min="10495" max="10495" width="1.8515625" style="292" customWidth="1"/>
    <col min="10496" max="10496" width="23.00390625" style="292" customWidth="1"/>
    <col min="10497" max="10497" width="1.8515625" style="292" customWidth="1"/>
    <col min="10498" max="10498" width="17.421875" style="292" customWidth="1"/>
    <col min="10499" max="10499" width="3.00390625" style="292" customWidth="1"/>
    <col min="10500" max="10500" width="16.28125" style="292" customWidth="1"/>
    <col min="10501" max="10501" width="3.00390625" style="292" customWidth="1"/>
    <col min="10502" max="10502" width="14.140625" style="292" customWidth="1"/>
    <col min="10503" max="10503" width="2.00390625" style="292" customWidth="1"/>
    <col min="10504" max="10504" width="15.8515625" style="292" customWidth="1"/>
    <col min="10505" max="10505" width="3.140625" style="292" customWidth="1"/>
    <col min="10506" max="10506" width="17.8515625" style="292" customWidth="1"/>
    <col min="10507" max="10507" width="2.57421875" style="292" customWidth="1"/>
    <col min="10508" max="10508" width="15.57421875" style="292" customWidth="1"/>
    <col min="10509" max="10509" width="1.8515625" style="292" customWidth="1"/>
    <col min="10510" max="10510" width="14.140625" style="292" customWidth="1"/>
    <col min="10511" max="10511" width="11.00390625" style="292" customWidth="1"/>
    <col min="10512" max="10513" width="25.00390625" style="292" customWidth="1"/>
    <col min="10514" max="10514" width="1.8515625" style="292" customWidth="1"/>
    <col min="10515" max="10515" width="17.8515625" style="292" customWidth="1"/>
    <col min="10516" max="10516" width="1.8515625" style="292" customWidth="1"/>
    <col min="10517" max="10517" width="19.00390625" style="292" customWidth="1"/>
    <col min="10518" max="10518" width="1.8515625" style="292" customWidth="1"/>
    <col min="10519" max="10519" width="16.7109375" style="292" customWidth="1"/>
    <col min="10520" max="10520" width="1.8515625" style="292" customWidth="1"/>
    <col min="10521" max="10521" width="16.7109375" style="292" customWidth="1"/>
    <col min="10522" max="10522" width="1.8515625" style="292" customWidth="1"/>
    <col min="10523" max="10523" width="16.7109375" style="292" customWidth="1"/>
    <col min="10524" max="10524" width="1.8515625" style="292" customWidth="1"/>
    <col min="10525" max="10525" width="16.7109375" style="292" customWidth="1"/>
    <col min="10526" max="10526" width="1.8515625" style="292" customWidth="1"/>
    <col min="10527" max="10527" width="17.8515625" style="292" customWidth="1"/>
    <col min="10528" max="10528" width="5.28125" style="292" customWidth="1"/>
    <col min="10529" max="10529" width="16.7109375" style="292" customWidth="1"/>
    <col min="10530" max="10530" width="5.28125" style="292" customWidth="1"/>
    <col min="10531" max="10531" width="14.421875" style="292" customWidth="1"/>
    <col min="10532" max="10532" width="1.8515625" style="292" customWidth="1"/>
    <col min="10533" max="10533" width="16.7109375" style="292" customWidth="1"/>
    <col min="10534" max="10743" width="11.00390625" style="292" customWidth="1"/>
    <col min="10744" max="10744" width="7.57421875" style="292" customWidth="1"/>
    <col min="10745" max="10745" width="15.57421875" style="292" customWidth="1"/>
    <col min="10746" max="10746" width="20.140625" style="292" customWidth="1"/>
    <col min="10747" max="10747" width="2.28125" style="292" customWidth="1"/>
    <col min="10748" max="10748" width="17.421875" style="292" customWidth="1"/>
    <col min="10749" max="10749" width="1.8515625" style="292" customWidth="1"/>
    <col min="10750" max="10750" width="18.7109375" style="292" customWidth="1"/>
    <col min="10751" max="10751" width="1.8515625" style="292" customWidth="1"/>
    <col min="10752" max="10752" width="23.00390625" style="292" customWidth="1"/>
    <col min="10753" max="10753" width="1.8515625" style="292" customWidth="1"/>
    <col min="10754" max="10754" width="17.421875" style="292" customWidth="1"/>
    <col min="10755" max="10755" width="3.00390625" style="292" customWidth="1"/>
    <col min="10756" max="10756" width="16.28125" style="292" customWidth="1"/>
    <col min="10757" max="10757" width="3.00390625" style="292" customWidth="1"/>
    <col min="10758" max="10758" width="14.140625" style="292" customWidth="1"/>
    <col min="10759" max="10759" width="2.00390625" style="292" customWidth="1"/>
    <col min="10760" max="10760" width="15.8515625" style="292" customWidth="1"/>
    <col min="10761" max="10761" width="3.140625" style="292" customWidth="1"/>
    <col min="10762" max="10762" width="17.8515625" style="292" customWidth="1"/>
    <col min="10763" max="10763" width="2.57421875" style="292" customWidth="1"/>
    <col min="10764" max="10764" width="15.57421875" style="292" customWidth="1"/>
    <col min="10765" max="10765" width="1.8515625" style="292" customWidth="1"/>
    <col min="10766" max="10766" width="14.140625" style="292" customWidth="1"/>
    <col min="10767" max="10767" width="11.00390625" style="292" customWidth="1"/>
    <col min="10768" max="10769" width="25.00390625" style="292" customWidth="1"/>
    <col min="10770" max="10770" width="1.8515625" style="292" customWidth="1"/>
    <col min="10771" max="10771" width="17.8515625" style="292" customWidth="1"/>
    <col min="10772" max="10772" width="1.8515625" style="292" customWidth="1"/>
    <col min="10773" max="10773" width="19.00390625" style="292" customWidth="1"/>
    <col min="10774" max="10774" width="1.8515625" style="292" customWidth="1"/>
    <col min="10775" max="10775" width="16.7109375" style="292" customWidth="1"/>
    <col min="10776" max="10776" width="1.8515625" style="292" customWidth="1"/>
    <col min="10777" max="10777" width="16.7109375" style="292" customWidth="1"/>
    <col min="10778" max="10778" width="1.8515625" style="292" customWidth="1"/>
    <col min="10779" max="10779" width="16.7109375" style="292" customWidth="1"/>
    <col min="10780" max="10780" width="1.8515625" style="292" customWidth="1"/>
    <col min="10781" max="10781" width="16.7109375" style="292" customWidth="1"/>
    <col min="10782" max="10782" width="1.8515625" style="292" customWidth="1"/>
    <col min="10783" max="10783" width="17.8515625" style="292" customWidth="1"/>
    <col min="10784" max="10784" width="5.28125" style="292" customWidth="1"/>
    <col min="10785" max="10785" width="16.7109375" style="292" customWidth="1"/>
    <col min="10786" max="10786" width="5.28125" style="292" customWidth="1"/>
    <col min="10787" max="10787" width="14.421875" style="292" customWidth="1"/>
    <col min="10788" max="10788" width="1.8515625" style="292" customWidth="1"/>
    <col min="10789" max="10789" width="16.7109375" style="292" customWidth="1"/>
    <col min="10790" max="10999" width="11.00390625" style="292" customWidth="1"/>
    <col min="11000" max="11000" width="7.57421875" style="292" customWidth="1"/>
    <col min="11001" max="11001" width="15.57421875" style="292" customWidth="1"/>
    <col min="11002" max="11002" width="20.140625" style="292" customWidth="1"/>
    <col min="11003" max="11003" width="2.28125" style="292" customWidth="1"/>
    <col min="11004" max="11004" width="17.421875" style="292" customWidth="1"/>
    <col min="11005" max="11005" width="1.8515625" style="292" customWidth="1"/>
    <col min="11006" max="11006" width="18.7109375" style="292" customWidth="1"/>
    <col min="11007" max="11007" width="1.8515625" style="292" customWidth="1"/>
    <col min="11008" max="11008" width="23.00390625" style="292" customWidth="1"/>
    <col min="11009" max="11009" width="1.8515625" style="292" customWidth="1"/>
    <col min="11010" max="11010" width="17.421875" style="292" customWidth="1"/>
    <col min="11011" max="11011" width="3.00390625" style="292" customWidth="1"/>
    <col min="11012" max="11012" width="16.28125" style="292" customWidth="1"/>
    <col min="11013" max="11013" width="3.00390625" style="292" customWidth="1"/>
    <col min="11014" max="11014" width="14.140625" style="292" customWidth="1"/>
    <col min="11015" max="11015" width="2.00390625" style="292" customWidth="1"/>
    <col min="11016" max="11016" width="15.8515625" style="292" customWidth="1"/>
    <col min="11017" max="11017" width="3.140625" style="292" customWidth="1"/>
    <col min="11018" max="11018" width="17.8515625" style="292" customWidth="1"/>
    <col min="11019" max="11019" width="2.57421875" style="292" customWidth="1"/>
    <col min="11020" max="11020" width="15.57421875" style="292" customWidth="1"/>
    <col min="11021" max="11021" width="1.8515625" style="292" customWidth="1"/>
    <col min="11022" max="11022" width="14.140625" style="292" customWidth="1"/>
    <col min="11023" max="11023" width="11.00390625" style="292" customWidth="1"/>
    <col min="11024" max="11025" width="25.00390625" style="292" customWidth="1"/>
    <col min="11026" max="11026" width="1.8515625" style="292" customWidth="1"/>
    <col min="11027" max="11027" width="17.8515625" style="292" customWidth="1"/>
    <col min="11028" max="11028" width="1.8515625" style="292" customWidth="1"/>
    <col min="11029" max="11029" width="19.00390625" style="292" customWidth="1"/>
    <col min="11030" max="11030" width="1.8515625" style="292" customWidth="1"/>
    <col min="11031" max="11031" width="16.7109375" style="292" customWidth="1"/>
    <col min="11032" max="11032" width="1.8515625" style="292" customWidth="1"/>
    <col min="11033" max="11033" width="16.7109375" style="292" customWidth="1"/>
    <col min="11034" max="11034" width="1.8515625" style="292" customWidth="1"/>
    <col min="11035" max="11035" width="16.7109375" style="292" customWidth="1"/>
    <col min="11036" max="11036" width="1.8515625" style="292" customWidth="1"/>
    <col min="11037" max="11037" width="16.7109375" style="292" customWidth="1"/>
    <col min="11038" max="11038" width="1.8515625" style="292" customWidth="1"/>
    <col min="11039" max="11039" width="17.8515625" style="292" customWidth="1"/>
    <col min="11040" max="11040" width="5.28125" style="292" customWidth="1"/>
    <col min="11041" max="11041" width="16.7109375" style="292" customWidth="1"/>
    <col min="11042" max="11042" width="5.28125" style="292" customWidth="1"/>
    <col min="11043" max="11043" width="14.421875" style="292" customWidth="1"/>
    <col min="11044" max="11044" width="1.8515625" style="292" customWidth="1"/>
    <col min="11045" max="11045" width="16.7109375" style="292" customWidth="1"/>
    <col min="11046" max="11255" width="11.00390625" style="292" customWidth="1"/>
    <col min="11256" max="11256" width="7.57421875" style="292" customWidth="1"/>
    <col min="11257" max="11257" width="15.57421875" style="292" customWidth="1"/>
    <col min="11258" max="11258" width="20.140625" style="292" customWidth="1"/>
    <col min="11259" max="11259" width="2.28125" style="292" customWidth="1"/>
    <col min="11260" max="11260" width="17.421875" style="292" customWidth="1"/>
    <col min="11261" max="11261" width="1.8515625" style="292" customWidth="1"/>
    <col min="11262" max="11262" width="18.7109375" style="292" customWidth="1"/>
    <col min="11263" max="11263" width="1.8515625" style="292" customWidth="1"/>
    <col min="11264" max="11264" width="23.00390625" style="292" customWidth="1"/>
    <col min="11265" max="11265" width="1.8515625" style="292" customWidth="1"/>
    <col min="11266" max="11266" width="17.421875" style="292" customWidth="1"/>
    <col min="11267" max="11267" width="3.00390625" style="292" customWidth="1"/>
    <col min="11268" max="11268" width="16.28125" style="292" customWidth="1"/>
    <col min="11269" max="11269" width="3.00390625" style="292" customWidth="1"/>
    <col min="11270" max="11270" width="14.140625" style="292" customWidth="1"/>
    <col min="11271" max="11271" width="2.00390625" style="292" customWidth="1"/>
    <col min="11272" max="11272" width="15.8515625" style="292" customWidth="1"/>
    <col min="11273" max="11273" width="3.140625" style="292" customWidth="1"/>
    <col min="11274" max="11274" width="17.8515625" style="292" customWidth="1"/>
    <col min="11275" max="11275" width="2.57421875" style="292" customWidth="1"/>
    <col min="11276" max="11276" width="15.57421875" style="292" customWidth="1"/>
    <col min="11277" max="11277" width="1.8515625" style="292" customWidth="1"/>
    <col min="11278" max="11278" width="14.140625" style="292" customWidth="1"/>
    <col min="11279" max="11279" width="11.00390625" style="292" customWidth="1"/>
    <col min="11280" max="11281" width="25.00390625" style="292" customWidth="1"/>
    <col min="11282" max="11282" width="1.8515625" style="292" customWidth="1"/>
    <col min="11283" max="11283" width="17.8515625" style="292" customWidth="1"/>
    <col min="11284" max="11284" width="1.8515625" style="292" customWidth="1"/>
    <col min="11285" max="11285" width="19.00390625" style="292" customWidth="1"/>
    <col min="11286" max="11286" width="1.8515625" style="292" customWidth="1"/>
    <col min="11287" max="11287" width="16.7109375" style="292" customWidth="1"/>
    <col min="11288" max="11288" width="1.8515625" style="292" customWidth="1"/>
    <col min="11289" max="11289" width="16.7109375" style="292" customWidth="1"/>
    <col min="11290" max="11290" width="1.8515625" style="292" customWidth="1"/>
    <col min="11291" max="11291" width="16.7109375" style="292" customWidth="1"/>
    <col min="11292" max="11292" width="1.8515625" style="292" customWidth="1"/>
    <col min="11293" max="11293" width="16.7109375" style="292" customWidth="1"/>
    <col min="11294" max="11294" width="1.8515625" style="292" customWidth="1"/>
    <col min="11295" max="11295" width="17.8515625" style="292" customWidth="1"/>
    <col min="11296" max="11296" width="5.28125" style="292" customWidth="1"/>
    <col min="11297" max="11297" width="16.7109375" style="292" customWidth="1"/>
    <col min="11298" max="11298" width="5.28125" style="292" customWidth="1"/>
    <col min="11299" max="11299" width="14.421875" style="292" customWidth="1"/>
    <col min="11300" max="11300" width="1.8515625" style="292" customWidth="1"/>
    <col min="11301" max="11301" width="16.7109375" style="292" customWidth="1"/>
    <col min="11302" max="11511" width="11.00390625" style="292" customWidth="1"/>
    <col min="11512" max="11512" width="7.57421875" style="292" customWidth="1"/>
    <col min="11513" max="11513" width="15.57421875" style="292" customWidth="1"/>
    <col min="11514" max="11514" width="20.140625" style="292" customWidth="1"/>
    <col min="11515" max="11515" width="2.28125" style="292" customWidth="1"/>
    <col min="11516" max="11516" width="17.421875" style="292" customWidth="1"/>
    <col min="11517" max="11517" width="1.8515625" style="292" customWidth="1"/>
    <col min="11518" max="11518" width="18.7109375" style="292" customWidth="1"/>
    <col min="11519" max="11519" width="1.8515625" style="292" customWidth="1"/>
    <col min="11520" max="11520" width="23.00390625" style="292" customWidth="1"/>
    <col min="11521" max="11521" width="1.8515625" style="292" customWidth="1"/>
    <col min="11522" max="11522" width="17.421875" style="292" customWidth="1"/>
    <col min="11523" max="11523" width="3.00390625" style="292" customWidth="1"/>
    <col min="11524" max="11524" width="16.28125" style="292" customWidth="1"/>
    <col min="11525" max="11525" width="3.00390625" style="292" customWidth="1"/>
    <col min="11526" max="11526" width="14.140625" style="292" customWidth="1"/>
    <col min="11527" max="11527" width="2.00390625" style="292" customWidth="1"/>
    <col min="11528" max="11528" width="15.8515625" style="292" customWidth="1"/>
    <col min="11529" max="11529" width="3.140625" style="292" customWidth="1"/>
    <col min="11530" max="11530" width="17.8515625" style="292" customWidth="1"/>
    <col min="11531" max="11531" width="2.57421875" style="292" customWidth="1"/>
    <col min="11532" max="11532" width="15.57421875" style="292" customWidth="1"/>
    <col min="11533" max="11533" width="1.8515625" style="292" customWidth="1"/>
    <col min="11534" max="11534" width="14.140625" style="292" customWidth="1"/>
    <col min="11535" max="11535" width="11.00390625" style="292" customWidth="1"/>
    <col min="11536" max="11537" width="25.00390625" style="292" customWidth="1"/>
    <col min="11538" max="11538" width="1.8515625" style="292" customWidth="1"/>
    <col min="11539" max="11539" width="17.8515625" style="292" customWidth="1"/>
    <col min="11540" max="11540" width="1.8515625" style="292" customWidth="1"/>
    <col min="11541" max="11541" width="19.00390625" style="292" customWidth="1"/>
    <col min="11542" max="11542" width="1.8515625" style="292" customWidth="1"/>
    <col min="11543" max="11543" width="16.7109375" style="292" customWidth="1"/>
    <col min="11544" max="11544" width="1.8515625" style="292" customWidth="1"/>
    <col min="11545" max="11545" width="16.7109375" style="292" customWidth="1"/>
    <col min="11546" max="11546" width="1.8515625" style="292" customWidth="1"/>
    <col min="11547" max="11547" width="16.7109375" style="292" customWidth="1"/>
    <col min="11548" max="11548" width="1.8515625" style="292" customWidth="1"/>
    <col min="11549" max="11549" width="16.7109375" style="292" customWidth="1"/>
    <col min="11550" max="11550" width="1.8515625" style="292" customWidth="1"/>
    <col min="11551" max="11551" width="17.8515625" style="292" customWidth="1"/>
    <col min="11552" max="11552" width="5.28125" style="292" customWidth="1"/>
    <col min="11553" max="11553" width="16.7109375" style="292" customWidth="1"/>
    <col min="11554" max="11554" width="5.28125" style="292" customWidth="1"/>
    <col min="11555" max="11555" width="14.421875" style="292" customWidth="1"/>
    <col min="11556" max="11556" width="1.8515625" style="292" customWidth="1"/>
    <col min="11557" max="11557" width="16.7109375" style="292" customWidth="1"/>
    <col min="11558" max="11767" width="11.00390625" style="292" customWidth="1"/>
    <col min="11768" max="11768" width="7.57421875" style="292" customWidth="1"/>
    <col min="11769" max="11769" width="15.57421875" style="292" customWidth="1"/>
    <col min="11770" max="11770" width="20.140625" style="292" customWidth="1"/>
    <col min="11771" max="11771" width="2.28125" style="292" customWidth="1"/>
    <col min="11772" max="11772" width="17.421875" style="292" customWidth="1"/>
    <col min="11773" max="11773" width="1.8515625" style="292" customWidth="1"/>
    <col min="11774" max="11774" width="18.7109375" style="292" customWidth="1"/>
    <col min="11775" max="11775" width="1.8515625" style="292" customWidth="1"/>
    <col min="11776" max="11776" width="23.00390625" style="292" customWidth="1"/>
    <col min="11777" max="11777" width="1.8515625" style="292" customWidth="1"/>
    <col min="11778" max="11778" width="17.421875" style="292" customWidth="1"/>
    <col min="11779" max="11779" width="3.00390625" style="292" customWidth="1"/>
    <col min="11780" max="11780" width="16.28125" style="292" customWidth="1"/>
    <col min="11781" max="11781" width="3.00390625" style="292" customWidth="1"/>
    <col min="11782" max="11782" width="14.140625" style="292" customWidth="1"/>
    <col min="11783" max="11783" width="2.00390625" style="292" customWidth="1"/>
    <col min="11784" max="11784" width="15.8515625" style="292" customWidth="1"/>
    <col min="11785" max="11785" width="3.140625" style="292" customWidth="1"/>
    <col min="11786" max="11786" width="17.8515625" style="292" customWidth="1"/>
    <col min="11787" max="11787" width="2.57421875" style="292" customWidth="1"/>
    <col min="11788" max="11788" width="15.57421875" style="292" customWidth="1"/>
    <col min="11789" max="11789" width="1.8515625" style="292" customWidth="1"/>
    <col min="11790" max="11790" width="14.140625" style="292" customWidth="1"/>
    <col min="11791" max="11791" width="11.00390625" style="292" customWidth="1"/>
    <col min="11792" max="11793" width="25.00390625" style="292" customWidth="1"/>
    <col min="11794" max="11794" width="1.8515625" style="292" customWidth="1"/>
    <col min="11795" max="11795" width="17.8515625" style="292" customWidth="1"/>
    <col min="11796" max="11796" width="1.8515625" style="292" customWidth="1"/>
    <col min="11797" max="11797" width="19.00390625" style="292" customWidth="1"/>
    <col min="11798" max="11798" width="1.8515625" style="292" customWidth="1"/>
    <col min="11799" max="11799" width="16.7109375" style="292" customWidth="1"/>
    <col min="11800" max="11800" width="1.8515625" style="292" customWidth="1"/>
    <col min="11801" max="11801" width="16.7109375" style="292" customWidth="1"/>
    <col min="11802" max="11802" width="1.8515625" style="292" customWidth="1"/>
    <col min="11803" max="11803" width="16.7109375" style="292" customWidth="1"/>
    <col min="11804" max="11804" width="1.8515625" style="292" customWidth="1"/>
    <col min="11805" max="11805" width="16.7109375" style="292" customWidth="1"/>
    <col min="11806" max="11806" width="1.8515625" style="292" customWidth="1"/>
    <col min="11807" max="11807" width="17.8515625" style="292" customWidth="1"/>
    <col min="11808" max="11808" width="5.28125" style="292" customWidth="1"/>
    <col min="11809" max="11809" width="16.7109375" style="292" customWidth="1"/>
    <col min="11810" max="11810" width="5.28125" style="292" customWidth="1"/>
    <col min="11811" max="11811" width="14.421875" style="292" customWidth="1"/>
    <col min="11812" max="11812" width="1.8515625" style="292" customWidth="1"/>
    <col min="11813" max="11813" width="16.7109375" style="292" customWidth="1"/>
    <col min="11814" max="12023" width="11.00390625" style="292" customWidth="1"/>
    <col min="12024" max="12024" width="7.57421875" style="292" customWidth="1"/>
    <col min="12025" max="12025" width="15.57421875" style="292" customWidth="1"/>
    <col min="12026" max="12026" width="20.140625" style="292" customWidth="1"/>
    <col min="12027" max="12027" width="2.28125" style="292" customWidth="1"/>
    <col min="12028" max="12028" width="17.421875" style="292" customWidth="1"/>
    <col min="12029" max="12029" width="1.8515625" style="292" customWidth="1"/>
    <col min="12030" max="12030" width="18.7109375" style="292" customWidth="1"/>
    <col min="12031" max="12031" width="1.8515625" style="292" customWidth="1"/>
    <col min="12032" max="12032" width="23.00390625" style="292" customWidth="1"/>
    <col min="12033" max="12033" width="1.8515625" style="292" customWidth="1"/>
    <col min="12034" max="12034" width="17.421875" style="292" customWidth="1"/>
    <col min="12035" max="12035" width="3.00390625" style="292" customWidth="1"/>
    <col min="12036" max="12036" width="16.28125" style="292" customWidth="1"/>
    <col min="12037" max="12037" width="3.00390625" style="292" customWidth="1"/>
    <col min="12038" max="12038" width="14.140625" style="292" customWidth="1"/>
    <col min="12039" max="12039" width="2.00390625" style="292" customWidth="1"/>
    <col min="12040" max="12040" width="15.8515625" style="292" customWidth="1"/>
    <col min="12041" max="12041" width="3.140625" style="292" customWidth="1"/>
    <col min="12042" max="12042" width="17.8515625" style="292" customWidth="1"/>
    <col min="12043" max="12043" width="2.57421875" style="292" customWidth="1"/>
    <col min="12044" max="12044" width="15.57421875" style="292" customWidth="1"/>
    <col min="12045" max="12045" width="1.8515625" style="292" customWidth="1"/>
    <col min="12046" max="12046" width="14.140625" style="292" customWidth="1"/>
    <col min="12047" max="12047" width="11.00390625" style="292" customWidth="1"/>
    <col min="12048" max="12049" width="25.00390625" style="292" customWidth="1"/>
    <col min="12050" max="12050" width="1.8515625" style="292" customWidth="1"/>
    <col min="12051" max="12051" width="17.8515625" style="292" customWidth="1"/>
    <col min="12052" max="12052" width="1.8515625" style="292" customWidth="1"/>
    <col min="12053" max="12053" width="19.00390625" style="292" customWidth="1"/>
    <col min="12054" max="12054" width="1.8515625" style="292" customWidth="1"/>
    <col min="12055" max="12055" width="16.7109375" style="292" customWidth="1"/>
    <col min="12056" max="12056" width="1.8515625" style="292" customWidth="1"/>
    <col min="12057" max="12057" width="16.7109375" style="292" customWidth="1"/>
    <col min="12058" max="12058" width="1.8515625" style="292" customWidth="1"/>
    <col min="12059" max="12059" width="16.7109375" style="292" customWidth="1"/>
    <col min="12060" max="12060" width="1.8515625" style="292" customWidth="1"/>
    <col min="12061" max="12061" width="16.7109375" style="292" customWidth="1"/>
    <col min="12062" max="12062" width="1.8515625" style="292" customWidth="1"/>
    <col min="12063" max="12063" width="17.8515625" style="292" customWidth="1"/>
    <col min="12064" max="12064" width="5.28125" style="292" customWidth="1"/>
    <col min="12065" max="12065" width="16.7109375" style="292" customWidth="1"/>
    <col min="12066" max="12066" width="5.28125" style="292" customWidth="1"/>
    <col min="12067" max="12067" width="14.421875" style="292" customWidth="1"/>
    <col min="12068" max="12068" width="1.8515625" style="292" customWidth="1"/>
    <col min="12069" max="12069" width="16.7109375" style="292" customWidth="1"/>
    <col min="12070" max="12279" width="11.00390625" style="292" customWidth="1"/>
    <col min="12280" max="12280" width="7.57421875" style="292" customWidth="1"/>
    <col min="12281" max="12281" width="15.57421875" style="292" customWidth="1"/>
    <col min="12282" max="12282" width="20.140625" style="292" customWidth="1"/>
    <col min="12283" max="12283" width="2.28125" style="292" customWidth="1"/>
    <col min="12284" max="12284" width="17.421875" style="292" customWidth="1"/>
    <col min="12285" max="12285" width="1.8515625" style="292" customWidth="1"/>
    <col min="12286" max="12286" width="18.7109375" style="292" customWidth="1"/>
    <col min="12287" max="12287" width="1.8515625" style="292" customWidth="1"/>
    <col min="12288" max="12288" width="23.00390625" style="292" customWidth="1"/>
    <col min="12289" max="12289" width="1.8515625" style="292" customWidth="1"/>
    <col min="12290" max="12290" width="17.421875" style="292" customWidth="1"/>
    <col min="12291" max="12291" width="3.00390625" style="292" customWidth="1"/>
    <col min="12292" max="12292" width="16.28125" style="292" customWidth="1"/>
    <col min="12293" max="12293" width="3.00390625" style="292" customWidth="1"/>
    <col min="12294" max="12294" width="14.140625" style="292" customWidth="1"/>
    <col min="12295" max="12295" width="2.00390625" style="292" customWidth="1"/>
    <col min="12296" max="12296" width="15.8515625" style="292" customWidth="1"/>
    <col min="12297" max="12297" width="3.140625" style="292" customWidth="1"/>
    <col min="12298" max="12298" width="17.8515625" style="292" customWidth="1"/>
    <col min="12299" max="12299" width="2.57421875" style="292" customWidth="1"/>
    <col min="12300" max="12300" width="15.57421875" style="292" customWidth="1"/>
    <col min="12301" max="12301" width="1.8515625" style="292" customWidth="1"/>
    <col min="12302" max="12302" width="14.140625" style="292" customWidth="1"/>
    <col min="12303" max="12303" width="11.00390625" style="292" customWidth="1"/>
    <col min="12304" max="12305" width="25.00390625" style="292" customWidth="1"/>
    <col min="12306" max="12306" width="1.8515625" style="292" customWidth="1"/>
    <col min="12307" max="12307" width="17.8515625" style="292" customWidth="1"/>
    <col min="12308" max="12308" width="1.8515625" style="292" customWidth="1"/>
    <col min="12309" max="12309" width="19.00390625" style="292" customWidth="1"/>
    <col min="12310" max="12310" width="1.8515625" style="292" customWidth="1"/>
    <col min="12311" max="12311" width="16.7109375" style="292" customWidth="1"/>
    <col min="12312" max="12312" width="1.8515625" style="292" customWidth="1"/>
    <col min="12313" max="12313" width="16.7109375" style="292" customWidth="1"/>
    <col min="12314" max="12314" width="1.8515625" style="292" customWidth="1"/>
    <col min="12315" max="12315" width="16.7109375" style="292" customWidth="1"/>
    <col min="12316" max="12316" width="1.8515625" style="292" customWidth="1"/>
    <col min="12317" max="12317" width="16.7109375" style="292" customWidth="1"/>
    <col min="12318" max="12318" width="1.8515625" style="292" customWidth="1"/>
    <col min="12319" max="12319" width="17.8515625" style="292" customWidth="1"/>
    <col min="12320" max="12320" width="5.28125" style="292" customWidth="1"/>
    <col min="12321" max="12321" width="16.7109375" style="292" customWidth="1"/>
    <col min="12322" max="12322" width="5.28125" style="292" customWidth="1"/>
    <col min="12323" max="12323" width="14.421875" style="292" customWidth="1"/>
    <col min="12324" max="12324" width="1.8515625" style="292" customWidth="1"/>
    <col min="12325" max="12325" width="16.7109375" style="292" customWidth="1"/>
    <col min="12326" max="12535" width="11.00390625" style="292" customWidth="1"/>
    <col min="12536" max="12536" width="7.57421875" style="292" customWidth="1"/>
    <col min="12537" max="12537" width="15.57421875" style="292" customWidth="1"/>
    <col min="12538" max="12538" width="20.140625" style="292" customWidth="1"/>
    <col min="12539" max="12539" width="2.28125" style="292" customWidth="1"/>
    <col min="12540" max="12540" width="17.421875" style="292" customWidth="1"/>
    <col min="12541" max="12541" width="1.8515625" style="292" customWidth="1"/>
    <col min="12542" max="12542" width="18.7109375" style="292" customWidth="1"/>
    <col min="12543" max="12543" width="1.8515625" style="292" customWidth="1"/>
    <col min="12544" max="12544" width="23.00390625" style="292" customWidth="1"/>
    <col min="12545" max="12545" width="1.8515625" style="292" customWidth="1"/>
    <col min="12546" max="12546" width="17.421875" style="292" customWidth="1"/>
    <col min="12547" max="12547" width="3.00390625" style="292" customWidth="1"/>
    <col min="12548" max="12548" width="16.28125" style="292" customWidth="1"/>
    <col min="12549" max="12549" width="3.00390625" style="292" customWidth="1"/>
    <col min="12550" max="12550" width="14.140625" style="292" customWidth="1"/>
    <col min="12551" max="12551" width="2.00390625" style="292" customWidth="1"/>
    <col min="12552" max="12552" width="15.8515625" style="292" customWidth="1"/>
    <col min="12553" max="12553" width="3.140625" style="292" customWidth="1"/>
    <col min="12554" max="12554" width="17.8515625" style="292" customWidth="1"/>
    <col min="12555" max="12555" width="2.57421875" style="292" customWidth="1"/>
    <col min="12556" max="12556" width="15.57421875" style="292" customWidth="1"/>
    <col min="12557" max="12557" width="1.8515625" style="292" customWidth="1"/>
    <col min="12558" max="12558" width="14.140625" style="292" customWidth="1"/>
    <col min="12559" max="12559" width="11.00390625" style="292" customWidth="1"/>
    <col min="12560" max="12561" width="25.00390625" style="292" customWidth="1"/>
    <col min="12562" max="12562" width="1.8515625" style="292" customWidth="1"/>
    <col min="12563" max="12563" width="17.8515625" style="292" customWidth="1"/>
    <col min="12564" max="12564" width="1.8515625" style="292" customWidth="1"/>
    <col min="12565" max="12565" width="19.00390625" style="292" customWidth="1"/>
    <col min="12566" max="12566" width="1.8515625" style="292" customWidth="1"/>
    <col min="12567" max="12567" width="16.7109375" style="292" customWidth="1"/>
    <col min="12568" max="12568" width="1.8515625" style="292" customWidth="1"/>
    <col min="12569" max="12569" width="16.7109375" style="292" customWidth="1"/>
    <col min="12570" max="12570" width="1.8515625" style="292" customWidth="1"/>
    <col min="12571" max="12571" width="16.7109375" style="292" customWidth="1"/>
    <col min="12572" max="12572" width="1.8515625" style="292" customWidth="1"/>
    <col min="12573" max="12573" width="16.7109375" style="292" customWidth="1"/>
    <col min="12574" max="12574" width="1.8515625" style="292" customWidth="1"/>
    <col min="12575" max="12575" width="17.8515625" style="292" customWidth="1"/>
    <col min="12576" max="12576" width="5.28125" style="292" customWidth="1"/>
    <col min="12577" max="12577" width="16.7109375" style="292" customWidth="1"/>
    <col min="12578" max="12578" width="5.28125" style="292" customWidth="1"/>
    <col min="12579" max="12579" width="14.421875" style="292" customWidth="1"/>
    <col min="12580" max="12580" width="1.8515625" style="292" customWidth="1"/>
    <col min="12581" max="12581" width="16.7109375" style="292" customWidth="1"/>
    <col min="12582" max="12791" width="11.00390625" style="292" customWidth="1"/>
    <col min="12792" max="12792" width="7.57421875" style="292" customWidth="1"/>
    <col min="12793" max="12793" width="15.57421875" style="292" customWidth="1"/>
    <col min="12794" max="12794" width="20.140625" style="292" customWidth="1"/>
    <col min="12795" max="12795" width="2.28125" style="292" customWidth="1"/>
    <col min="12796" max="12796" width="17.421875" style="292" customWidth="1"/>
    <col min="12797" max="12797" width="1.8515625" style="292" customWidth="1"/>
    <col min="12798" max="12798" width="18.7109375" style="292" customWidth="1"/>
    <col min="12799" max="12799" width="1.8515625" style="292" customWidth="1"/>
    <col min="12800" max="12800" width="23.00390625" style="292" customWidth="1"/>
    <col min="12801" max="12801" width="1.8515625" style="292" customWidth="1"/>
    <col min="12802" max="12802" width="17.421875" style="292" customWidth="1"/>
    <col min="12803" max="12803" width="3.00390625" style="292" customWidth="1"/>
    <col min="12804" max="12804" width="16.28125" style="292" customWidth="1"/>
    <col min="12805" max="12805" width="3.00390625" style="292" customWidth="1"/>
    <col min="12806" max="12806" width="14.140625" style="292" customWidth="1"/>
    <col min="12807" max="12807" width="2.00390625" style="292" customWidth="1"/>
    <col min="12808" max="12808" width="15.8515625" style="292" customWidth="1"/>
    <col min="12809" max="12809" width="3.140625" style="292" customWidth="1"/>
    <col min="12810" max="12810" width="17.8515625" style="292" customWidth="1"/>
    <col min="12811" max="12811" width="2.57421875" style="292" customWidth="1"/>
    <col min="12812" max="12812" width="15.57421875" style="292" customWidth="1"/>
    <col min="12813" max="12813" width="1.8515625" style="292" customWidth="1"/>
    <col min="12814" max="12814" width="14.140625" style="292" customWidth="1"/>
    <col min="12815" max="12815" width="11.00390625" style="292" customWidth="1"/>
    <col min="12816" max="12817" width="25.00390625" style="292" customWidth="1"/>
    <col min="12818" max="12818" width="1.8515625" style="292" customWidth="1"/>
    <col min="12819" max="12819" width="17.8515625" style="292" customWidth="1"/>
    <col min="12820" max="12820" width="1.8515625" style="292" customWidth="1"/>
    <col min="12821" max="12821" width="19.00390625" style="292" customWidth="1"/>
    <col min="12822" max="12822" width="1.8515625" style="292" customWidth="1"/>
    <col min="12823" max="12823" width="16.7109375" style="292" customWidth="1"/>
    <col min="12824" max="12824" width="1.8515625" style="292" customWidth="1"/>
    <col min="12825" max="12825" width="16.7109375" style="292" customWidth="1"/>
    <col min="12826" max="12826" width="1.8515625" style="292" customWidth="1"/>
    <col min="12827" max="12827" width="16.7109375" style="292" customWidth="1"/>
    <col min="12828" max="12828" width="1.8515625" style="292" customWidth="1"/>
    <col min="12829" max="12829" width="16.7109375" style="292" customWidth="1"/>
    <col min="12830" max="12830" width="1.8515625" style="292" customWidth="1"/>
    <col min="12831" max="12831" width="17.8515625" style="292" customWidth="1"/>
    <col min="12832" max="12832" width="5.28125" style="292" customWidth="1"/>
    <col min="12833" max="12833" width="16.7109375" style="292" customWidth="1"/>
    <col min="12834" max="12834" width="5.28125" style="292" customWidth="1"/>
    <col min="12835" max="12835" width="14.421875" style="292" customWidth="1"/>
    <col min="12836" max="12836" width="1.8515625" style="292" customWidth="1"/>
    <col min="12837" max="12837" width="16.7109375" style="292" customWidth="1"/>
    <col min="12838" max="13047" width="11.00390625" style="292" customWidth="1"/>
    <col min="13048" max="13048" width="7.57421875" style="292" customWidth="1"/>
    <col min="13049" max="13049" width="15.57421875" style="292" customWidth="1"/>
    <col min="13050" max="13050" width="20.140625" style="292" customWidth="1"/>
    <col min="13051" max="13051" width="2.28125" style="292" customWidth="1"/>
    <col min="13052" max="13052" width="17.421875" style="292" customWidth="1"/>
    <col min="13053" max="13053" width="1.8515625" style="292" customWidth="1"/>
    <col min="13054" max="13054" width="18.7109375" style="292" customWidth="1"/>
    <col min="13055" max="13055" width="1.8515625" style="292" customWidth="1"/>
    <col min="13056" max="13056" width="23.00390625" style="292" customWidth="1"/>
    <col min="13057" max="13057" width="1.8515625" style="292" customWidth="1"/>
    <col min="13058" max="13058" width="17.421875" style="292" customWidth="1"/>
    <col min="13059" max="13059" width="3.00390625" style="292" customWidth="1"/>
    <col min="13060" max="13060" width="16.28125" style="292" customWidth="1"/>
    <col min="13061" max="13061" width="3.00390625" style="292" customWidth="1"/>
    <col min="13062" max="13062" width="14.140625" style="292" customWidth="1"/>
    <col min="13063" max="13063" width="2.00390625" style="292" customWidth="1"/>
    <col min="13064" max="13064" width="15.8515625" style="292" customWidth="1"/>
    <col min="13065" max="13065" width="3.140625" style="292" customWidth="1"/>
    <col min="13066" max="13066" width="17.8515625" style="292" customWidth="1"/>
    <col min="13067" max="13067" width="2.57421875" style="292" customWidth="1"/>
    <col min="13068" max="13068" width="15.57421875" style="292" customWidth="1"/>
    <col min="13069" max="13069" width="1.8515625" style="292" customWidth="1"/>
    <col min="13070" max="13070" width="14.140625" style="292" customWidth="1"/>
    <col min="13071" max="13071" width="11.00390625" style="292" customWidth="1"/>
    <col min="13072" max="13073" width="25.00390625" style="292" customWidth="1"/>
    <col min="13074" max="13074" width="1.8515625" style="292" customWidth="1"/>
    <col min="13075" max="13075" width="17.8515625" style="292" customWidth="1"/>
    <col min="13076" max="13076" width="1.8515625" style="292" customWidth="1"/>
    <col min="13077" max="13077" width="19.00390625" style="292" customWidth="1"/>
    <col min="13078" max="13078" width="1.8515625" style="292" customWidth="1"/>
    <col min="13079" max="13079" width="16.7109375" style="292" customWidth="1"/>
    <col min="13080" max="13080" width="1.8515625" style="292" customWidth="1"/>
    <col min="13081" max="13081" width="16.7109375" style="292" customWidth="1"/>
    <col min="13082" max="13082" width="1.8515625" style="292" customWidth="1"/>
    <col min="13083" max="13083" width="16.7109375" style="292" customWidth="1"/>
    <col min="13084" max="13084" width="1.8515625" style="292" customWidth="1"/>
    <col min="13085" max="13085" width="16.7109375" style="292" customWidth="1"/>
    <col min="13086" max="13086" width="1.8515625" style="292" customWidth="1"/>
    <col min="13087" max="13087" width="17.8515625" style="292" customWidth="1"/>
    <col min="13088" max="13088" width="5.28125" style="292" customWidth="1"/>
    <col min="13089" max="13089" width="16.7109375" style="292" customWidth="1"/>
    <col min="13090" max="13090" width="5.28125" style="292" customWidth="1"/>
    <col min="13091" max="13091" width="14.421875" style="292" customWidth="1"/>
    <col min="13092" max="13092" width="1.8515625" style="292" customWidth="1"/>
    <col min="13093" max="13093" width="16.7109375" style="292" customWidth="1"/>
    <col min="13094" max="13303" width="11.00390625" style="292" customWidth="1"/>
    <col min="13304" max="13304" width="7.57421875" style="292" customWidth="1"/>
    <col min="13305" max="13305" width="15.57421875" style="292" customWidth="1"/>
    <col min="13306" max="13306" width="20.140625" style="292" customWidth="1"/>
    <col min="13307" max="13307" width="2.28125" style="292" customWidth="1"/>
    <col min="13308" max="13308" width="17.421875" style="292" customWidth="1"/>
    <col min="13309" max="13309" width="1.8515625" style="292" customWidth="1"/>
    <col min="13310" max="13310" width="18.7109375" style="292" customWidth="1"/>
    <col min="13311" max="13311" width="1.8515625" style="292" customWidth="1"/>
    <col min="13312" max="13312" width="23.00390625" style="292" customWidth="1"/>
    <col min="13313" max="13313" width="1.8515625" style="292" customWidth="1"/>
    <col min="13314" max="13314" width="17.421875" style="292" customWidth="1"/>
    <col min="13315" max="13315" width="3.00390625" style="292" customWidth="1"/>
    <col min="13316" max="13316" width="16.28125" style="292" customWidth="1"/>
    <col min="13317" max="13317" width="3.00390625" style="292" customWidth="1"/>
    <col min="13318" max="13318" width="14.140625" style="292" customWidth="1"/>
    <col min="13319" max="13319" width="2.00390625" style="292" customWidth="1"/>
    <col min="13320" max="13320" width="15.8515625" style="292" customWidth="1"/>
    <col min="13321" max="13321" width="3.140625" style="292" customWidth="1"/>
    <col min="13322" max="13322" width="17.8515625" style="292" customWidth="1"/>
    <col min="13323" max="13323" width="2.57421875" style="292" customWidth="1"/>
    <col min="13324" max="13324" width="15.57421875" style="292" customWidth="1"/>
    <col min="13325" max="13325" width="1.8515625" style="292" customWidth="1"/>
    <col min="13326" max="13326" width="14.140625" style="292" customWidth="1"/>
    <col min="13327" max="13327" width="11.00390625" style="292" customWidth="1"/>
    <col min="13328" max="13329" width="25.00390625" style="292" customWidth="1"/>
    <col min="13330" max="13330" width="1.8515625" style="292" customWidth="1"/>
    <col min="13331" max="13331" width="17.8515625" style="292" customWidth="1"/>
    <col min="13332" max="13332" width="1.8515625" style="292" customWidth="1"/>
    <col min="13333" max="13333" width="19.00390625" style="292" customWidth="1"/>
    <col min="13334" max="13334" width="1.8515625" style="292" customWidth="1"/>
    <col min="13335" max="13335" width="16.7109375" style="292" customWidth="1"/>
    <col min="13336" max="13336" width="1.8515625" style="292" customWidth="1"/>
    <col min="13337" max="13337" width="16.7109375" style="292" customWidth="1"/>
    <col min="13338" max="13338" width="1.8515625" style="292" customWidth="1"/>
    <col min="13339" max="13339" width="16.7109375" style="292" customWidth="1"/>
    <col min="13340" max="13340" width="1.8515625" style="292" customWidth="1"/>
    <col min="13341" max="13341" width="16.7109375" style="292" customWidth="1"/>
    <col min="13342" max="13342" width="1.8515625" style="292" customWidth="1"/>
    <col min="13343" max="13343" width="17.8515625" style="292" customWidth="1"/>
    <col min="13344" max="13344" width="5.28125" style="292" customWidth="1"/>
    <col min="13345" max="13345" width="16.7109375" style="292" customWidth="1"/>
    <col min="13346" max="13346" width="5.28125" style="292" customWidth="1"/>
    <col min="13347" max="13347" width="14.421875" style="292" customWidth="1"/>
    <col min="13348" max="13348" width="1.8515625" style="292" customWidth="1"/>
    <col min="13349" max="13349" width="16.7109375" style="292" customWidth="1"/>
    <col min="13350" max="13559" width="11.00390625" style="292" customWidth="1"/>
    <col min="13560" max="13560" width="7.57421875" style="292" customWidth="1"/>
    <col min="13561" max="13561" width="15.57421875" style="292" customWidth="1"/>
    <col min="13562" max="13562" width="20.140625" style="292" customWidth="1"/>
    <col min="13563" max="13563" width="2.28125" style="292" customWidth="1"/>
    <col min="13564" max="13564" width="17.421875" style="292" customWidth="1"/>
    <col min="13565" max="13565" width="1.8515625" style="292" customWidth="1"/>
    <col min="13566" max="13566" width="18.7109375" style="292" customWidth="1"/>
    <col min="13567" max="13567" width="1.8515625" style="292" customWidth="1"/>
    <col min="13568" max="13568" width="23.00390625" style="292" customWidth="1"/>
    <col min="13569" max="13569" width="1.8515625" style="292" customWidth="1"/>
    <col min="13570" max="13570" width="17.421875" style="292" customWidth="1"/>
    <col min="13571" max="13571" width="3.00390625" style="292" customWidth="1"/>
    <col min="13572" max="13572" width="16.28125" style="292" customWidth="1"/>
    <col min="13573" max="13573" width="3.00390625" style="292" customWidth="1"/>
    <col min="13574" max="13574" width="14.140625" style="292" customWidth="1"/>
    <col min="13575" max="13575" width="2.00390625" style="292" customWidth="1"/>
    <col min="13576" max="13576" width="15.8515625" style="292" customWidth="1"/>
    <col min="13577" max="13577" width="3.140625" style="292" customWidth="1"/>
    <col min="13578" max="13578" width="17.8515625" style="292" customWidth="1"/>
    <col min="13579" max="13579" width="2.57421875" style="292" customWidth="1"/>
    <col min="13580" max="13580" width="15.57421875" style="292" customWidth="1"/>
    <col min="13581" max="13581" width="1.8515625" style="292" customWidth="1"/>
    <col min="13582" max="13582" width="14.140625" style="292" customWidth="1"/>
    <col min="13583" max="13583" width="11.00390625" style="292" customWidth="1"/>
    <col min="13584" max="13585" width="25.00390625" style="292" customWidth="1"/>
    <col min="13586" max="13586" width="1.8515625" style="292" customWidth="1"/>
    <col min="13587" max="13587" width="17.8515625" style="292" customWidth="1"/>
    <col min="13588" max="13588" width="1.8515625" style="292" customWidth="1"/>
    <col min="13589" max="13589" width="19.00390625" style="292" customWidth="1"/>
    <col min="13590" max="13590" width="1.8515625" style="292" customWidth="1"/>
    <col min="13591" max="13591" width="16.7109375" style="292" customWidth="1"/>
    <col min="13592" max="13592" width="1.8515625" style="292" customWidth="1"/>
    <col min="13593" max="13593" width="16.7109375" style="292" customWidth="1"/>
    <col min="13594" max="13594" width="1.8515625" style="292" customWidth="1"/>
    <col min="13595" max="13595" width="16.7109375" style="292" customWidth="1"/>
    <col min="13596" max="13596" width="1.8515625" style="292" customWidth="1"/>
    <col min="13597" max="13597" width="16.7109375" style="292" customWidth="1"/>
    <col min="13598" max="13598" width="1.8515625" style="292" customWidth="1"/>
    <col min="13599" max="13599" width="17.8515625" style="292" customWidth="1"/>
    <col min="13600" max="13600" width="5.28125" style="292" customWidth="1"/>
    <col min="13601" max="13601" width="16.7109375" style="292" customWidth="1"/>
    <col min="13602" max="13602" width="5.28125" style="292" customWidth="1"/>
    <col min="13603" max="13603" width="14.421875" style="292" customWidth="1"/>
    <col min="13604" max="13604" width="1.8515625" style="292" customWidth="1"/>
    <col min="13605" max="13605" width="16.7109375" style="292" customWidth="1"/>
    <col min="13606" max="13815" width="11.00390625" style="292" customWidth="1"/>
    <col min="13816" max="13816" width="7.57421875" style="292" customWidth="1"/>
    <col min="13817" max="13817" width="15.57421875" style="292" customWidth="1"/>
    <col min="13818" max="13818" width="20.140625" style="292" customWidth="1"/>
    <col min="13819" max="13819" width="2.28125" style="292" customWidth="1"/>
    <col min="13820" max="13820" width="17.421875" style="292" customWidth="1"/>
    <col min="13821" max="13821" width="1.8515625" style="292" customWidth="1"/>
    <col min="13822" max="13822" width="18.7109375" style="292" customWidth="1"/>
    <col min="13823" max="13823" width="1.8515625" style="292" customWidth="1"/>
    <col min="13824" max="13824" width="23.00390625" style="292" customWidth="1"/>
    <col min="13825" max="13825" width="1.8515625" style="292" customWidth="1"/>
    <col min="13826" max="13826" width="17.421875" style="292" customWidth="1"/>
    <col min="13827" max="13827" width="3.00390625" style="292" customWidth="1"/>
    <col min="13828" max="13828" width="16.28125" style="292" customWidth="1"/>
    <col min="13829" max="13829" width="3.00390625" style="292" customWidth="1"/>
    <col min="13830" max="13830" width="14.140625" style="292" customWidth="1"/>
    <col min="13831" max="13831" width="2.00390625" style="292" customWidth="1"/>
    <col min="13832" max="13832" width="15.8515625" style="292" customWidth="1"/>
    <col min="13833" max="13833" width="3.140625" style="292" customWidth="1"/>
    <col min="13834" max="13834" width="17.8515625" style="292" customWidth="1"/>
    <col min="13835" max="13835" width="2.57421875" style="292" customWidth="1"/>
    <col min="13836" max="13836" width="15.57421875" style="292" customWidth="1"/>
    <col min="13837" max="13837" width="1.8515625" style="292" customWidth="1"/>
    <col min="13838" max="13838" width="14.140625" style="292" customWidth="1"/>
    <col min="13839" max="13839" width="11.00390625" style="292" customWidth="1"/>
    <col min="13840" max="13841" width="25.00390625" style="292" customWidth="1"/>
    <col min="13842" max="13842" width="1.8515625" style="292" customWidth="1"/>
    <col min="13843" max="13843" width="17.8515625" style="292" customWidth="1"/>
    <col min="13844" max="13844" width="1.8515625" style="292" customWidth="1"/>
    <col min="13845" max="13845" width="19.00390625" style="292" customWidth="1"/>
    <col min="13846" max="13846" width="1.8515625" style="292" customWidth="1"/>
    <col min="13847" max="13847" width="16.7109375" style="292" customWidth="1"/>
    <col min="13848" max="13848" width="1.8515625" style="292" customWidth="1"/>
    <col min="13849" max="13849" width="16.7109375" style="292" customWidth="1"/>
    <col min="13850" max="13850" width="1.8515625" style="292" customWidth="1"/>
    <col min="13851" max="13851" width="16.7109375" style="292" customWidth="1"/>
    <col min="13852" max="13852" width="1.8515625" style="292" customWidth="1"/>
    <col min="13853" max="13853" width="16.7109375" style="292" customWidth="1"/>
    <col min="13854" max="13854" width="1.8515625" style="292" customWidth="1"/>
    <col min="13855" max="13855" width="17.8515625" style="292" customWidth="1"/>
    <col min="13856" max="13856" width="5.28125" style="292" customWidth="1"/>
    <col min="13857" max="13857" width="16.7109375" style="292" customWidth="1"/>
    <col min="13858" max="13858" width="5.28125" style="292" customWidth="1"/>
    <col min="13859" max="13859" width="14.421875" style="292" customWidth="1"/>
    <col min="13860" max="13860" width="1.8515625" style="292" customWidth="1"/>
    <col min="13861" max="13861" width="16.7109375" style="292" customWidth="1"/>
    <col min="13862" max="14071" width="11.00390625" style="292" customWidth="1"/>
    <col min="14072" max="14072" width="7.57421875" style="292" customWidth="1"/>
    <col min="14073" max="14073" width="15.57421875" style="292" customWidth="1"/>
    <col min="14074" max="14074" width="20.140625" style="292" customWidth="1"/>
    <col min="14075" max="14075" width="2.28125" style="292" customWidth="1"/>
    <col min="14076" max="14076" width="17.421875" style="292" customWidth="1"/>
    <col min="14077" max="14077" width="1.8515625" style="292" customWidth="1"/>
    <col min="14078" max="14078" width="18.7109375" style="292" customWidth="1"/>
    <col min="14079" max="14079" width="1.8515625" style="292" customWidth="1"/>
    <col min="14080" max="14080" width="23.00390625" style="292" customWidth="1"/>
    <col min="14081" max="14081" width="1.8515625" style="292" customWidth="1"/>
    <col min="14082" max="14082" width="17.421875" style="292" customWidth="1"/>
    <col min="14083" max="14083" width="3.00390625" style="292" customWidth="1"/>
    <col min="14084" max="14084" width="16.28125" style="292" customWidth="1"/>
    <col min="14085" max="14085" width="3.00390625" style="292" customWidth="1"/>
    <col min="14086" max="14086" width="14.140625" style="292" customWidth="1"/>
    <col min="14087" max="14087" width="2.00390625" style="292" customWidth="1"/>
    <col min="14088" max="14088" width="15.8515625" style="292" customWidth="1"/>
    <col min="14089" max="14089" width="3.140625" style="292" customWidth="1"/>
    <col min="14090" max="14090" width="17.8515625" style="292" customWidth="1"/>
    <col min="14091" max="14091" width="2.57421875" style="292" customWidth="1"/>
    <col min="14092" max="14092" width="15.57421875" style="292" customWidth="1"/>
    <col min="14093" max="14093" width="1.8515625" style="292" customWidth="1"/>
    <col min="14094" max="14094" width="14.140625" style="292" customWidth="1"/>
    <col min="14095" max="14095" width="11.00390625" style="292" customWidth="1"/>
    <col min="14096" max="14097" width="25.00390625" style="292" customWidth="1"/>
    <col min="14098" max="14098" width="1.8515625" style="292" customWidth="1"/>
    <col min="14099" max="14099" width="17.8515625" style="292" customWidth="1"/>
    <col min="14100" max="14100" width="1.8515625" style="292" customWidth="1"/>
    <col min="14101" max="14101" width="19.00390625" style="292" customWidth="1"/>
    <col min="14102" max="14102" width="1.8515625" style="292" customWidth="1"/>
    <col min="14103" max="14103" width="16.7109375" style="292" customWidth="1"/>
    <col min="14104" max="14104" width="1.8515625" style="292" customWidth="1"/>
    <col min="14105" max="14105" width="16.7109375" style="292" customWidth="1"/>
    <col min="14106" max="14106" width="1.8515625" style="292" customWidth="1"/>
    <col min="14107" max="14107" width="16.7109375" style="292" customWidth="1"/>
    <col min="14108" max="14108" width="1.8515625" style="292" customWidth="1"/>
    <col min="14109" max="14109" width="16.7109375" style="292" customWidth="1"/>
    <col min="14110" max="14110" width="1.8515625" style="292" customWidth="1"/>
    <col min="14111" max="14111" width="17.8515625" style="292" customWidth="1"/>
    <col min="14112" max="14112" width="5.28125" style="292" customWidth="1"/>
    <col min="14113" max="14113" width="16.7109375" style="292" customWidth="1"/>
    <col min="14114" max="14114" width="5.28125" style="292" customWidth="1"/>
    <col min="14115" max="14115" width="14.421875" style="292" customWidth="1"/>
    <col min="14116" max="14116" width="1.8515625" style="292" customWidth="1"/>
    <col min="14117" max="14117" width="16.7109375" style="292" customWidth="1"/>
    <col min="14118" max="14327" width="11.00390625" style="292" customWidth="1"/>
    <col min="14328" max="14328" width="7.57421875" style="292" customWidth="1"/>
    <col min="14329" max="14329" width="15.57421875" style="292" customWidth="1"/>
    <col min="14330" max="14330" width="20.140625" style="292" customWidth="1"/>
    <col min="14331" max="14331" width="2.28125" style="292" customWidth="1"/>
    <col min="14332" max="14332" width="17.421875" style="292" customWidth="1"/>
    <col min="14333" max="14333" width="1.8515625" style="292" customWidth="1"/>
    <col min="14334" max="14334" width="18.7109375" style="292" customWidth="1"/>
    <col min="14335" max="14335" width="1.8515625" style="292" customWidth="1"/>
    <col min="14336" max="14336" width="23.00390625" style="292" customWidth="1"/>
    <col min="14337" max="14337" width="1.8515625" style="292" customWidth="1"/>
    <col min="14338" max="14338" width="17.421875" style="292" customWidth="1"/>
    <col min="14339" max="14339" width="3.00390625" style="292" customWidth="1"/>
    <col min="14340" max="14340" width="16.28125" style="292" customWidth="1"/>
    <col min="14341" max="14341" width="3.00390625" style="292" customWidth="1"/>
    <col min="14342" max="14342" width="14.140625" style="292" customWidth="1"/>
    <col min="14343" max="14343" width="2.00390625" style="292" customWidth="1"/>
    <col min="14344" max="14344" width="15.8515625" style="292" customWidth="1"/>
    <col min="14345" max="14345" width="3.140625" style="292" customWidth="1"/>
    <col min="14346" max="14346" width="17.8515625" style="292" customWidth="1"/>
    <col min="14347" max="14347" width="2.57421875" style="292" customWidth="1"/>
    <col min="14348" max="14348" width="15.57421875" style="292" customWidth="1"/>
    <col min="14349" max="14349" width="1.8515625" style="292" customWidth="1"/>
    <col min="14350" max="14350" width="14.140625" style="292" customWidth="1"/>
    <col min="14351" max="14351" width="11.00390625" style="292" customWidth="1"/>
    <col min="14352" max="14353" width="25.00390625" style="292" customWidth="1"/>
    <col min="14354" max="14354" width="1.8515625" style="292" customWidth="1"/>
    <col min="14355" max="14355" width="17.8515625" style="292" customWidth="1"/>
    <col min="14356" max="14356" width="1.8515625" style="292" customWidth="1"/>
    <col min="14357" max="14357" width="19.00390625" style="292" customWidth="1"/>
    <col min="14358" max="14358" width="1.8515625" style="292" customWidth="1"/>
    <col min="14359" max="14359" width="16.7109375" style="292" customWidth="1"/>
    <col min="14360" max="14360" width="1.8515625" style="292" customWidth="1"/>
    <col min="14361" max="14361" width="16.7109375" style="292" customWidth="1"/>
    <col min="14362" max="14362" width="1.8515625" style="292" customWidth="1"/>
    <col min="14363" max="14363" width="16.7109375" style="292" customWidth="1"/>
    <col min="14364" max="14364" width="1.8515625" style="292" customWidth="1"/>
    <col min="14365" max="14365" width="16.7109375" style="292" customWidth="1"/>
    <col min="14366" max="14366" width="1.8515625" style="292" customWidth="1"/>
    <col min="14367" max="14367" width="17.8515625" style="292" customWidth="1"/>
    <col min="14368" max="14368" width="5.28125" style="292" customWidth="1"/>
    <col min="14369" max="14369" width="16.7109375" style="292" customWidth="1"/>
    <col min="14370" max="14370" width="5.28125" style="292" customWidth="1"/>
    <col min="14371" max="14371" width="14.421875" style="292" customWidth="1"/>
    <col min="14372" max="14372" width="1.8515625" style="292" customWidth="1"/>
    <col min="14373" max="14373" width="16.7109375" style="292" customWidth="1"/>
    <col min="14374" max="14583" width="11.00390625" style="292" customWidth="1"/>
    <col min="14584" max="14584" width="7.57421875" style="292" customWidth="1"/>
    <col min="14585" max="14585" width="15.57421875" style="292" customWidth="1"/>
    <col min="14586" max="14586" width="20.140625" style="292" customWidth="1"/>
    <col min="14587" max="14587" width="2.28125" style="292" customWidth="1"/>
    <col min="14588" max="14588" width="17.421875" style="292" customWidth="1"/>
    <col min="14589" max="14589" width="1.8515625" style="292" customWidth="1"/>
    <col min="14590" max="14590" width="18.7109375" style="292" customWidth="1"/>
    <col min="14591" max="14591" width="1.8515625" style="292" customWidth="1"/>
    <col min="14592" max="14592" width="23.00390625" style="292" customWidth="1"/>
    <col min="14593" max="14593" width="1.8515625" style="292" customWidth="1"/>
    <col min="14594" max="14594" width="17.421875" style="292" customWidth="1"/>
    <col min="14595" max="14595" width="3.00390625" style="292" customWidth="1"/>
    <col min="14596" max="14596" width="16.28125" style="292" customWidth="1"/>
    <col min="14597" max="14597" width="3.00390625" style="292" customWidth="1"/>
    <col min="14598" max="14598" width="14.140625" style="292" customWidth="1"/>
    <col min="14599" max="14599" width="2.00390625" style="292" customWidth="1"/>
    <col min="14600" max="14600" width="15.8515625" style="292" customWidth="1"/>
    <col min="14601" max="14601" width="3.140625" style="292" customWidth="1"/>
    <col min="14602" max="14602" width="17.8515625" style="292" customWidth="1"/>
    <col min="14603" max="14603" width="2.57421875" style="292" customWidth="1"/>
    <col min="14604" max="14604" width="15.57421875" style="292" customWidth="1"/>
    <col min="14605" max="14605" width="1.8515625" style="292" customWidth="1"/>
    <col min="14606" max="14606" width="14.140625" style="292" customWidth="1"/>
    <col min="14607" max="14607" width="11.00390625" style="292" customWidth="1"/>
    <col min="14608" max="14609" width="25.00390625" style="292" customWidth="1"/>
    <col min="14610" max="14610" width="1.8515625" style="292" customWidth="1"/>
    <col min="14611" max="14611" width="17.8515625" style="292" customWidth="1"/>
    <col min="14612" max="14612" width="1.8515625" style="292" customWidth="1"/>
    <col min="14613" max="14613" width="19.00390625" style="292" customWidth="1"/>
    <col min="14614" max="14614" width="1.8515625" style="292" customWidth="1"/>
    <col min="14615" max="14615" width="16.7109375" style="292" customWidth="1"/>
    <col min="14616" max="14616" width="1.8515625" style="292" customWidth="1"/>
    <col min="14617" max="14617" width="16.7109375" style="292" customWidth="1"/>
    <col min="14618" max="14618" width="1.8515625" style="292" customWidth="1"/>
    <col min="14619" max="14619" width="16.7109375" style="292" customWidth="1"/>
    <col min="14620" max="14620" width="1.8515625" style="292" customWidth="1"/>
    <col min="14621" max="14621" width="16.7109375" style="292" customWidth="1"/>
    <col min="14622" max="14622" width="1.8515625" style="292" customWidth="1"/>
    <col min="14623" max="14623" width="17.8515625" style="292" customWidth="1"/>
    <col min="14624" max="14624" width="5.28125" style="292" customWidth="1"/>
    <col min="14625" max="14625" width="16.7109375" style="292" customWidth="1"/>
    <col min="14626" max="14626" width="5.28125" style="292" customWidth="1"/>
    <col min="14627" max="14627" width="14.421875" style="292" customWidth="1"/>
    <col min="14628" max="14628" width="1.8515625" style="292" customWidth="1"/>
    <col min="14629" max="14629" width="16.7109375" style="292" customWidth="1"/>
    <col min="14630" max="14839" width="11.00390625" style="292" customWidth="1"/>
    <col min="14840" max="14840" width="7.57421875" style="292" customWidth="1"/>
    <col min="14841" max="14841" width="15.57421875" style="292" customWidth="1"/>
    <col min="14842" max="14842" width="20.140625" style="292" customWidth="1"/>
    <col min="14843" max="14843" width="2.28125" style="292" customWidth="1"/>
    <col min="14844" max="14844" width="17.421875" style="292" customWidth="1"/>
    <col min="14845" max="14845" width="1.8515625" style="292" customWidth="1"/>
    <col min="14846" max="14846" width="18.7109375" style="292" customWidth="1"/>
    <col min="14847" max="14847" width="1.8515625" style="292" customWidth="1"/>
    <col min="14848" max="14848" width="23.00390625" style="292" customWidth="1"/>
    <col min="14849" max="14849" width="1.8515625" style="292" customWidth="1"/>
    <col min="14850" max="14850" width="17.421875" style="292" customWidth="1"/>
    <col min="14851" max="14851" width="3.00390625" style="292" customWidth="1"/>
    <col min="14852" max="14852" width="16.28125" style="292" customWidth="1"/>
    <col min="14853" max="14853" width="3.00390625" style="292" customWidth="1"/>
    <col min="14854" max="14854" width="14.140625" style="292" customWidth="1"/>
    <col min="14855" max="14855" width="2.00390625" style="292" customWidth="1"/>
    <col min="14856" max="14856" width="15.8515625" style="292" customWidth="1"/>
    <col min="14857" max="14857" width="3.140625" style="292" customWidth="1"/>
    <col min="14858" max="14858" width="17.8515625" style="292" customWidth="1"/>
    <col min="14859" max="14859" width="2.57421875" style="292" customWidth="1"/>
    <col min="14860" max="14860" width="15.57421875" style="292" customWidth="1"/>
    <col min="14861" max="14861" width="1.8515625" style="292" customWidth="1"/>
    <col min="14862" max="14862" width="14.140625" style="292" customWidth="1"/>
    <col min="14863" max="14863" width="11.00390625" style="292" customWidth="1"/>
    <col min="14864" max="14865" width="25.00390625" style="292" customWidth="1"/>
    <col min="14866" max="14866" width="1.8515625" style="292" customWidth="1"/>
    <col min="14867" max="14867" width="17.8515625" style="292" customWidth="1"/>
    <col min="14868" max="14868" width="1.8515625" style="292" customWidth="1"/>
    <col min="14869" max="14869" width="19.00390625" style="292" customWidth="1"/>
    <col min="14870" max="14870" width="1.8515625" style="292" customWidth="1"/>
    <col min="14871" max="14871" width="16.7109375" style="292" customWidth="1"/>
    <col min="14872" max="14872" width="1.8515625" style="292" customWidth="1"/>
    <col min="14873" max="14873" width="16.7109375" style="292" customWidth="1"/>
    <col min="14874" max="14874" width="1.8515625" style="292" customWidth="1"/>
    <col min="14875" max="14875" width="16.7109375" style="292" customWidth="1"/>
    <col min="14876" max="14876" width="1.8515625" style="292" customWidth="1"/>
    <col min="14877" max="14877" width="16.7109375" style="292" customWidth="1"/>
    <col min="14878" max="14878" width="1.8515625" style="292" customWidth="1"/>
    <col min="14879" max="14879" width="17.8515625" style="292" customWidth="1"/>
    <col min="14880" max="14880" width="5.28125" style="292" customWidth="1"/>
    <col min="14881" max="14881" width="16.7109375" style="292" customWidth="1"/>
    <col min="14882" max="14882" width="5.28125" style="292" customWidth="1"/>
    <col min="14883" max="14883" width="14.421875" style="292" customWidth="1"/>
    <col min="14884" max="14884" width="1.8515625" style="292" customWidth="1"/>
    <col min="14885" max="14885" width="16.7109375" style="292" customWidth="1"/>
    <col min="14886" max="15095" width="11.00390625" style="292" customWidth="1"/>
    <col min="15096" max="15096" width="7.57421875" style="292" customWidth="1"/>
    <col min="15097" max="15097" width="15.57421875" style="292" customWidth="1"/>
    <col min="15098" max="15098" width="20.140625" style="292" customWidth="1"/>
    <col min="15099" max="15099" width="2.28125" style="292" customWidth="1"/>
    <col min="15100" max="15100" width="17.421875" style="292" customWidth="1"/>
    <col min="15101" max="15101" width="1.8515625" style="292" customWidth="1"/>
    <col min="15102" max="15102" width="18.7109375" style="292" customWidth="1"/>
    <col min="15103" max="15103" width="1.8515625" style="292" customWidth="1"/>
    <col min="15104" max="15104" width="23.00390625" style="292" customWidth="1"/>
    <col min="15105" max="15105" width="1.8515625" style="292" customWidth="1"/>
    <col min="15106" max="15106" width="17.421875" style="292" customWidth="1"/>
    <col min="15107" max="15107" width="3.00390625" style="292" customWidth="1"/>
    <col min="15108" max="15108" width="16.28125" style="292" customWidth="1"/>
    <col min="15109" max="15109" width="3.00390625" style="292" customWidth="1"/>
    <col min="15110" max="15110" width="14.140625" style="292" customWidth="1"/>
    <col min="15111" max="15111" width="2.00390625" style="292" customWidth="1"/>
    <col min="15112" max="15112" width="15.8515625" style="292" customWidth="1"/>
    <col min="15113" max="15113" width="3.140625" style="292" customWidth="1"/>
    <col min="15114" max="15114" width="17.8515625" style="292" customWidth="1"/>
    <col min="15115" max="15115" width="2.57421875" style="292" customWidth="1"/>
    <col min="15116" max="15116" width="15.57421875" style="292" customWidth="1"/>
    <col min="15117" max="15117" width="1.8515625" style="292" customWidth="1"/>
    <col min="15118" max="15118" width="14.140625" style="292" customWidth="1"/>
    <col min="15119" max="15119" width="11.00390625" style="292" customWidth="1"/>
    <col min="15120" max="15121" width="25.00390625" style="292" customWidth="1"/>
    <col min="15122" max="15122" width="1.8515625" style="292" customWidth="1"/>
    <col min="15123" max="15123" width="17.8515625" style="292" customWidth="1"/>
    <col min="15124" max="15124" width="1.8515625" style="292" customWidth="1"/>
    <col min="15125" max="15125" width="19.00390625" style="292" customWidth="1"/>
    <col min="15126" max="15126" width="1.8515625" style="292" customWidth="1"/>
    <col min="15127" max="15127" width="16.7109375" style="292" customWidth="1"/>
    <col min="15128" max="15128" width="1.8515625" style="292" customWidth="1"/>
    <col min="15129" max="15129" width="16.7109375" style="292" customWidth="1"/>
    <col min="15130" max="15130" width="1.8515625" style="292" customWidth="1"/>
    <col min="15131" max="15131" width="16.7109375" style="292" customWidth="1"/>
    <col min="15132" max="15132" width="1.8515625" style="292" customWidth="1"/>
    <col min="15133" max="15133" width="16.7109375" style="292" customWidth="1"/>
    <col min="15134" max="15134" width="1.8515625" style="292" customWidth="1"/>
    <col min="15135" max="15135" width="17.8515625" style="292" customWidth="1"/>
    <col min="15136" max="15136" width="5.28125" style="292" customWidth="1"/>
    <col min="15137" max="15137" width="16.7109375" style="292" customWidth="1"/>
    <col min="15138" max="15138" width="5.28125" style="292" customWidth="1"/>
    <col min="15139" max="15139" width="14.421875" style="292" customWidth="1"/>
    <col min="15140" max="15140" width="1.8515625" style="292" customWidth="1"/>
    <col min="15141" max="15141" width="16.7109375" style="292" customWidth="1"/>
    <col min="15142" max="15351" width="11.00390625" style="292" customWidth="1"/>
    <col min="15352" max="15352" width="7.57421875" style="292" customWidth="1"/>
    <col min="15353" max="15353" width="15.57421875" style="292" customWidth="1"/>
    <col min="15354" max="15354" width="20.140625" style="292" customWidth="1"/>
    <col min="15355" max="15355" width="2.28125" style="292" customWidth="1"/>
    <col min="15356" max="15356" width="17.421875" style="292" customWidth="1"/>
    <col min="15357" max="15357" width="1.8515625" style="292" customWidth="1"/>
    <col min="15358" max="15358" width="18.7109375" style="292" customWidth="1"/>
    <col min="15359" max="15359" width="1.8515625" style="292" customWidth="1"/>
    <col min="15360" max="15360" width="23.00390625" style="292" customWidth="1"/>
    <col min="15361" max="15361" width="1.8515625" style="292" customWidth="1"/>
    <col min="15362" max="15362" width="17.421875" style="292" customWidth="1"/>
    <col min="15363" max="15363" width="3.00390625" style="292" customWidth="1"/>
    <col min="15364" max="15364" width="16.28125" style="292" customWidth="1"/>
    <col min="15365" max="15365" width="3.00390625" style="292" customWidth="1"/>
    <col min="15366" max="15366" width="14.140625" style="292" customWidth="1"/>
    <col min="15367" max="15367" width="2.00390625" style="292" customWidth="1"/>
    <col min="15368" max="15368" width="15.8515625" style="292" customWidth="1"/>
    <col min="15369" max="15369" width="3.140625" style="292" customWidth="1"/>
    <col min="15370" max="15370" width="17.8515625" style="292" customWidth="1"/>
    <col min="15371" max="15371" width="2.57421875" style="292" customWidth="1"/>
    <col min="15372" max="15372" width="15.57421875" style="292" customWidth="1"/>
    <col min="15373" max="15373" width="1.8515625" style="292" customWidth="1"/>
    <col min="15374" max="15374" width="14.140625" style="292" customWidth="1"/>
    <col min="15375" max="15375" width="11.00390625" style="292" customWidth="1"/>
    <col min="15376" max="15377" width="25.00390625" style="292" customWidth="1"/>
    <col min="15378" max="15378" width="1.8515625" style="292" customWidth="1"/>
    <col min="15379" max="15379" width="17.8515625" style="292" customWidth="1"/>
    <col min="15380" max="15380" width="1.8515625" style="292" customWidth="1"/>
    <col min="15381" max="15381" width="19.00390625" style="292" customWidth="1"/>
    <col min="15382" max="15382" width="1.8515625" style="292" customWidth="1"/>
    <col min="15383" max="15383" width="16.7109375" style="292" customWidth="1"/>
    <col min="15384" max="15384" width="1.8515625" style="292" customWidth="1"/>
    <col min="15385" max="15385" width="16.7109375" style="292" customWidth="1"/>
    <col min="15386" max="15386" width="1.8515625" style="292" customWidth="1"/>
    <col min="15387" max="15387" width="16.7109375" style="292" customWidth="1"/>
    <col min="15388" max="15388" width="1.8515625" style="292" customWidth="1"/>
    <col min="15389" max="15389" width="16.7109375" style="292" customWidth="1"/>
    <col min="15390" max="15390" width="1.8515625" style="292" customWidth="1"/>
    <col min="15391" max="15391" width="17.8515625" style="292" customWidth="1"/>
    <col min="15392" max="15392" width="5.28125" style="292" customWidth="1"/>
    <col min="15393" max="15393" width="16.7109375" style="292" customWidth="1"/>
    <col min="15394" max="15394" width="5.28125" style="292" customWidth="1"/>
    <col min="15395" max="15395" width="14.421875" style="292" customWidth="1"/>
    <col min="15396" max="15396" width="1.8515625" style="292" customWidth="1"/>
    <col min="15397" max="15397" width="16.7109375" style="292" customWidth="1"/>
    <col min="15398" max="15607" width="11.00390625" style="292" customWidth="1"/>
    <col min="15608" max="15608" width="7.57421875" style="292" customWidth="1"/>
    <col min="15609" max="15609" width="15.57421875" style="292" customWidth="1"/>
    <col min="15610" max="15610" width="20.140625" style="292" customWidth="1"/>
    <col min="15611" max="15611" width="2.28125" style="292" customWidth="1"/>
    <col min="15612" max="15612" width="17.421875" style="292" customWidth="1"/>
    <col min="15613" max="15613" width="1.8515625" style="292" customWidth="1"/>
    <col min="15614" max="15614" width="18.7109375" style="292" customWidth="1"/>
    <col min="15615" max="15615" width="1.8515625" style="292" customWidth="1"/>
    <col min="15616" max="15616" width="23.00390625" style="292" customWidth="1"/>
    <col min="15617" max="15617" width="1.8515625" style="292" customWidth="1"/>
    <col min="15618" max="15618" width="17.421875" style="292" customWidth="1"/>
    <col min="15619" max="15619" width="3.00390625" style="292" customWidth="1"/>
    <col min="15620" max="15620" width="16.28125" style="292" customWidth="1"/>
    <col min="15621" max="15621" width="3.00390625" style="292" customWidth="1"/>
    <col min="15622" max="15622" width="14.140625" style="292" customWidth="1"/>
    <col min="15623" max="15623" width="2.00390625" style="292" customWidth="1"/>
    <col min="15624" max="15624" width="15.8515625" style="292" customWidth="1"/>
    <col min="15625" max="15625" width="3.140625" style="292" customWidth="1"/>
    <col min="15626" max="15626" width="17.8515625" style="292" customWidth="1"/>
    <col min="15627" max="15627" width="2.57421875" style="292" customWidth="1"/>
    <col min="15628" max="15628" width="15.57421875" style="292" customWidth="1"/>
    <col min="15629" max="15629" width="1.8515625" style="292" customWidth="1"/>
    <col min="15630" max="15630" width="14.140625" style="292" customWidth="1"/>
    <col min="15631" max="15631" width="11.00390625" style="292" customWidth="1"/>
    <col min="15632" max="15633" width="25.00390625" style="292" customWidth="1"/>
    <col min="15634" max="15634" width="1.8515625" style="292" customWidth="1"/>
    <col min="15635" max="15635" width="17.8515625" style="292" customWidth="1"/>
    <col min="15636" max="15636" width="1.8515625" style="292" customWidth="1"/>
    <col min="15637" max="15637" width="19.00390625" style="292" customWidth="1"/>
    <col min="15638" max="15638" width="1.8515625" style="292" customWidth="1"/>
    <col min="15639" max="15639" width="16.7109375" style="292" customWidth="1"/>
    <col min="15640" max="15640" width="1.8515625" style="292" customWidth="1"/>
    <col min="15641" max="15641" width="16.7109375" style="292" customWidth="1"/>
    <col min="15642" max="15642" width="1.8515625" style="292" customWidth="1"/>
    <col min="15643" max="15643" width="16.7109375" style="292" customWidth="1"/>
    <col min="15644" max="15644" width="1.8515625" style="292" customWidth="1"/>
    <col min="15645" max="15645" width="16.7109375" style="292" customWidth="1"/>
    <col min="15646" max="15646" width="1.8515625" style="292" customWidth="1"/>
    <col min="15647" max="15647" width="17.8515625" style="292" customWidth="1"/>
    <col min="15648" max="15648" width="5.28125" style="292" customWidth="1"/>
    <col min="15649" max="15649" width="16.7109375" style="292" customWidth="1"/>
    <col min="15650" max="15650" width="5.28125" style="292" customWidth="1"/>
    <col min="15651" max="15651" width="14.421875" style="292" customWidth="1"/>
    <col min="15652" max="15652" width="1.8515625" style="292" customWidth="1"/>
    <col min="15653" max="15653" width="16.7109375" style="292" customWidth="1"/>
    <col min="15654" max="15863" width="11.00390625" style="292" customWidth="1"/>
    <col min="15864" max="15864" width="7.57421875" style="292" customWidth="1"/>
    <col min="15865" max="15865" width="15.57421875" style="292" customWidth="1"/>
    <col min="15866" max="15866" width="20.140625" style="292" customWidth="1"/>
    <col min="15867" max="15867" width="2.28125" style="292" customWidth="1"/>
    <col min="15868" max="15868" width="17.421875" style="292" customWidth="1"/>
    <col min="15869" max="15869" width="1.8515625" style="292" customWidth="1"/>
    <col min="15870" max="15870" width="18.7109375" style="292" customWidth="1"/>
    <col min="15871" max="15871" width="1.8515625" style="292" customWidth="1"/>
    <col min="15872" max="15872" width="23.00390625" style="292" customWidth="1"/>
    <col min="15873" max="15873" width="1.8515625" style="292" customWidth="1"/>
    <col min="15874" max="15874" width="17.421875" style="292" customWidth="1"/>
    <col min="15875" max="15875" width="3.00390625" style="292" customWidth="1"/>
    <col min="15876" max="15876" width="16.28125" style="292" customWidth="1"/>
    <col min="15877" max="15877" width="3.00390625" style="292" customWidth="1"/>
    <col min="15878" max="15878" width="14.140625" style="292" customWidth="1"/>
    <col min="15879" max="15879" width="2.00390625" style="292" customWidth="1"/>
    <col min="15880" max="15880" width="15.8515625" style="292" customWidth="1"/>
    <col min="15881" max="15881" width="3.140625" style="292" customWidth="1"/>
    <col min="15882" max="15882" width="17.8515625" style="292" customWidth="1"/>
    <col min="15883" max="15883" width="2.57421875" style="292" customWidth="1"/>
    <col min="15884" max="15884" width="15.57421875" style="292" customWidth="1"/>
    <col min="15885" max="15885" width="1.8515625" style="292" customWidth="1"/>
    <col min="15886" max="15886" width="14.140625" style="292" customWidth="1"/>
    <col min="15887" max="15887" width="11.00390625" style="292" customWidth="1"/>
    <col min="15888" max="15889" width="25.00390625" style="292" customWidth="1"/>
    <col min="15890" max="15890" width="1.8515625" style="292" customWidth="1"/>
    <col min="15891" max="15891" width="17.8515625" style="292" customWidth="1"/>
    <col min="15892" max="15892" width="1.8515625" style="292" customWidth="1"/>
    <col min="15893" max="15893" width="19.00390625" style="292" customWidth="1"/>
    <col min="15894" max="15894" width="1.8515625" style="292" customWidth="1"/>
    <col min="15895" max="15895" width="16.7109375" style="292" customWidth="1"/>
    <col min="15896" max="15896" width="1.8515625" style="292" customWidth="1"/>
    <col min="15897" max="15897" width="16.7109375" style="292" customWidth="1"/>
    <col min="15898" max="15898" width="1.8515625" style="292" customWidth="1"/>
    <col min="15899" max="15899" width="16.7109375" style="292" customWidth="1"/>
    <col min="15900" max="15900" width="1.8515625" style="292" customWidth="1"/>
    <col min="15901" max="15901" width="16.7109375" style="292" customWidth="1"/>
    <col min="15902" max="15902" width="1.8515625" style="292" customWidth="1"/>
    <col min="15903" max="15903" width="17.8515625" style="292" customWidth="1"/>
    <col min="15904" max="15904" width="5.28125" style="292" customWidth="1"/>
    <col min="15905" max="15905" width="16.7109375" style="292" customWidth="1"/>
    <col min="15906" max="15906" width="5.28125" style="292" customWidth="1"/>
    <col min="15907" max="15907" width="14.421875" style="292" customWidth="1"/>
    <col min="15908" max="15908" width="1.8515625" style="292" customWidth="1"/>
    <col min="15909" max="15909" width="16.7109375" style="292" customWidth="1"/>
    <col min="15910" max="16119" width="11.00390625" style="292" customWidth="1"/>
    <col min="16120" max="16120" width="7.57421875" style="292" customWidth="1"/>
    <col min="16121" max="16121" width="15.57421875" style="292" customWidth="1"/>
    <col min="16122" max="16122" width="20.140625" style="292" customWidth="1"/>
    <col min="16123" max="16123" width="2.28125" style="292" customWidth="1"/>
    <col min="16124" max="16124" width="17.421875" style="292" customWidth="1"/>
    <col min="16125" max="16125" width="1.8515625" style="292" customWidth="1"/>
    <col min="16126" max="16126" width="18.7109375" style="292" customWidth="1"/>
    <col min="16127" max="16127" width="1.8515625" style="292" customWidth="1"/>
    <col min="16128" max="16128" width="23.00390625" style="292" customWidth="1"/>
    <col min="16129" max="16129" width="1.8515625" style="292" customWidth="1"/>
    <col min="16130" max="16130" width="17.421875" style="292" customWidth="1"/>
    <col min="16131" max="16131" width="3.00390625" style="292" customWidth="1"/>
    <col min="16132" max="16132" width="16.28125" style="292" customWidth="1"/>
    <col min="16133" max="16133" width="3.00390625" style="292" customWidth="1"/>
    <col min="16134" max="16134" width="14.140625" style="292" customWidth="1"/>
    <col min="16135" max="16135" width="2.00390625" style="292" customWidth="1"/>
    <col min="16136" max="16136" width="15.8515625" style="292" customWidth="1"/>
    <col min="16137" max="16137" width="3.140625" style="292" customWidth="1"/>
    <col min="16138" max="16138" width="17.8515625" style="292" customWidth="1"/>
    <col min="16139" max="16139" width="2.57421875" style="292" customWidth="1"/>
    <col min="16140" max="16140" width="15.57421875" style="292" customWidth="1"/>
    <col min="16141" max="16141" width="1.8515625" style="292" customWidth="1"/>
    <col min="16142" max="16142" width="14.140625" style="292" customWidth="1"/>
    <col min="16143" max="16143" width="11.00390625" style="292" customWidth="1"/>
    <col min="16144" max="16145" width="25.00390625" style="292" customWidth="1"/>
    <col min="16146" max="16146" width="1.8515625" style="292" customWidth="1"/>
    <col min="16147" max="16147" width="17.8515625" style="292" customWidth="1"/>
    <col min="16148" max="16148" width="1.8515625" style="292" customWidth="1"/>
    <col min="16149" max="16149" width="19.00390625" style="292" customWidth="1"/>
    <col min="16150" max="16150" width="1.8515625" style="292" customWidth="1"/>
    <col min="16151" max="16151" width="16.7109375" style="292" customWidth="1"/>
    <col min="16152" max="16152" width="1.8515625" style="292" customWidth="1"/>
    <col min="16153" max="16153" width="16.7109375" style="292" customWidth="1"/>
    <col min="16154" max="16154" width="1.8515625" style="292" customWidth="1"/>
    <col min="16155" max="16155" width="16.7109375" style="292" customWidth="1"/>
    <col min="16156" max="16156" width="1.8515625" style="292" customWidth="1"/>
    <col min="16157" max="16157" width="16.7109375" style="292" customWidth="1"/>
    <col min="16158" max="16158" width="1.8515625" style="292" customWidth="1"/>
    <col min="16159" max="16159" width="17.8515625" style="292" customWidth="1"/>
    <col min="16160" max="16160" width="5.28125" style="292" customWidth="1"/>
    <col min="16161" max="16161" width="16.7109375" style="292" customWidth="1"/>
    <col min="16162" max="16162" width="5.28125" style="292" customWidth="1"/>
    <col min="16163" max="16163" width="14.421875" style="292" customWidth="1"/>
    <col min="16164" max="16164" width="1.8515625" style="292" customWidth="1"/>
    <col min="16165" max="16165" width="16.7109375" style="292" customWidth="1"/>
    <col min="16166" max="16384" width="11.00390625" style="292" customWidth="1"/>
  </cols>
  <sheetData>
    <row r="1" ht="12.75" hidden="1">
      <c r="A1" s="292"/>
    </row>
    <row r="2" spans="1:37" ht="12.75" hidden="1">
      <c r="A2" s="292"/>
      <c r="B2" s="485" t="s">
        <v>504</v>
      </c>
      <c r="C2" s="485"/>
      <c r="D2" s="485"/>
      <c r="E2" s="485"/>
      <c r="F2" s="485"/>
      <c r="G2" s="485"/>
      <c r="H2" s="485"/>
      <c r="I2" s="485"/>
      <c r="J2" s="485"/>
      <c r="K2" s="485"/>
      <c r="L2" s="485"/>
      <c r="M2" s="485"/>
      <c r="N2" s="485"/>
      <c r="O2" s="303"/>
      <c r="R2" s="304"/>
      <c r="S2" s="304"/>
      <c r="T2" s="304"/>
      <c r="U2" s="305"/>
      <c r="V2" s="304"/>
      <c r="W2" s="305"/>
      <c r="X2" s="304"/>
      <c r="Y2" s="305"/>
      <c r="Z2" s="304"/>
      <c r="AA2" s="304"/>
      <c r="AB2" s="304"/>
      <c r="AC2" s="304"/>
      <c r="AD2" s="304"/>
      <c r="AE2" s="304"/>
      <c r="AF2" s="304"/>
      <c r="AG2" s="304"/>
      <c r="AH2" s="304"/>
      <c r="AI2" s="304"/>
      <c r="AJ2" s="304"/>
      <c r="AK2" s="304"/>
    </row>
    <row r="3" spans="1:37" ht="12.75" hidden="1">
      <c r="A3" s="292"/>
      <c r="B3" s="485" t="s">
        <v>505</v>
      </c>
      <c r="C3" s="485"/>
      <c r="D3" s="485"/>
      <c r="E3" s="485"/>
      <c r="F3" s="485"/>
      <c r="G3" s="485"/>
      <c r="H3" s="485"/>
      <c r="I3" s="485"/>
      <c r="J3" s="485"/>
      <c r="K3" s="485"/>
      <c r="L3" s="485"/>
      <c r="M3" s="485"/>
      <c r="N3" s="485"/>
      <c r="O3" s="303"/>
      <c r="R3" s="304"/>
      <c r="S3" s="304"/>
      <c r="T3" s="304"/>
      <c r="U3" s="305"/>
      <c r="V3" s="304"/>
      <c r="W3" s="305"/>
      <c r="X3" s="304"/>
      <c r="Y3" s="304"/>
      <c r="Z3" s="304"/>
      <c r="AA3" s="304"/>
      <c r="AB3" s="304"/>
      <c r="AC3" s="304"/>
      <c r="AD3" s="304"/>
      <c r="AE3" s="304"/>
      <c r="AF3" s="304"/>
      <c r="AG3" s="304"/>
      <c r="AH3" s="304"/>
      <c r="AI3" s="304"/>
      <c r="AJ3" s="304"/>
      <c r="AK3" s="304"/>
    </row>
    <row r="4" spans="1:37" ht="12.75" hidden="1">
      <c r="A4" s="292"/>
      <c r="B4" s="485" t="s">
        <v>506</v>
      </c>
      <c r="C4" s="485"/>
      <c r="D4" s="485"/>
      <c r="E4" s="485"/>
      <c r="F4" s="485"/>
      <c r="G4" s="485"/>
      <c r="H4" s="485"/>
      <c r="I4" s="485"/>
      <c r="J4" s="485"/>
      <c r="K4" s="485"/>
      <c r="L4" s="485"/>
      <c r="M4" s="485"/>
      <c r="N4" s="485"/>
      <c r="O4" s="303"/>
      <c r="R4" s="304"/>
      <c r="S4" s="304"/>
      <c r="T4" s="304"/>
      <c r="U4" s="305"/>
      <c r="V4" s="304"/>
      <c r="W4" s="305"/>
      <c r="X4" s="305"/>
      <c r="Y4" s="304"/>
      <c r="Z4" s="304"/>
      <c r="AA4" s="304"/>
      <c r="AB4" s="304"/>
      <c r="AC4" s="304"/>
      <c r="AD4" s="304"/>
      <c r="AE4" s="304"/>
      <c r="AF4" s="304"/>
      <c r="AG4" s="304"/>
      <c r="AH4" s="304"/>
      <c r="AI4" s="304"/>
      <c r="AJ4" s="304"/>
      <c r="AK4" s="304"/>
    </row>
    <row r="5" spans="1:37" ht="12.75" hidden="1">
      <c r="A5" s="292"/>
      <c r="B5" s="485" t="s">
        <v>507</v>
      </c>
      <c r="C5" s="485"/>
      <c r="D5" s="485"/>
      <c r="E5" s="485"/>
      <c r="F5" s="485"/>
      <c r="G5" s="485"/>
      <c r="H5" s="485"/>
      <c r="I5" s="485"/>
      <c r="J5" s="485"/>
      <c r="K5" s="485"/>
      <c r="L5" s="485"/>
      <c r="M5" s="485"/>
      <c r="N5" s="485"/>
      <c r="O5" s="303"/>
      <c r="R5" s="304"/>
      <c r="S5" s="304"/>
      <c r="T5" s="305"/>
      <c r="U5" s="305"/>
      <c r="V5" s="304"/>
      <c r="W5" s="304"/>
      <c r="X5" s="304"/>
      <c r="Y5" s="304"/>
      <c r="Z5" s="304"/>
      <c r="AA5" s="304"/>
      <c r="AB5" s="304"/>
      <c r="AC5" s="304"/>
      <c r="AD5" s="304"/>
      <c r="AE5" s="304"/>
      <c r="AF5" s="304"/>
      <c r="AG5" s="304"/>
      <c r="AH5" s="304"/>
      <c r="AI5" s="304"/>
      <c r="AJ5" s="304"/>
      <c r="AK5" s="304"/>
    </row>
    <row r="6" spans="1:37" ht="12.75" hidden="1">
      <c r="A6" s="292"/>
      <c r="B6" s="486" t="s">
        <v>508</v>
      </c>
      <c r="C6" s="486"/>
      <c r="D6" s="486"/>
      <c r="E6" s="486"/>
      <c r="F6" s="486"/>
      <c r="G6" s="486"/>
      <c r="H6" s="486"/>
      <c r="I6" s="486"/>
      <c r="J6" s="486"/>
      <c r="K6" s="486"/>
      <c r="L6" s="486"/>
      <c r="M6" s="486"/>
      <c r="N6" s="486"/>
      <c r="O6" s="303"/>
      <c r="R6" s="304"/>
      <c r="S6" s="304"/>
      <c r="T6" s="304"/>
      <c r="U6" s="305"/>
      <c r="V6" s="304"/>
      <c r="W6" s="304"/>
      <c r="X6" s="304"/>
      <c r="Y6" s="305"/>
      <c r="Z6" s="304"/>
      <c r="AA6" s="304"/>
      <c r="AB6" s="304"/>
      <c r="AC6" s="304"/>
      <c r="AD6" s="304"/>
      <c r="AE6" s="304"/>
      <c r="AF6" s="304"/>
      <c r="AG6" s="304"/>
      <c r="AH6" s="304"/>
      <c r="AI6" s="304"/>
      <c r="AJ6" s="304"/>
      <c r="AK6" s="304"/>
    </row>
    <row r="7" spans="1:37" ht="12.75" hidden="1">
      <c r="A7" s="292"/>
      <c r="C7" s="305"/>
      <c r="D7" s="304"/>
      <c r="E7" s="304"/>
      <c r="F7" s="306"/>
      <c r="G7" s="305"/>
      <c r="H7" s="304"/>
      <c r="I7" s="304"/>
      <c r="J7" s="304"/>
      <c r="K7" s="304"/>
      <c r="L7" s="307"/>
      <c r="M7" s="307"/>
      <c r="N7" s="307"/>
      <c r="O7" s="303"/>
      <c r="R7" s="304"/>
      <c r="S7" s="304"/>
      <c r="T7" s="304"/>
      <c r="U7" s="305"/>
      <c r="V7" s="304"/>
      <c r="W7" s="304"/>
      <c r="X7" s="304"/>
      <c r="Y7" s="305"/>
      <c r="Z7" s="304"/>
      <c r="AA7" s="304"/>
      <c r="AB7" s="304"/>
      <c r="AC7" s="304"/>
      <c r="AD7" s="304"/>
      <c r="AE7" s="304"/>
      <c r="AF7" s="304"/>
      <c r="AG7" s="304"/>
      <c r="AH7" s="304"/>
      <c r="AI7" s="304"/>
      <c r="AJ7" s="304"/>
      <c r="AK7" s="304"/>
    </row>
    <row r="8" spans="1:37" ht="12.75" hidden="1">
      <c r="A8" s="292"/>
      <c r="C8" s="298"/>
      <c r="D8" s="298"/>
      <c r="E8" s="298"/>
      <c r="F8" s="308"/>
      <c r="G8" s="298"/>
      <c r="H8" s="298"/>
      <c r="I8" s="298"/>
      <c r="J8" s="298"/>
      <c r="K8" s="298"/>
      <c r="L8" s="309"/>
      <c r="M8" s="309"/>
      <c r="N8" s="309"/>
      <c r="R8" s="298"/>
      <c r="S8" s="298"/>
      <c r="T8" s="298"/>
      <c r="U8" s="298"/>
      <c r="V8" s="298"/>
      <c r="W8" s="298"/>
      <c r="X8" s="298"/>
      <c r="Y8" s="298"/>
      <c r="Z8" s="298"/>
      <c r="AA8" s="298"/>
      <c r="AB8" s="298"/>
      <c r="AC8" s="298"/>
      <c r="AD8" s="298"/>
      <c r="AE8" s="298"/>
      <c r="AF8" s="298"/>
      <c r="AG8" s="298"/>
      <c r="AH8" s="298"/>
      <c r="AI8" s="298"/>
      <c r="AJ8" s="298"/>
      <c r="AK8" s="298"/>
    </row>
    <row r="9" spans="1:37" ht="18" customHeight="1">
      <c r="A9" s="292"/>
      <c r="R9" s="298"/>
      <c r="S9" s="310"/>
      <c r="T9" s="298"/>
      <c r="U9" s="310"/>
      <c r="V9" s="298"/>
      <c r="W9" s="310"/>
      <c r="X9" s="298"/>
      <c r="Y9" s="310"/>
      <c r="Z9" s="298"/>
      <c r="AA9" s="310"/>
      <c r="AB9" s="298"/>
      <c r="AC9" s="310"/>
      <c r="AD9" s="298"/>
      <c r="AE9" s="310"/>
      <c r="AF9" s="298"/>
      <c r="AG9" s="310"/>
      <c r="AH9" s="298"/>
      <c r="AI9" s="310"/>
      <c r="AJ9" s="298"/>
      <c r="AK9" s="310"/>
    </row>
    <row r="10" spans="1:37" ht="12.75">
      <c r="A10" s="292"/>
      <c r="R10" s="298"/>
      <c r="S10" s="298"/>
      <c r="T10" s="298"/>
      <c r="U10" s="310"/>
      <c r="V10" s="298"/>
      <c r="W10" s="298"/>
      <c r="X10" s="298"/>
      <c r="Y10" s="298"/>
      <c r="Z10" s="298"/>
      <c r="AA10" s="298"/>
      <c r="AB10" s="298"/>
      <c r="AC10" s="298"/>
      <c r="AD10" s="298"/>
      <c r="AE10" s="298"/>
      <c r="AF10" s="298"/>
      <c r="AG10" s="298"/>
      <c r="AH10" s="298"/>
      <c r="AI10" s="298"/>
      <c r="AJ10" s="298"/>
      <c r="AK10" s="298"/>
    </row>
    <row r="11" spans="1:37" ht="12.75">
      <c r="A11" s="292"/>
      <c r="C11" s="310" t="s">
        <v>156</v>
      </c>
      <c r="D11" s="310" t="s">
        <v>157</v>
      </c>
      <c r="E11" s="310" t="s">
        <v>158</v>
      </c>
      <c r="F11" s="311" t="s">
        <v>159</v>
      </c>
      <c r="G11" s="310" t="s">
        <v>160</v>
      </c>
      <c r="H11" s="310" t="s">
        <v>161</v>
      </c>
      <c r="I11" s="310" t="s">
        <v>249</v>
      </c>
      <c r="J11" s="310" t="s">
        <v>250</v>
      </c>
      <c r="K11" s="312" t="s">
        <v>251</v>
      </c>
      <c r="L11" s="312" t="s">
        <v>252</v>
      </c>
      <c r="M11" s="312" t="s">
        <v>253</v>
      </c>
      <c r="N11" s="313" t="s">
        <v>254</v>
      </c>
      <c r="R11" s="298"/>
      <c r="S11" s="298"/>
      <c r="T11" s="298"/>
      <c r="U11" s="310"/>
      <c r="V11" s="298"/>
      <c r="W11" s="298"/>
      <c r="X11" s="298"/>
      <c r="Y11" s="310"/>
      <c r="Z11" s="298"/>
      <c r="AA11" s="298"/>
      <c r="AB11" s="298"/>
      <c r="AC11" s="298"/>
      <c r="AD11" s="298"/>
      <c r="AE11" s="310"/>
      <c r="AF11" s="298"/>
      <c r="AG11" s="298"/>
      <c r="AH11" s="298"/>
      <c r="AI11" s="298"/>
      <c r="AJ11" s="298"/>
      <c r="AK11" s="298"/>
    </row>
    <row r="12" spans="1:37" ht="14.25">
      <c r="A12" s="292"/>
      <c r="C12" s="298"/>
      <c r="D12" s="298"/>
      <c r="E12" s="310" t="s">
        <v>509</v>
      </c>
      <c r="F12" s="308"/>
      <c r="G12" s="298"/>
      <c r="H12" s="298"/>
      <c r="I12" s="298"/>
      <c r="J12" s="298"/>
      <c r="K12" s="298"/>
      <c r="L12" s="309"/>
      <c r="M12" s="309"/>
      <c r="N12" s="309"/>
      <c r="P12" s="314"/>
      <c r="R12" s="298"/>
      <c r="S12" s="310"/>
      <c r="T12" s="298"/>
      <c r="U12" s="310"/>
      <c r="V12" s="298"/>
      <c r="W12" s="298"/>
      <c r="X12" s="298"/>
      <c r="Y12" s="310"/>
      <c r="Z12" s="298"/>
      <c r="AA12" s="310"/>
      <c r="AB12" s="298"/>
      <c r="AC12" s="310"/>
      <c r="AD12" s="298"/>
      <c r="AE12" s="310"/>
      <c r="AF12" s="298"/>
      <c r="AG12" s="310"/>
      <c r="AH12" s="298"/>
      <c r="AI12" s="310"/>
      <c r="AJ12" s="298"/>
      <c r="AK12" s="310"/>
    </row>
    <row r="13" spans="1:37" ht="12.75">
      <c r="A13" s="292"/>
      <c r="C13" s="298"/>
      <c r="D13" s="298"/>
      <c r="E13" s="310" t="s">
        <v>510</v>
      </c>
      <c r="F13" s="308"/>
      <c r="H13" s="298"/>
      <c r="I13" s="298"/>
      <c r="J13" s="310" t="s">
        <v>511</v>
      </c>
      <c r="K13" s="310" t="s">
        <v>751</v>
      </c>
      <c r="L13" s="313" t="s">
        <v>750</v>
      </c>
      <c r="M13" s="309"/>
      <c r="N13" s="309"/>
      <c r="R13" s="298"/>
      <c r="S13" s="310"/>
      <c r="T13" s="298"/>
      <c r="U13" s="310"/>
      <c r="V13" s="298"/>
      <c r="W13" s="298"/>
      <c r="X13" s="298"/>
      <c r="Y13" s="310"/>
      <c r="Z13" s="298"/>
      <c r="AA13" s="310"/>
      <c r="AB13" s="298"/>
      <c r="AC13" s="310"/>
      <c r="AD13" s="298"/>
      <c r="AE13" s="310"/>
      <c r="AF13" s="298"/>
      <c r="AG13" s="310"/>
      <c r="AH13" s="298"/>
      <c r="AI13" s="310"/>
      <c r="AJ13" s="298"/>
      <c r="AK13" s="310"/>
    </row>
    <row r="14" spans="1:37" ht="12.75">
      <c r="A14" s="292"/>
      <c r="B14" s="310" t="s">
        <v>512</v>
      </c>
      <c r="C14" s="298"/>
      <c r="D14" s="310" t="s">
        <v>513</v>
      </c>
      <c r="E14" s="310" t="s">
        <v>514</v>
      </c>
      <c r="F14" s="311" t="s">
        <v>187</v>
      </c>
      <c r="G14" s="310" t="s">
        <v>282</v>
      </c>
      <c r="H14" s="310" t="s">
        <v>282</v>
      </c>
      <c r="I14" s="310" t="s">
        <v>515</v>
      </c>
      <c r="J14" s="310" t="s">
        <v>516</v>
      </c>
      <c r="K14" s="312" t="s">
        <v>832</v>
      </c>
      <c r="L14" s="312" t="s">
        <v>188</v>
      </c>
      <c r="M14" s="312" t="s">
        <v>517</v>
      </c>
      <c r="N14" s="312" t="s">
        <v>282</v>
      </c>
      <c r="R14" s="298"/>
      <c r="S14" s="310"/>
      <c r="T14" s="298"/>
      <c r="U14" s="310"/>
      <c r="V14" s="298"/>
      <c r="W14" s="310"/>
      <c r="X14" s="298"/>
      <c r="Y14" s="310"/>
      <c r="Z14" s="298"/>
      <c r="AA14" s="310"/>
      <c r="AB14" s="298"/>
      <c r="AC14" s="310"/>
      <c r="AD14" s="298"/>
      <c r="AE14" s="310"/>
      <c r="AF14" s="298"/>
      <c r="AG14" s="310"/>
      <c r="AH14" s="298"/>
      <c r="AI14" s="310"/>
      <c r="AJ14" s="298"/>
      <c r="AK14" s="310"/>
    </row>
    <row r="15" spans="1:14" ht="12.75">
      <c r="A15" s="292"/>
      <c r="B15" s="310" t="s">
        <v>518</v>
      </c>
      <c r="C15" s="311" t="s">
        <v>519</v>
      </c>
      <c r="D15" s="311" t="s">
        <v>520</v>
      </c>
      <c r="E15" s="311" t="s">
        <v>521</v>
      </c>
      <c r="F15" s="311" t="s">
        <v>188</v>
      </c>
      <c r="G15" s="311" t="s">
        <v>178</v>
      </c>
      <c r="H15" s="311" t="s">
        <v>519</v>
      </c>
      <c r="I15" s="311" t="s">
        <v>522</v>
      </c>
      <c r="J15" s="311" t="s">
        <v>831</v>
      </c>
      <c r="K15" s="315" t="s">
        <v>523</v>
      </c>
      <c r="L15" s="315" t="s">
        <v>523</v>
      </c>
      <c r="M15" s="315" t="s">
        <v>188</v>
      </c>
      <c r="N15" s="312" t="s">
        <v>524</v>
      </c>
    </row>
    <row r="16" spans="1:17" ht="12.75">
      <c r="A16" s="292"/>
      <c r="B16" s="376" t="s">
        <v>525</v>
      </c>
      <c r="C16" s="311" t="s">
        <v>526</v>
      </c>
      <c r="D16" s="311" t="s">
        <v>527</v>
      </c>
      <c r="E16" s="311" t="s">
        <v>527</v>
      </c>
      <c r="F16" s="311" t="s">
        <v>775</v>
      </c>
      <c r="G16" s="311" t="s">
        <v>528</v>
      </c>
      <c r="H16" s="311" t="s">
        <v>529</v>
      </c>
      <c r="I16" s="311" t="s">
        <v>530</v>
      </c>
      <c r="J16" s="311" t="s">
        <v>531</v>
      </c>
      <c r="K16" s="315" t="s">
        <v>532</v>
      </c>
      <c r="L16" s="315" t="s">
        <v>532</v>
      </c>
      <c r="M16" s="315" t="s">
        <v>533</v>
      </c>
      <c r="N16" s="312" t="s">
        <v>534</v>
      </c>
      <c r="Q16" s="317"/>
    </row>
    <row r="17" spans="1:37" ht="12.75" hidden="1">
      <c r="A17" s="318">
        <v>1</v>
      </c>
      <c r="B17" s="310" t="s">
        <v>535</v>
      </c>
      <c r="C17" s="319">
        <v>3298951</v>
      </c>
      <c r="D17" s="319">
        <v>963839</v>
      </c>
      <c r="E17" s="319">
        <v>348748</v>
      </c>
      <c r="F17" s="320">
        <v>807047</v>
      </c>
      <c r="G17" s="319">
        <v>1220170</v>
      </c>
      <c r="H17" s="319">
        <f>C17-D17-E17-F17-G17</f>
        <v>-40853</v>
      </c>
      <c r="I17" s="319">
        <f>F17</f>
        <v>807047</v>
      </c>
      <c r="J17" s="319">
        <f>H17+I17</f>
        <v>766194</v>
      </c>
      <c r="K17" s="319"/>
      <c r="L17" s="317">
        <v>628460</v>
      </c>
      <c r="N17" s="317">
        <f>J17-L17</f>
        <v>137734</v>
      </c>
      <c r="S17" s="319"/>
      <c r="U17" s="319"/>
      <c r="W17" s="319"/>
      <c r="Y17" s="319"/>
      <c r="AA17" s="319"/>
      <c r="AC17" s="319"/>
      <c r="AE17" s="319"/>
      <c r="AG17" s="319"/>
      <c r="AK17" s="319"/>
    </row>
    <row r="18" ht="12.75" hidden="1">
      <c r="A18" s="318">
        <v>3</v>
      </c>
    </row>
    <row r="19" spans="1:37" ht="12.75" hidden="1">
      <c r="A19" s="318">
        <v>4</v>
      </c>
      <c r="B19" s="310" t="s">
        <v>536</v>
      </c>
      <c r="C19" s="319">
        <v>217534</v>
      </c>
      <c r="D19" s="319">
        <v>40331</v>
      </c>
      <c r="E19" s="319">
        <v>51130</v>
      </c>
      <c r="F19" s="320">
        <v>36511</v>
      </c>
      <c r="G19" s="319">
        <v>81883</v>
      </c>
      <c r="H19" s="319">
        <f>C19-D19-E19-F19-G19</f>
        <v>7679</v>
      </c>
      <c r="I19" s="319">
        <f>F19+10010</f>
        <v>46521</v>
      </c>
      <c r="J19" s="319">
        <f>H19+I19</f>
        <v>54200</v>
      </c>
      <c r="K19" s="319"/>
      <c r="L19" s="317">
        <v>6937</v>
      </c>
      <c r="N19" s="317">
        <f>J19-L19-M19</f>
        <v>47263</v>
      </c>
      <c r="S19" s="319"/>
      <c r="U19" s="319"/>
      <c r="W19" s="319"/>
      <c r="Y19" s="319"/>
      <c r="AA19" s="319"/>
      <c r="AC19" s="319"/>
      <c r="AE19" s="319"/>
      <c r="AG19" s="319"/>
      <c r="AK19" s="319"/>
    </row>
    <row r="20" spans="1:37" ht="12.75" hidden="1">
      <c r="A20" s="318">
        <v>5</v>
      </c>
      <c r="B20" s="310" t="s">
        <v>537</v>
      </c>
      <c r="C20" s="319">
        <v>189542</v>
      </c>
      <c r="D20" s="319">
        <f>9898+39449</f>
        <v>49347</v>
      </c>
      <c r="E20" s="319">
        <v>25195</v>
      </c>
      <c r="F20" s="320">
        <v>39083</v>
      </c>
      <c r="G20" s="319">
        <v>98889</v>
      </c>
      <c r="H20" s="319">
        <f>C20-D20-E20-F20-G20</f>
        <v>-22972</v>
      </c>
      <c r="I20" s="319">
        <f>F20+3503</f>
        <v>42586</v>
      </c>
      <c r="J20" s="319">
        <f>H20+I20</f>
        <v>19614</v>
      </c>
      <c r="K20" s="319"/>
      <c r="L20" s="317">
        <v>914</v>
      </c>
      <c r="N20" s="317">
        <f>J20-L20-M20</f>
        <v>18700</v>
      </c>
      <c r="S20" s="319"/>
      <c r="U20" s="319"/>
      <c r="W20" s="319"/>
      <c r="Y20" s="319"/>
      <c r="AA20" s="319"/>
      <c r="AC20" s="319"/>
      <c r="AE20" s="319"/>
      <c r="AG20" s="319"/>
      <c r="AK20" s="319"/>
    </row>
    <row r="21" spans="1:37" ht="12.75" hidden="1">
      <c r="A21" s="318">
        <v>6</v>
      </c>
      <c r="B21" s="310" t="s">
        <v>538</v>
      </c>
      <c r="C21" s="319">
        <v>341863</v>
      </c>
      <c r="D21" s="319">
        <v>76460</v>
      </c>
      <c r="E21" s="319">
        <f>89272+93471</f>
        <v>182743</v>
      </c>
      <c r="F21" s="320">
        <v>41237</v>
      </c>
      <c r="G21" s="319">
        <v>105740</v>
      </c>
      <c r="H21" s="319">
        <f>C21-D21-E21-F21-G21</f>
        <v>-64317</v>
      </c>
      <c r="I21" s="319">
        <f>F21+44210+8994</f>
        <v>94441</v>
      </c>
      <c r="J21" s="319">
        <f>H21+I21</f>
        <v>30124</v>
      </c>
      <c r="K21" s="319"/>
      <c r="L21" s="317">
        <v>73</v>
      </c>
      <c r="N21" s="317">
        <f>J21-L21-M21</f>
        <v>30051</v>
      </c>
      <c r="S21" s="319"/>
      <c r="U21" s="319"/>
      <c r="W21" s="319"/>
      <c r="Y21" s="319"/>
      <c r="AA21" s="319"/>
      <c r="AC21" s="319"/>
      <c r="AE21" s="319"/>
      <c r="AG21" s="319"/>
      <c r="AK21" s="319"/>
    </row>
    <row r="22" spans="1:37" ht="12.75" hidden="1">
      <c r="A22" s="318">
        <v>7</v>
      </c>
      <c r="B22" s="310" t="s">
        <v>539</v>
      </c>
      <c r="C22" s="319">
        <v>502589</v>
      </c>
      <c r="D22" s="319">
        <f>43497+49493</f>
        <v>92990</v>
      </c>
      <c r="E22" s="319">
        <f>205636+63989</f>
        <v>269625</v>
      </c>
      <c r="F22" s="320">
        <v>42870</v>
      </c>
      <c r="G22" s="319">
        <v>118861</v>
      </c>
      <c r="H22" s="319">
        <f>C22-D22-E22-F22-G22</f>
        <v>-21757</v>
      </c>
      <c r="I22" s="319">
        <f>F22+6071</f>
        <v>48941</v>
      </c>
      <c r="J22" s="319">
        <f>H22+I22</f>
        <v>27184</v>
      </c>
      <c r="K22" s="319"/>
      <c r="L22" s="317">
        <f>1650+2760</f>
        <v>4410</v>
      </c>
      <c r="N22" s="317">
        <f>J22-L22-M22</f>
        <v>22774</v>
      </c>
      <c r="S22" s="319"/>
      <c r="U22" s="319"/>
      <c r="W22" s="319"/>
      <c r="Y22" s="319"/>
      <c r="AA22" s="319"/>
      <c r="AC22" s="319"/>
      <c r="AE22" s="319"/>
      <c r="AG22" s="319"/>
      <c r="AH22" s="316"/>
      <c r="AK22" s="319"/>
    </row>
    <row r="23" spans="1:37" ht="12.75" hidden="1">
      <c r="A23" s="318">
        <v>8</v>
      </c>
      <c r="B23" s="310" t="s">
        <v>540</v>
      </c>
      <c r="C23" s="319">
        <v>1067604</v>
      </c>
      <c r="D23" s="319">
        <f>61354+55494-1418</f>
        <v>115430</v>
      </c>
      <c r="E23" s="319">
        <f>135662+381409+428371</f>
        <v>945442</v>
      </c>
      <c r="F23" s="320">
        <f>47937+1418</f>
        <v>49355</v>
      </c>
      <c r="G23" s="319">
        <v>145610</v>
      </c>
      <c r="H23" s="319">
        <f>C23-D23-E23-F23-G23</f>
        <v>-188233</v>
      </c>
      <c r="I23" s="319">
        <f>F23+6072</f>
        <v>55427</v>
      </c>
      <c r="J23" s="319">
        <f>H23+I23</f>
        <v>-132806</v>
      </c>
      <c r="K23" s="319"/>
      <c r="L23" s="317">
        <v>0</v>
      </c>
      <c r="N23" s="317">
        <f>J23-L23-M23</f>
        <v>-132806</v>
      </c>
      <c r="P23" s="317"/>
      <c r="S23" s="319"/>
      <c r="U23" s="319"/>
      <c r="W23" s="319"/>
      <c r="Y23" s="319"/>
      <c r="AA23" s="319"/>
      <c r="AC23" s="319"/>
      <c r="AE23" s="319"/>
      <c r="AG23" s="319"/>
      <c r="AH23" s="298"/>
      <c r="AK23" s="319"/>
    </row>
    <row r="24" spans="1:37" ht="12.75" hidden="1">
      <c r="A24" s="318">
        <v>9</v>
      </c>
      <c r="B24" s="310"/>
      <c r="C24" s="319"/>
      <c r="D24" s="319"/>
      <c r="E24" s="319"/>
      <c r="F24" s="320"/>
      <c r="G24" s="319"/>
      <c r="H24" s="319"/>
      <c r="I24" s="319"/>
      <c r="J24" s="319"/>
      <c r="K24" s="319"/>
      <c r="L24" s="317"/>
      <c r="N24" s="317"/>
      <c r="P24" s="317"/>
      <c r="S24" s="319"/>
      <c r="U24" s="319"/>
      <c r="W24" s="319"/>
      <c r="Y24" s="319"/>
      <c r="AA24" s="319"/>
      <c r="AC24" s="319"/>
      <c r="AE24" s="319"/>
      <c r="AG24" s="319"/>
      <c r="AH24" s="298"/>
      <c r="AK24" s="319"/>
    </row>
    <row r="25" spans="1:37" ht="12.75" hidden="1">
      <c r="A25" s="318">
        <v>10</v>
      </c>
      <c r="B25" s="310" t="s">
        <v>541</v>
      </c>
      <c r="C25" s="319">
        <f>1549866-64125</f>
        <v>1485741</v>
      </c>
      <c r="D25" s="319">
        <f>55616+64508-5164</f>
        <v>114960</v>
      </c>
      <c r="E25" s="319">
        <f>73334+633007+549469</f>
        <v>1255810</v>
      </c>
      <c r="F25" s="320">
        <f>52803+5164</f>
        <v>57967</v>
      </c>
      <c r="G25" s="319">
        <v>153763</v>
      </c>
      <c r="H25" s="319">
        <f>C25-D25-E25-F25-G25</f>
        <v>-96759</v>
      </c>
      <c r="I25" s="319">
        <f>F25+6072</f>
        <v>64039</v>
      </c>
      <c r="J25" s="319">
        <f>H25+I25</f>
        <v>-32720</v>
      </c>
      <c r="K25" s="319"/>
      <c r="L25" s="317">
        <v>0</v>
      </c>
      <c r="N25" s="317">
        <f>J25-L25-M25</f>
        <v>-32720</v>
      </c>
      <c r="S25" s="319"/>
      <c r="U25" s="319"/>
      <c r="W25" s="319"/>
      <c r="Y25" s="319"/>
      <c r="AA25" s="319"/>
      <c r="AC25" s="319"/>
      <c r="AE25" s="319"/>
      <c r="AG25" s="319"/>
      <c r="AH25" s="298"/>
      <c r="AK25" s="319"/>
    </row>
    <row r="26" spans="1:37" ht="12.75" hidden="1">
      <c r="A26" s="318">
        <v>11</v>
      </c>
      <c r="B26" s="310" t="s">
        <v>542</v>
      </c>
      <c r="C26" s="319">
        <v>2248654</v>
      </c>
      <c r="D26" s="319">
        <v>146870</v>
      </c>
      <c r="E26" s="319">
        <v>1898859</v>
      </c>
      <c r="F26" s="320">
        <f>54008+13636</f>
        <v>67644</v>
      </c>
      <c r="G26" s="319">
        <v>170942</v>
      </c>
      <c r="H26" s="319">
        <f>C26-D26-E26-F26-G26</f>
        <v>-35661</v>
      </c>
      <c r="I26" s="319">
        <f>F26+189738</f>
        <v>257382</v>
      </c>
      <c r="J26" s="319">
        <f>H26+I26</f>
        <v>221721</v>
      </c>
      <c r="K26" s="319"/>
      <c r="L26" s="317">
        <f>1342+190952</f>
        <v>192294</v>
      </c>
      <c r="N26" s="317">
        <f>J26-L26-M26</f>
        <v>29427</v>
      </c>
      <c r="S26" s="319"/>
      <c r="U26" s="319"/>
      <c r="W26" s="319"/>
      <c r="Y26" s="319"/>
      <c r="AA26" s="319"/>
      <c r="AC26" s="319"/>
      <c r="AE26" s="319"/>
      <c r="AG26" s="319"/>
      <c r="AH26" s="316"/>
      <c r="AK26" s="319"/>
    </row>
    <row r="27" spans="1:37" ht="12.75" hidden="1">
      <c r="A27" s="318">
        <v>12</v>
      </c>
      <c r="B27" s="310" t="s">
        <v>543</v>
      </c>
      <c r="C27" s="319">
        <v>2371829</v>
      </c>
      <c r="D27" s="319">
        <f>74671+44018+14627+4348</f>
        <v>137664</v>
      </c>
      <c r="E27" s="319">
        <f>51079+51816+206272+357843+206239+16166+1008762+1</f>
        <v>1898178</v>
      </c>
      <c r="F27" s="320">
        <f>57987+17724</f>
        <v>75711</v>
      </c>
      <c r="G27" s="319">
        <v>173888</v>
      </c>
      <c r="H27" s="319">
        <f>C27-D27-E27-F27-G27</f>
        <v>86388</v>
      </c>
      <c r="I27" s="319">
        <f>F27</f>
        <v>75711</v>
      </c>
      <c r="J27" s="319">
        <f>H27+I27</f>
        <v>162099</v>
      </c>
      <c r="K27" s="319"/>
      <c r="L27" s="317">
        <v>37354</v>
      </c>
      <c r="N27" s="317">
        <f>J27-L27-M27</f>
        <v>124745</v>
      </c>
      <c r="S27" s="319"/>
      <c r="U27" s="319"/>
      <c r="W27" s="319"/>
      <c r="Y27" s="319"/>
      <c r="AA27" s="319"/>
      <c r="AC27" s="319"/>
      <c r="AE27" s="319"/>
      <c r="AG27" s="319"/>
      <c r="AK27" s="319"/>
    </row>
    <row r="28" spans="1:37" ht="12.75" hidden="1">
      <c r="A28" s="318">
        <v>13</v>
      </c>
      <c r="B28" s="310" t="s">
        <v>544</v>
      </c>
      <c r="C28" s="319">
        <v>2179326</v>
      </c>
      <c r="D28" s="319">
        <f>76520+41909+13847+3356</f>
        <v>135632</v>
      </c>
      <c r="E28" s="319">
        <f>37500+54116+199046+375937+176102+6074+1046379-1</f>
        <v>1895153</v>
      </c>
      <c r="F28" s="320">
        <f>60548+23614</f>
        <v>84162</v>
      </c>
      <c r="G28" s="319">
        <v>175257</v>
      </c>
      <c r="H28" s="319">
        <f>C28-D28-E28-F28-G28</f>
        <v>-110878</v>
      </c>
      <c r="I28" s="319">
        <f>F28</f>
        <v>84162</v>
      </c>
      <c r="J28" s="319">
        <f>H28+I28</f>
        <v>-26716</v>
      </c>
      <c r="K28" s="319"/>
      <c r="L28" s="317">
        <v>10587</v>
      </c>
      <c r="N28" s="317">
        <f>J28-L28-M28</f>
        <v>-37303</v>
      </c>
      <c r="S28" s="319"/>
      <c r="U28" s="319"/>
      <c r="W28" s="319"/>
      <c r="Y28" s="319"/>
      <c r="AA28" s="319"/>
      <c r="AC28" s="319"/>
      <c r="AE28" s="319"/>
      <c r="AG28" s="319"/>
      <c r="AK28" s="319"/>
    </row>
    <row r="29" spans="1:37" ht="12.75" hidden="1">
      <c r="A29" s="318">
        <v>14</v>
      </c>
      <c r="B29" s="310" t="s">
        <v>545</v>
      </c>
      <c r="C29" s="319">
        <f>1217315+796725</f>
        <v>2014040</v>
      </c>
      <c r="D29" s="319">
        <f>149231+4953</f>
        <v>154184</v>
      </c>
      <c r="E29" s="319">
        <f>17100+56538+199668+346352+183669+9428+1013956</f>
        <v>1826711</v>
      </c>
      <c r="F29" s="320">
        <f>63134+28418</f>
        <v>91552</v>
      </c>
      <c r="G29" s="319">
        <v>199448</v>
      </c>
      <c r="H29" s="319">
        <f>C29-D29-E29-F29-G29</f>
        <v>-257855</v>
      </c>
      <c r="I29" s="319">
        <f>F29</f>
        <v>91552</v>
      </c>
      <c r="J29" s="319">
        <f>H29+I29</f>
        <v>-166303</v>
      </c>
      <c r="K29" s="319"/>
      <c r="L29" s="317">
        <v>2471</v>
      </c>
      <c r="N29" s="317">
        <f>J29-L29-M29</f>
        <v>-168774</v>
      </c>
      <c r="S29" s="319"/>
      <c r="U29" s="319"/>
      <c r="W29" s="319"/>
      <c r="Y29" s="319"/>
      <c r="AA29" s="319"/>
      <c r="AC29" s="319"/>
      <c r="AE29" s="319"/>
      <c r="AG29" s="319"/>
      <c r="AK29" s="319"/>
    </row>
    <row r="30" ht="12.75" hidden="1">
      <c r="A30" s="318">
        <v>15</v>
      </c>
    </row>
    <row r="31" spans="1:37" ht="12.75" hidden="1">
      <c r="A31" s="318">
        <v>16</v>
      </c>
      <c r="B31" s="310" t="s">
        <v>546</v>
      </c>
      <c r="C31" s="319">
        <f>1541742+761737</f>
        <v>2303479</v>
      </c>
      <c r="D31" s="319">
        <v>183326</v>
      </c>
      <c r="E31" s="319">
        <v>1796029</v>
      </c>
      <c r="F31" s="320">
        <v>98288</v>
      </c>
      <c r="G31" s="319">
        <v>204416</v>
      </c>
      <c r="H31" s="319">
        <f>C31-D31-E31-F31-G31</f>
        <v>21420</v>
      </c>
      <c r="I31" s="319">
        <f>F31</f>
        <v>98288</v>
      </c>
      <c r="J31" s="319">
        <f>H31+I31</f>
        <v>119708</v>
      </c>
      <c r="K31" s="319"/>
      <c r="L31" s="317">
        <v>149778</v>
      </c>
      <c r="N31" s="317">
        <f>J31-L31-M31</f>
        <v>-30070</v>
      </c>
      <c r="S31" s="319"/>
      <c r="U31" s="319"/>
      <c r="W31" s="319"/>
      <c r="Y31" s="319"/>
      <c r="AA31" s="319"/>
      <c r="AC31" s="319"/>
      <c r="AE31" s="319"/>
      <c r="AG31" s="319"/>
      <c r="AK31" s="319"/>
    </row>
    <row r="32" spans="1:37" ht="12.75" hidden="1">
      <c r="A32" s="318">
        <v>17</v>
      </c>
      <c r="B32" s="310" t="s">
        <v>547</v>
      </c>
      <c r="C32" s="319">
        <v>2273508</v>
      </c>
      <c r="D32" s="319">
        <v>173694</v>
      </c>
      <c r="E32" s="319">
        <v>1760205</v>
      </c>
      <c r="F32" s="320">
        <v>100104</v>
      </c>
      <c r="G32" s="319">
        <v>189446</v>
      </c>
      <c r="H32" s="319">
        <f>C32-D32-E32-F32-G32</f>
        <v>50059</v>
      </c>
      <c r="I32" s="319">
        <f>F32</f>
        <v>100104</v>
      </c>
      <c r="J32" s="319">
        <f>H32+I32</f>
        <v>150163</v>
      </c>
      <c r="K32" s="319"/>
      <c r="L32" s="317">
        <v>32875</v>
      </c>
      <c r="N32" s="317">
        <f>J32-L32-M32</f>
        <v>117288</v>
      </c>
      <c r="S32" s="319"/>
      <c r="U32" s="319"/>
      <c r="W32" s="319"/>
      <c r="Y32" s="319"/>
      <c r="AA32" s="319"/>
      <c r="AC32" s="319"/>
      <c r="AE32" s="319"/>
      <c r="AG32" s="319"/>
      <c r="AK32" s="319"/>
    </row>
    <row r="33" spans="1:37" ht="12.75" hidden="1">
      <c r="A33" s="318">
        <v>18</v>
      </c>
      <c r="B33" s="310" t="s">
        <v>548</v>
      </c>
      <c r="C33" s="319">
        <v>2315035</v>
      </c>
      <c r="D33" s="319">
        <v>198721</v>
      </c>
      <c r="E33" s="319">
        <v>1527829</v>
      </c>
      <c r="F33" s="320">
        <v>105338</v>
      </c>
      <c r="G33" s="319">
        <v>197462</v>
      </c>
      <c r="H33" s="319">
        <f>C33-D33-E33-F33-G33</f>
        <v>285685</v>
      </c>
      <c r="I33" s="319">
        <f>F33</f>
        <v>105338</v>
      </c>
      <c r="J33" s="319">
        <f>H33+I33</f>
        <v>391023</v>
      </c>
      <c r="K33" s="319"/>
      <c r="L33" s="317">
        <v>63336</v>
      </c>
      <c r="N33" s="317">
        <f>J33-L33-M33</f>
        <v>327687</v>
      </c>
      <c r="S33" s="319"/>
      <c r="U33" s="319"/>
      <c r="W33" s="319"/>
      <c r="Y33" s="319"/>
      <c r="AA33" s="319"/>
      <c r="AC33" s="319"/>
      <c r="AE33" s="319"/>
      <c r="AG33" s="319"/>
      <c r="AK33" s="319"/>
    </row>
    <row r="34" spans="1:37" ht="12.75" hidden="1">
      <c r="A34" s="318">
        <v>19</v>
      </c>
      <c r="B34" s="310" t="s">
        <v>549</v>
      </c>
      <c r="C34" s="319">
        <v>2482482</v>
      </c>
      <c r="D34" s="319">
        <v>216777</v>
      </c>
      <c r="E34" s="319">
        <v>1572046</v>
      </c>
      <c r="F34" s="320">
        <v>103047</v>
      </c>
      <c r="G34" s="319">
        <v>167559</v>
      </c>
      <c r="H34" s="319">
        <f>C34-D34-E34-F34-G34</f>
        <v>423053</v>
      </c>
      <c r="I34" s="319">
        <f>F34</f>
        <v>103047</v>
      </c>
      <c r="J34" s="319">
        <f>H34+I34</f>
        <v>526100</v>
      </c>
      <c r="K34" s="319"/>
      <c r="L34" s="317">
        <v>114583</v>
      </c>
      <c r="N34" s="317">
        <f>J34-L34-M34</f>
        <v>411517</v>
      </c>
      <c r="S34" s="319"/>
      <c r="U34" s="319"/>
      <c r="W34" s="319"/>
      <c r="Y34" s="319"/>
      <c r="AA34" s="319"/>
      <c r="AC34" s="319"/>
      <c r="AE34" s="319"/>
      <c r="AG34" s="319"/>
      <c r="AK34" s="319"/>
    </row>
    <row r="35" spans="1:37" ht="12.75" hidden="1">
      <c r="A35" s="318">
        <v>20</v>
      </c>
      <c r="B35" s="310" t="s">
        <v>550</v>
      </c>
      <c r="C35" s="319">
        <v>2142645</v>
      </c>
      <c r="D35" s="319">
        <v>287360</v>
      </c>
      <c r="E35" s="319">
        <v>1821930</v>
      </c>
      <c r="F35" s="320">
        <v>110403</v>
      </c>
      <c r="G35" s="319">
        <v>169711</v>
      </c>
      <c r="H35" s="319">
        <f>C35-D35-E35-F35-G35</f>
        <v>-246759</v>
      </c>
      <c r="I35" s="319">
        <f>F35</f>
        <v>110403</v>
      </c>
      <c r="J35" s="319">
        <f>H35+I35</f>
        <v>-136356</v>
      </c>
      <c r="K35" s="319"/>
      <c r="L35" s="317">
        <v>57543</v>
      </c>
      <c r="N35" s="317">
        <f>J35-L35-M35</f>
        <v>-193899</v>
      </c>
      <c r="S35" s="319"/>
      <c r="U35" s="319"/>
      <c r="W35" s="319"/>
      <c r="Y35" s="319"/>
      <c r="AA35" s="319"/>
      <c r="AC35" s="319"/>
      <c r="AE35" s="319"/>
      <c r="AG35" s="319"/>
      <c r="AK35" s="319"/>
    </row>
    <row r="36" spans="1:37" ht="12.75" hidden="1">
      <c r="A36" s="318">
        <v>21</v>
      </c>
      <c r="B36" s="310"/>
      <c r="C36" s="319"/>
      <c r="D36" s="319"/>
      <c r="E36" s="319"/>
      <c r="F36" s="320"/>
      <c r="G36" s="319"/>
      <c r="H36" s="319"/>
      <c r="I36" s="319"/>
      <c r="J36" s="319"/>
      <c r="K36" s="319"/>
      <c r="L36" s="317"/>
      <c r="N36" s="317"/>
      <c r="S36" s="319"/>
      <c r="U36" s="319"/>
      <c r="W36" s="319"/>
      <c r="Y36" s="319"/>
      <c r="AA36" s="319"/>
      <c r="AC36" s="319"/>
      <c r="AE36" s="319"/>
      <c r="AG36" s="319"/>
      <c r="AK36" s="319"/>
    </row>
    <row r="37" spans="1:37" ht="12.75" hidden="1">
      <c r="A37" s="318">
        <v>22</v>
      </c>
      <c r="B37" s="310" t="s">
        <v>551</v>
      </c>
      <c r="C37" s="319">
        <v>2233989</v>
      </c>
      <c r="D37" s="319">
        <v>309915</v>
      </c>
      <c r="E37" s="319">
        <v>1868863</v>
      </c>
      <c r="F37" s="321">
        <v>118143</v>
      </c>
      <c r="G37" s="319">
        <v>186455</v>
      </c>
      <c r="H37" s="319">
        <f>C37-D37-E37-F37-G37</f>
        <v>-249387</v>
      </c>
      <c r="I37" s="319">
        <f>F37</f>
        <v>118143</v>
      </c>
      <c r="J37" s="319">
        <f>H37+I37</f>
        <v>-131244</v>
      </c>
      <c r="K37" s="319"/>
      <c r="L37" s="317">
        <v>117974</v>
      </c>
      <c r="N37" s="317">
        <f>J37-L37-M37</f>
        <v>-249218</v>
      </c>
      <c r="S37" s="319"/>
      <c r="U37" s="319"/>
      <c r="W37" s="319"/>
      <c r="Y37" s="319"/>
      <c r="AA37" s="319"/>
      <c r="AC37" s="319"/>
      <c r="AE37" s="319"/>
      <c r="AG37" s="319"/>
      <c r="AK37" s="319"/>
    </row>
    <row r="38" spans="1:37" ht="12.75" hidden="1">
      <c r="A38" s="318">
        <v>23</v>
      </c>
      <c r="B38" s="322">
        <v>1994</v>
      </c>
      <c r="C38" s="323">
        <v>2536059</v>
      </c>
      <c r="D38" s="319">
        <v>316352</v>
      </c>
      <c r="E38" s="319">
        <v>1934944</v>
      </c>
      <c r="F38" s="321">
        <v>125396</v>
      </c>
      <c r="G38" s="319">
        <v>197222</v>
      </c>
      <c r="H38" s="319">
        <f>C38-D38-E38-F38-G38</f>
        <v>-37855</v>
      </c>
      <c r="I38" s="319">
        <f>F38</f>
        <v>125396</v>
      </c>
      <c r="J38" s="319">
        <f>H38+I38</f>
        <v>87541</v>
      </c>
      <c r="K38" s="319"/>
      <c r="L38" s="317">
        <v>135018</v>
      </c>
      <c r="N38" s="317">
        <f>J38-L38-M38</f>
        <v>-47477</v>
      </c>
      <c r="S38" s="319"/>
      <c r="U38" s="319"/>
      <c r="W38" s="319"/>
      <c r="Y38" s="319"/>
      <c r="AA38" s="319"/>
      <c r="AC38" s="319"/>
      <c r="AE38" s="319"/>
      <c r="AG38" s="319"/>
      <c r="AK38" s="319"/>
    </row>
    <row r="39" spans="1:37" ht="12.75" hidden="1">
      <c r="A39" s="318">
        <v>24</v>
      </c>
      <c r="B39" s="322">
        <v>1995</v>
      </c>
      <c r="C39" s="323">
        <v>2704285</v>
      </c>
      <c r="D39" s="319">
        <v>327420</v>
      </c>
      <c r="E39" s="319">
        <v>1915529</v>
      </c>
      <c r="F39" s="321">
        <v>141798</v>
      </c>
      <c r="G39" s="319">
        <v>215850</v>
      </c>
      <c r="H39" s="319">
        <f>C39-D39-E39-F39-G39</f>
        <v>103688</v>
      </c>
      <c r="I39" s="319">
        <f>F39</f>
        <v>141798</v>
      </c>
      <c r="J39" s="319">
        <f>H39+I39</f>
        <v>245486</v>
      </c>
      <c r="K39" s="319"/>
      <c r="L39" s="317">
        <v>196544</v>
      </c>
      <c r="N39" s="317">
        <f>J39-L39-M39</f>
        <v>48942</v>
      </c>
      <c r="S39" s="319"/>
      <c r="U39" s="319"/>
      <c r="W39" s="319"/>
      <c r="Y39" s="319"/>
      <c r="AA39" s="319"/>
      <c r="AC39" s="319"/>
      <c r="AE39" s="319"/>
      <c r="AG39" s="319"/>
      <c r="AK39" s="319"/>
    </row>
    <row r="40" spans="1:37" ht="12.75" hidden="1">
      <c r="A40" s="318">
        <v>25</v>
      </c>
      <c r="B40" s="322">
        <v>1996</v>
      </c>
      <c r="C40" s="319">
        <f>1893145+851365</f>
        <v>2744510</v>
      </c>
      <c r="D40" s="319">
        <v>366808</v>
      </c>
      <c r="E40" s="319">
        <v>1959406</v>
      </c>
      <c r="F40" s="320">
        <v>151122</v>
      </c>
      <c r="G40" s="319">
        <v>208509</v>
      </c>
      <c r="H40" s="319">
        <f>C40-D40-E40-F40-G40</f>
        <v>58665</v>
      </c>
      <c r="I40" s="319">
        <f>F40+2902</f>
        <v>154024</v>
      </c>
      <c r="J40" s="319">
        <f>H40+I40-15000</f>
        <v>197689</v>
      </c>
      <c r="K40" s="319"/>
      <c r="L40" s="317">
        <v>135010</v>
      </c>
      <c r="M40" s="317"/>
      <c r="N40" s="317">
        <f>J40-L40-M40</f>
        <v>62679</v>
      </c>
      <c r="S40" s="319"/>
      <c r="U40" s="319"/>
      <c r="W40" s="319"/>
      <c r="Y40" s="319"/>
      <c r="AA40" s="319"/>
      <c r="AC40" s="319"/>
      <c r="AE40" s="319"/>
      <c r="AF40" s="298"/>
      <c r="AG40" s="319"/>
      <c r="AK40" s="319"/>
    </row>
    <row r="41" spans="1:14" ht="12.75" hidden="1">
      <c r="A41" s="318">
        <v>26</v>
      </c>
      <c r="B41" s="322">
        <v>1997</v>
      </c>
      <c r="C41" s="319">
        <f>1996003+436</f>
        <v>1996439</v>
      </c>
      <c r="D41" s="292">
        <f>403212+209749</f>
        <v>612961</v>
      </c>
      <c r="E41" s="292">
        <v>924789</v>
      </c>
      <c r="F41" s="294">
        <f>76910+71305</f>
        <v>148215</v>
      </c>
      <c r="G41" s="292">
        <v>197238</v>
      </c>
      <c r="H41" s="319">
        <f>C41-D41-E41-F41-G41</f>
        <v>113236</v>
      </c>
      <c r="I41" s="319">
        <f>F41-43583+1324</f>
        <v>105956</v>
      </c>
      <c r="J41" s="319">
        <f>H41+I41</f>
        <v>219192</v>
      </c>
      <c r="K41" s="319"/>
      <c r="L41" s="297">
        <f>108114-M41</f>
        <v>82971</v>
      </c>
      <c r="M41" s="317">
        <v>25143</v>
      </c>
      <c r="N41" s="317">
        <f>J41-L41-M41</f>
        <v>111078</v>
      </c>
    </row>
    <row r="42" spans="1:15" ht="12.75" hidden="1">
      <c r="A42" s="318">
        <v>27</v>
      </c>
      <c r="B42" s="324"/>
      <c r="O42" s="325"/>
    </row>
    <row r="43" spans="1:15" ht="12.75" hidden="1">
      <c r="A43" s="318">
        <v>28</v>
      </c>
      <c r="B43" s="322">
        <v>1998</v>
      </c>
      <c r="C43" s="292">
        <f>2056052+4698</f>
        <v>2060750</v>
      </c>
      <c r="D43" s="292">
        <f>420912+244093</f>
        <v>665005</v>
      </c>
      <c r="E43" s="292">
        <v>1091678</v>
      </c>
      <c r="F43" s="294">
        <v>162562</v>
      </c>
      <c r="G43" s="292">
        <f>201930</f>
        <v>201930</v>
      </c>
      <c r="H43" s="319">
        <f>C43-D43-E43-F43-G43</f>
        <v>-60425</v>
      </c>
      <c r="I43" s="319">
        <f>F43-44122+452</f>
        <v>118892</v>
      </c>
      <c r="J43" s="319">
        <f>H43+I43+20000-1655</f>
        <v>76812</v>
      </c>
      <c r="K43" s="319"/>
      <c r="L43" s="297">
        <v>61000</v>
      </c>
      <c r="N43" s="317">
        <f>J43-L43-M43</f>
        <v>15812</v>
      </c>
      <c r="O43" s="312"/>
    </row>
    <row r="44" spans="1:15" ht="12.75" hidden="1">
      <c r="A44" s="318">
        <v>29</v>
      </c>
      <c r="B44" s="322">
        <v>1999</v>
      </c>
      <c r="C44" s="292">
        <v>2366423</v>
      </c>
      <c r="D44" s="292">
        <f>443669+259048</f>
        <v>702717</v>
      </c>
      <c r="E44" s="292">
        <v>1196308</v>
      </c>
      <c r="F44" s="294">
        <v>162008</v>
      </c>
      <c r="G44" s="292">
        <v>182079</v>
      </c>
      <c r="H44" s="319">
        <f>C44-D44-E44-F44-G44</f>
        <v>123311</v>
      </c>
      <c r="I44" s="319">
        <f>F44-44122+1065</f>
        <v>118951</v>
      </c>
      <c r="J44" s="319">
        <f>H44+I44+74000-5179</f>
        <v>311083</v>
      </c>
      <c r="K44" s="319"/>
      <c r="L44" s="297">
        <v>25000</v>
      </c>
      <c r="N44" s="317">
        <f>J44-L44-M44</f>
        <v>286083</v>
      </c>
      <c r="O44" s="312"/>
    </row>
    <row r="45" spans="1:37" ht="12.75" hidden="1">
      <c r="A45" s="318">
        <v>30</v>
      </c>
      <c r="B45" s="322">
        <v>2000</v>
      </c>
      <c r="C45" s="292">
        <v>2720940</v>
      </c>
      <c r="D45" s="292">
        <v>723377</v>
      </c>
      <c r="E45" s="292">
        <v>1410029</v>
      </c>
      <c r="F45" s="294">
        <v>165874</v>
      </c>
      <c r="G45" s="292">
        <v>169320</v>
      </c>
      <c r="H45" s="319">
        <f>C45-D45-E45-F45-G45</f>
        <v>252340</v>
      </c>
      <c r="I45" s="319">
        <f>F45-47755+1065</f>
        <v>119184</v>
      </c>
      <c r="J45" s="319">
        <f>H45+I45-5179</f>
        <v>366345</v>
      </c>
      <c r="K45" s="319"/>
      <c r="L45" s="297">
        <v>175338</v>
      </c>
      <c r="M45" s="317"/>
      <c r="N45" s="317">
        <f>J45-L45-M45</f>
        <v>191007</v>
      </c>
      <c r="S45" s="319"/>
      <c r="U45" s="319"/>
      <c r="W45" s="319"/>
      <c r="Y45" s="319"/>
      <c r="AA45" s="319"/>
      <c r="AC45" s="319"/>
      <c r="AE45" s="319"/>
      <c r="AF45" s="298"/>
      <c r="AG45" s="319"/>
      <c r="AI45" s="319"/>
      <c r="AK45" s="319"/>
    </row>
    <row r="46" spans="1:37" ht="12.75" hidden="1">
      <c r="A46" s="318">
        <v>31</v>
      </c>
      <c r="B46" s="322">
        <v>2001</v>
      </c>
      <c r="C46" s="319">
        <v>3888051</v>
      </c>
      <c r="D46" s="319">
        <v>819270</v>
      </c>
      <c r="E46" s="319">
        <v>2945886</v>
      </c>
      <c r="F46" s="320">
        <v>168433</v>
      </c>
      <c r="G46" s="319">
        <v>166504</v>
      </c>
      <c r="H46" s="319">
        <f>C46-D46-E46-F46-G46</f>
        <v>-212042</v>
      </c>
      <c r="I46" s="319">
        <f>F46-47992+1065</f>
        <v>121506</v>
      </c>
      <c r="J46" s="319">
        <f>H46+I46-53056</f>
        <v>-143592</v>
      </c>
      <c r="K46" s="319"/>
      <c r="L46" s="317">
        <f>167622-M46</f>
        <v>151062</v>
      </c>
      <c r="M46" s="297">
        <v>16560</v>
      </c>
      <c r="N46" s="317">
        <f>J46-L46-M46</f>
        <v>-311214</v>
      </c>
      <c r="P46" s="317"/>
      <c r="Q46" s="317"/>
      <c r="S46" s="319"/>
      <c r="U46" s="319"/>
      <c r="W46" s="319"/>
      <c r="Y46" s="319"/>
      <c r="AA46" s="319"/>
      <c r="AC46" s="319"/>
      <c r="AE46" s="319"/>
      <c r="AF46" s="298"/>
      <c r="AG46" s="319"/>
      <c r="AI46" s="319"/>
      <c r="AK46" s="319"/>
    </row>
    <row r="47" spans="1:37" ht="13.5" customHeight="1" hidden="1">
      <c r="A47" s="318">
        <v>32</v>
      </c>
      <c r="B47" s="322">
        <f>B46+1</f>
        <v>2002</v>
      </c>
      <c r="C47" s="319">
        <v>3047803</v>
      </c>
      <c r="D47" s="319">
        <v>833606</v>
      </c>
      <c r="E47" s="319">
        <v>1925873</v>
      </c>
      <c r="F47" s="320">
        <v>174164</v>
      </c>
      <c r="G47" s="319">
        <v>201582</v>
      </c>
      <c r="H47" s="319">
        <f>C47-D47-E47-F47-G47</f>
        <v>-87422</v>
      </c>
      <c r="I47" s="319">
        <f>F47-47738+1065</f>
        <v>127491</v>
      </c>
      <c r="J47" s="319">
        <f>H47+I47-43483</f>
        <v>-3414</v>
      </c>
      <c r="K47" s="319"/>
      <c r="L47" s="317">
        <v>373345</v>
      </c>
      <c r="M47" s="317"/>
      <c r="N47" s="317">
        <f>J47-L47-M47</f>
        <v>-376759</v>
      </c>
      <c r="P47" s="317"/>
      <c r="Q47" s="317"/>
      <c r="S47" s="319"/>
      <c r="U47" s="319"/>
      <c r="W47" s="319"/>
      <c r="Y47" s="319"/>
      <c r="AA47" s="319"/>
      <c r="AC47" s="319"/>
      <c r="AE47" s="319"/>
      <c r="AG47" s="319"/>
      <c r="AI47" s="319"/>
      <c r="AK47" s="319"/>
    </row>
    <row r="48" spans="1:37" ht="12.75" hidden="1">
      <c r="A48" s="318">
        <v>4</v>
      </c>
      <c r="B48" s="322">
        <v>2003</v>
      </c>
      <c r="C48" s="319">
        <v>3144811</v>
      </c>
      <c r="D48" s="319">
        <v>705289</v>
      </c>
      <c r="E48" s="319">
        <v>1841035</v>
      </c>
      <c r="F48" s="320">
        <v>178896</v>
      </c>
      <c r="G48" s="319">
        <v>176595</v>
      </c>
      <c r="H48" s="319">
        <v>242996</v>
      </c>
      <c r="I48" s="319">
        <v>131592</v>
      </c>
      <c r="J48" s="319">
        <v>314144</v>
      </c>
      <c r="K48" s="319"/>
      <c r="L48" s="317">
        <v>73000</v>
      </c>
      <c r="M48" s="317"/>
      <c r="N48" s="317">
        <f aca="true" t="shared" si="0" ref="N48:N59">J48-L48-M48</f>
        <v>241144</v>
      </c>
      <c r="P48" s="317"/>
      <c r="Q48" s="317"/>
      <c r="S48" s="319"/>
      <c r="U48" s="319"/>
      <c r="W48" s="319"/>
      <c r="Y48" s="319"/>
      <c r="AA48" s="319"/>
      <c r="AC48" s="319"/>
      <c r="AE48" s="319"/>
      <c r="AG48" s="319"/>
      <c r="AI48" s="319"/>
      <c r="AK48" s="319"/>
    </row>
    <row r="49" spans="1:37" ht="12.75" hidden="1">
      <c r="A49" s="318">
        <v>5</v>
      </c>
      <c r="B49" s="322">
        <v>2004</v>
      </c>
      <c r="C49" s="319">
        <v>2738898</v>
      </c>
      <c r="D49" s="319">
        <v>713549</v>
      </c>
      <c r="E49" s="319">
        <v>1366265</v>
      </c>
      <c r="F49" s="320">
        <v>177298</v>
      </c>
      <c r="G49" s="319">
        <v>162531</v>
      </c>
      <c r="H49" s="319">
        <v>319255</v>
      </c>
      <c r="I49" s="319">
        <v>129789</v>
      </c>
      <c r="J49" s="319">
        <v>354413</v>
      </c>
      <c r="K49" s="319"/>
      <c r="L49" s="317">
        <v>233000</v>
      </c>
      <c r="M49" s="317">
        <v>739</v>
      </c>
      <c r="N49" s="317">
        <f t="shared" si="0"/>
        <v>120674</v>
      </c>
      <c r="P49" s="317"/>
      <c r="Q49" s="317"/>
      <c r="S49" s="319"/>
      <c r="U49" s="319"/>
      <c r="W49" s="319"/>
      <c r="Y49" s="319"/>
      <c r="AA49" s="319"/>
      <c r="AC49" s="319"/>
      <c r="AE49" s="319"/>
      <c r="AG49" s="319"/>
      <c r="AI49" s="319"/>
      <c r="AK49" s="319"/>
    </row>
    <row r="50" spans="1:37" ht="12.75" hidden="1">
      <c r="A50" s="318">
        <v>6</v>
      </c>
      <c r="B50" s="322">
        <v>2005</v>
      </c>
      <c r="C50" s="319">
        <v>2814224</v>
      </c>
      <c r="D50" s="319">
        <v>711713</v>
      </c>
      <c r="E50" s="319">
        <v>1420735</v>
      </c>
      <c r="F50" s="320">
        <v>186099</v>
      </c>
      <c r="G50" s="319">
        <v>166610</v>
      </c>
      <c r="H50" s="319">
        <v>329067</v>
      </c>
      <c r="I50" s="319">
        <v>-98072</v>
      </c>
      <c r="J50" s="319">
        <v>320734</v>
      </c>
      <c r="K50" s="319"/>
      <c r="L50" s="317">
        <v>271301</v>
      </c>
      <c r="M50" s="317"/>
      <c r="N50" s="317">
        <f>J50-L50-M50</f>
        <v>49433</v>
      </c>
      <c r="P50" s="317"/>
      <c r="Q50" s="317"/>
      <c r="S50" s="319"/>
      <c r="U50" s="319"/>
      <c r="W50" s="319"/>
      <c r="Y50" s="319"/>
      <c r="AA50" s="319"/>
      <c r="AC50" s="319"/>
      <c r="AE50" s="319"/>
      <c r="AG50" s="319"/>
      <c r="AI50" s="319"/>
      <c r="AK50" s="319"/>
    </row>
    <row r="51" spans="1:37" ht="12.75" hidden="1">
      <c r="A51" s="318">
        <v>7</v>
      </c>
      <c r="B51" s="322">
        <v>2006</v>
      </c>
      <c r="C51" s="319">
        <v>2853659</v>
      </c>
      <c r="D51" s="319">
        <v>773510</v>
      </c>
      <c r="E51" s="319">
        <v>1436548</v>
      </c>
      <c r="F51" s="320">
        <v>181878</v>
      </c>
      <c r="G51" s="319">
        <v>157609</v>
      </c>
      <c r="H51" s="319">
        <v>304114</v>
      </c>
      <c r="I51" s="319">
        <v>-84357</v>
      </c>
      <c r="J51" s="319">
        <v>537237</v>
      </c>
      <c r="K51" s="319"/>
      <c r="L51" s="317">
        <v>261276</v>
      </c>
      <c r="N51" s="317">
        <f t="shared" si="0"/>
        <v>275961</v>
      </c>
      <c r="P51" s="317"/>
      <c r="Q51" s="317"/>
      <c r="S51" s="319"/>
      <c r="U51" s="319"/>
      <c r="W51" s="319"/>
      <c r="Y51" s="319"/>
      <c r="AA51" s="319"/>
      <c r="AC51" s="319"/>
      <c r="AE51" s="319"/>
      <c r="AG51" s="319"/>
      <c r="AI51" s="319"/>
      <c r="AK51" s="319"/>
    </row>
    <row r="52" spans="1:37" ht="12.75" hidden="1">
      <c r="A52" s="318">
        <v>8</v>
      </c>
      <c r="B52" s="322">
        <f>B51+1</f>
        <v>2007</v>
      </c>
      <c r="C52" s="319">
        <v>2657891</v>
      </c>
      <c r="D52" s="319">
        <v>818494</v>
      </c>
      <c r="E52" s="319">
        <v>1361837</v>
      </c>
      <c r="F52" s="320">
        <v>176204</v>
      </c>
      <c r="G52" s="319">
        <v>145516</v>
      </c>
      <c r="H52" s="319">
        <v>155840</v>
      </c>
      <c r="I52" s="319">
        <v>133875</v>
      </c>
      <c r="J52" s="319">
        <v>289715</v>
      </c>
      <c r="K52" s="319"/>
      <c r="L52" s="317">
        <v>246300</v>
      </c>
      <c r="M52" s="317"/>
      <c r="N52" s="317">
        <f t="shared" si="0"/>
        <v>43415</v>
      </c>
      <c r="P52" s="317"/>
      <c r="Q52" s="317"/>
      <c r="S52" s="319"/>
      <c r="U52" s="319"/>
      <c r="W52" s="319"/>
      <c r="Y52" s="319"/>
      <c r="AA52" s="319"/>
      <c r="AC52" s="319"/>
      <c r="AE52" s="319"/>
      <c r="AG52" s="319"/>
      <c r="AI52" s="319"/>
      <c r="AK52" s="319"/>
    </row>
    <row r="53" spans="1:37" ht="12.75" hidden="1">
      <c r="A53" s="318">
        <v>9</v>
      </c>
      <c r="B53" s="322">
        <f>B52+1</f>
        <v>2008</v>
      </c>
      <c r="C53" s="319">
        <v>2383688</v>
      </c>
      <c r="D53" s="319">
        <v>802849</v>
      </c>
      <c r="E53" s="319">
        <v>1224722</v>
      </c>
      <c r="F53" s="320">
        <v>183466</v>
      </c>
      <c r="G53" s="319">
        <v>142746</v>
      </c>
      <c r="H53" s="319">
        <v>29905</v>
      </c>
      <c r="I53" s="319">
        <v>28438</v>
      </c>
      <c r="J53" s="319">
        <v>195087</v>
      </c>
      <c r="K53" s="319"/>
      <c r="L53" s="317">
        <v>277483</v>
      </c>
      <c r="M53" s="297">
        <v>2950</v>
      </c>
      <c r="N53" s="317">
        <f t="shared" si="0"/>
        <v>-85346</v>
      </c>
      <c r="P53" s="317"/>
      <c r="Q53" s="317"/>
      <c r="S53" s="319"/>
      <c r="U53" s="319"/>
      <c r="W53" s="319"/>
      <c r="Y53" s="319"/>
      <c r="AA53" s="319"/>
      <c r="AC53" s="319"/>
      <c r="AE53" s="319"/>
      <c r="AG53" s="319"/>
      <c r="AI53" s="319"/>
      <c r="AK53" s="319"/>
    </row>
    <row r="54" spans="1:37" ht="12.75" hidden="1">
      <c r="A54" s="318">
        <v>10</v>
      </c>
      <c r="B54" s="322">
        <f>B53+1</f>
        <v>2009</v>
      </c>
      <c r="C54" s="319">
        <v>2234695</v>
      </c>
      <c r="D54" s="319">
        <v>871705</v>
      </c>
      <c r="E54" s="319">
        <v>1265997</v>
      </c>
      <c r="F54" s="320">
        <v>180788</v>
      </c>
      <c r="G54" s="319">
        <v>151508</v>
      </c>
      <c r="H54" s="319">
        <v>-235303</v>
      </c>
      <c r="I54" s="319">
        <v>166189</v>
      </c>
      <c r="J54" s="319">
        <v>-69114</v>
      </c>
      <c r="K54" s="319"/>
      <c r="L54" s="317">
        <v>219360</v>
      </c>
      <c r="M54" s="317"/>
      <c r="N54" s="317">
        <f t="shared" si="0"/>
        <v>-288474</v>
      </c>
      <c r="P54" s="317"/>
      <c r="Q54" s="317"/>
      <c r="S54" s="319"/>
      <c r="U54" s="319"/>
      <c r="W54" s="319"/>
      <c r="Y54" s="319"/>
      <c r="AA54" s="319"/>
      <c r="AC54" s="319"/>
      <c r="AE54" s="319"/>
      <c r="AG54" s="319"/>
      <c r="AI54" s="319"/>
      <c r="AK54" s="319"/>
    </row>
    <row r="55" spans="1:37" ht="12.75" hidden="1">
      <c r="A55" s="318">
        <v>11</v>
      </c>
      <c r="B55" s="326">
        <v>2010</v>
      </c>
      <c r="C55" s="319">
        <v>2385607</v>
      </c>
      <c r="D55" s="319">
        <v>883540</v>
      </c>
      <c r="E55" s="319">
        <v>1393796</v>
      </c>
      <c r="F55" s="320">
        <v>184989</v>
      </c>
      <c r="G55" s="319">
        <v>176928</v>
      </c>
      <c r="H55" s="319">
        <v>-253646</v>
      </c>
      <c r="I55" s="319">
        <v>120913</v>
      </c>
      <c r="J55" s="319">
        <v>-132733</v>
      </c>
      <c r="K55" s="319"/>
      <c r="L55" s="317">
        <v>244673</v>
      </c>
      <c r="M55" s="317"/>
      <c r="N55" s="317">
        <f t="shared" si="0"/>
        <v>-377406</v>
      </c>
      <c r="P55" s="317"/>
      <c r="Q55" s="317"/>
      <c r="S55" s="319"/>
      <c r="U55" s="319"/>
      <c r="W55" s="319"/>
      <c r="Y55" s="319"/>
      <c r="AA55" s="319"/>
      <c r="AC55" s="319"/>
      <c r="AE55" s="319"/>
      <c r="AG55" s="319"/>
      <c r="AI55" s="319"/>
      <c r="AK55" s="319"/>
    </row>
    <row r="56" spans="1:37" ht="12.75" hidden="1">
      <c r="A56" s="318">
        <v>12</v>
      </c>
      <c r="B56" s="326">
        <v>2011</v>
      </c>
      <c r="C56" s="319">
        <v>2619038</v>
      </c>
      <c r="D56" s="319">
        <v>934466</v>
      </c>
      <c r="E56" s="319">
        <v>1283304</v>
      </c>
      <c r="F56" s="320">
        <v>201106</v>
      </c>
      <c r="G56" s="319">
        <v>182860</v>
      </c>
      <c r="H56" s="319">
        <v>17302</v>
      </c>
      <c r="I56" s="319">
        <v>155354</v>
      </c>
      <c r="J56" s="319">
        <v>169132</v>
      </c>
      <c r="K56" s="319"/>
      <c r="L56" s="317">
        <v>162163</v>
      </c>
      <c r="M56" s="317"/>
      <c r="N56" s="317">
        <f t="shared" si="0"/>
        <v>6969</v>
      </c>
      <c r="P56" s="317"/>
      <c r="Q56" s="317"/>
      <c r="S56" s="319"/>
      <c r="U56" s="319"/>
      <c r="W56" s="319"/>
      <c r="Y56" s="319"/>
      <c r="AA56" s="319"/>
      <c r="AC56" s="319"/>
      <c r="AE56" s="319"/>
      <c r="AG56" s="319"/>
      <c r="AI56" s="319"/>
      <c r="AK56" s="319"/>
    </row>
    <row r="57" spans="1:37" ht="12.75" hidden="1">
      <c r="A57" s="318">
        <v>13</v>
      </c>
      <c r="B57" s="326">
        <v>2012</v>
      </c>
      <c r="C57" s="319">
        <v>2631334</v>
      </c>
      <c r="D57" s="319">
        <v>962711</v>
      </c>
      <c r="E57" s="319">
        <v>1260404</v>
      </c>
      <c r="F57" s="320">
        <v>199286</v>
      </c>
      <c r="G57" s="319">
        <v>169748</v>
      </c>
      <c r="H57" s="319">
        <v>39185</v>
      </c>
      <c r="I57" s="319">
        <v>153534</v>
      </c>
      <c r="J57" s="319">
        <v>174395</v>
      </c>
      <c r="K57" s="319"/>
      <c r="L57" s="317">
        <v>193000</v>
      </c>
      <c r="M57" s="317">
        <v>1182</v>
      </c>
      <c r="N57" s="317">
        <f t="shared" si="0"/>
        <v>-19787</v>
      </c>
      <c r="P57" s="317"/>
      <c r="Q57" s="317"/>
      <c r="S57" s="319"/>
      <c r="U57" s="319"/>
      <c r="W57" s="319"/>
      <c r="Y57" s="319"/>
      <c r="AA57" s="319"/>
      <c r="AC57" s="319"/>
      <c r="AE57" s="319"/>
      <c r="AG57" s="319"/>
      <c r="AI57" s="319"/>
      <c r="AK57" s="319"/>
    </row>
    <row r="58" spans="1:37" ht="12.75" hidden="1">
      <c r="A58" s="318">
        <v>14</v>
      </c>
      <c r="B58" s="326">
        <v>2013</v>
      </c>
      <c r="C58" s="319">
        <v>2647095</v>
      </c>
      <c r="D58" s="319">
        <v>1011463</v>
      </c>
      <c r="E58" s="319">
        <v>1260527</v>
      </c>
      <c r="F58" s="320">
        <v>218103</v>
      </c>
      <c r="G58" s="319">
        <v>207798</v>
      </c>
      <c r="H58" s="319">
        <v>-50796</v>
      </c>
      <c r="I58" s="319">
        <v>164704</v>
      </c>
      <c r="J58" s="319">
        <v>110384</v>
      </c>
      <c r="K58" s="319"/>
      <c r="L58" s="317">
        <v>122799</v>
      </c>
      <c r="M58" s="317">
        <v>58823</v>
      </c>
      <c r="N58" s="317">
        <f t="shared" si="0"/>
        <v>-71238</v>
      </c>
      <c r="P58" s="317"/>
      <c r="Q58" s="317"/>
      <c r="S58" s="319"/>
      <c r="U58" s="319"/>
      <c r="W58" s="319"/>
      <c r="Y58" s="319"/>
      <c r="AA58" s="319"/>
      <c r="AC58" s="319"/>
      <c r="AE58" s="319"/>
      <c r="AG58" s="319"/>
      <c r="AI58" s="319"/>
      <c r="AK58" s="319"/>
    </row>
    <row r="59" spans="1:37" ht="15" customHeight="1" hidden="1">
      <c r="A59" s="318">
        <v>15</v>
      </c>
      <c r="B59" s="326">
        <v>2014</v>
      </c>
      <c r="C59" s="320">
        <v>2810919.3256600006</v>
      </c>
      <c r="D59" s="320">
        <v>1017269.02247</v>
      </c>
      <c r="E59" s="320">
        <v>896127.2825199999</v>
      </c>
      <c r="F59" s="320">
        <v>227267.03862</v>
      </c>
      <c r="G59" s="320">
        <v>196360.94574</v>
      </c>
      <c r="H59" s="320">
        <v>473895.0363100007</v>
      </c>
      <c r="I59" s="320">
        <v>-187952.17230999962</v>
      </c>
      <c r="J59" s="320">
        <f>596116.349243836-93389</f>
        <v>502727.349243836</v>
      </c>
      <c r="K59" s="320"/>
      <c r="L59" s="327">
        <v>462575</v>
      </c>
      <c r="M59" s="327">
        <v>52546.864</v>
      </c>
      <c r="N59" s="317">
        <f t="shared" si="0"/>
        <v>-12394.51475616399</v>
      </c>
      <c r="P59" s="317"/>
      <c r="Q59" s="317"/>
      <c r="S59" s="319"/>
      <c r="U59" s="319"/>
      <c r="W59" s="319"/>
      <c r="Y59" s="319"/>
      <c r="AA59" s="319"/>
      <c r="AC59" s="319"/>
      <c r="AE59" s="319"/>
      <c r="AG59" s="319"/>
      <c r="AI59" s="319"/>
      <c r="AK59" s="319"/>
    </row>
    <row r="60" spans="1:37" ht="12.75" hidden="1">
      <c r="A60" s="318">
        <v>2</v>
      </c>
      <c r="B60" s="326"/>
      <c r="C60" s="320"/>
      <c r="D60" s="320"/>
      <c r="E60" s="320"/>
      <c r="F60" s="320"/>
      <c r="G60" s="320"/>
      <c r="H60" s="320"/>
      <c r="I60" s="320"/>
      <c r="J60" s="320"/>
      <c r="K60" s="320"/>
      <c r="L60" s="327"/>
      <c r="M60" s="327"/>
      <c r="N60" s="328"/>
      <c r="P60" s="317"/>
      <c r="S60" s="319"/>
      <c r="U60" s="319"/>
      <c r="W60" s="319"/>
      <c r="Y60" s="319"/>
      <c r="AA60" s="319"/>
      <c r="AC60" s="319"/>
      <c r="AE60" s="319"/>
      <c r="AG60" s="319"/>
      <c r="AI60" s="319"/>
      <c r="AK60" s="319"/>
    </row>
    <row r="61" spans="1:37" ht="12.75" hidden="1">
      <c r="A61" s="318">
        <v>3</v>
      </c>
      <c r="B61" s="376" t="s">
        <v>330</v>
      </c>
      <c r="C61" s="320"/>
      <c r="D61" s="320"/>
      <c r="E61" s="320"/>
      <c r="F61" s="320"/>
      <c r="G61" s="320"/>
      <c r="H61" s="320"/>
      <c r="I61" s="320"/>
      <c r="J61" s="320"/>
      <c r="K61" s="320"/>
      <c r="L61" s="327"/>
      <c r="M61" s="327"/>
      <c r="N61" s="328"/>
      <c r="P61" s="317"/>
      <c r="S61" s="319"/>
      <c r="U61" s="319"/>
      <c r="W61" s="319"/>
      <c r="Y61" s="319"/>
      <c r="AA61" s="319"/>
      <c r="AC61" s="319"/>
      <c r="AE61" s="319"/>
      <c r="AG61" s="319"/>
      <c r="AI61" s="319"/>
      <c r="AK61" s="319"/>
    </row>
    <row r="62" spans="1:37" ht="12.75" hidden="1">
      <c r="A62" s="318">
        <v>4</v>
      </c>
      <c r="B62" s="322">
        <v>2015</v>
      </c>
      <c r="C62" s="320">
        <v>2588858.2325999998</v>
      </c>
      <c r="D62" s="320">
        <v>1009924.4493000001</v>
      </c>
      <c r="E62" s="320">
        <v>841782.4264300001</v>
      </c>
      <c r="F62" s="320">
        <v>224188.22295</v>
      </c>
      <c r="G62" s="320">
        <v>185925.42388000002</v>
      </c>
      <c r="H62" s="320">
        <v>327037.7100399997</v>
      </c>
      <c r="I62" s="320">
        <v>192292.23895</v>
      </c>
      <c r="J62" s="320">
        <v>585597.9489899997</v>
      </c>
      <c r="K62" s="320"/>
      <c r="L62" s="327">
        <v>402532</v>
      </c>
      <c r="M62" s="327">
        <v>61066</v>
      </c>
      <c r="N62" s="328">
        <v>121999.94898999971</v>
      </c>
      <c r="O62" s="297">
        <v>236000</v>
      </c>
      <c r="S62" s="319"/>
      <c r="U62" s="319"/>
      <c r="W62" s="319"/>
      <c r="Y62" s="319"/>
      <c r="AA62" s="319"/>
      <c r="AC62" s="319"/>
      <c r="AE62" s="319"/>
      <c r="AG62" s="319"/>
      <c r="AI62" s="319"/>
      <c r="AK62" s="319"/>
    </row>
    <row r="63" spans="1:37" ht="12.75" hidden="1">
      <c r="A63" s="318">
        <v>5</v>
      </c>
      <c r="B63" s="326">
        <v>2016</v>
      </c>
      <c r="C63" s="320">
        <v>2600726</v>
      </c>
      <c r="D63" s="320">
        <v>1140373.60079</v>
      </c>
      <c r="E63" s="320">
        <v>864697.80755</v>
      </c>
      <c r="F63" s="320">
        <v>222551.42</v>
      </c>
      <c r="G63" s="320">
        <v>185925.42388000002</v>
      </c>
      <c r="H63" s="320">
        <v>187177.74777999986</v>
      </c>
      <c r="I63" s="320">
        <v>690354.0672200001</v>
      </c>
      <c r="J63" s="320">
        <f>+H63+I63</f>
        <v>877531.815</v>
      </c>
      <c r="K63" s="320"/>
      <c r="L63" s="327">
        <v>1053348</v>
      </c>
      <c r="M63" s="327">
        <v>60183.815</v>
      </c>
      <c r="N63" s="328">
        <f>+J63-L63-M63</f>
        <v>-236000.00000000006</v>
      </c>
      <c r="O63" s="329">
        <f>+J63-L63-M63</f>
        <v>-236000.00000000006</v>
      </c>
      <c r="Q63" s="330"/>
      <c r="S63" s="319"/>
      <c r="U63" s="319"/>
      <c r="W63" s="319"/>
      <c r="Y63" s="319"/>
      <c r="Z63" s="292">
        <v>770.9965842947786</v>
      </c>
      <c r="AA63" s="319"/>
      <c r="AC63" s="319"/>
      <c r="AE63" s="319"/>
      <c r="AG63" s="319"/>
      <c r="AI63" s="319"/>
      <c r="AK63" s="319"/>
    </row>
    <row r="64" spans="1:37" ht="12.75" hidden="1">
      <c r="A64" s="318">
        <v>6</v>
      </c>
      <c r="B64" s="326">
        <v>2017</v>
      </c>
      <c r="C64" s="320">
        <v>2721171.2600899995</v>
      </c>
      <c r="D64" s="320">
        <v>1171666.3228799999</v>
      </c>
      <c r="E64" s="320">
        <v>947790.0916499998</v>
      </c>
      <c r="F64" s="320">
        <v>224046.84852</v>
      </c>
      <c r="G64" s="320">
        <v>121677.76638000002</v>
      </c>
      <c r="H64" s="320">
        <v>255990.2306599998</v>
      </c>
      <c r="I64" s="320">
        <v>190578.78852</v>
      </c>
      <c r="J64" s="320">
        <v>794123.0191799998</v>
      </c>
      <c r="K64" s="320"/>
      <c r="L64" s="327">
        <v>796641</v>
      </c>
      <c r="M64" s="328">
        <v>50768.851</v>
      </c>
      <c r="N64" s="328">
        <v>-53286.831820000174</v>
      </c>
      <c r="O64" s="329">
        <f>+J64-L64-M64</f>
        <v>-53286.831820000174</v>
      </c>
      <c r="S64" s="319"/>
      <c r="U64" s="319"/>
      <c r="W64" s="319"/>
      <c r="Y64" s="319"/>
      <c r="AA64" s="319"/>
      <c r="AC64" s="319"/>
      <c r="AE64" s="319"/>
      <c r="AG64" s="319"/>
      <c r="AI64" s="319"/>
      <c r="AK64" s="319"/>
    </row>
    <row r="65" spans="2:37" ht="12.75" hidden="1">
      <c r="B65" s="326"/>
      <c r="C65" s="320"/>
      <c r="D65" s="320"/>
      <c r="E65" s="320"/>
      <c r="F65" s="320"/>
      <c r="G65" s="320"/>
      <c r="H65" s="320"/>
      <c r="I65" s="320"/>
      <c r="J65" s="320"/>
      <c r="K65" s="320"/>
      <c r="L65" s="327"/>
      <c r="M65" s="328"/>
      <c r="N65" s="328"/>
      <c r="O65" s="329"/>
      <c r="S65" s="319"/>
      <c r="U65" s="319"/>
      <c r="W65" s="319"/>
      <c r="Y65" s="319"/>
      <c r="AA65" s="319"/>
      <c r="AC65" s="319"/>
      <c r="AE65" s="319"/>
      <c r="AG65" s="319"/>
      <c r="AI65" s="319"/>
      <c r="AK65" s="319"/>
    </row>
    <row r="66" spans="1:37" ht="12.75">
      <c r="A66" s="318">
        <v>1</v>
      </c>
      <c r="B66" s="326">
        <v>2017</v>
      </c>
      <c r="C66" s="320">
        <f>SUM(C17:C64)</f>
        <v>93566685.81835</v>
      </c>
      <c r="D66" s="320">
        <f aca="true" t="shared" si="1" ref="D66:N66">SUM(D17:D64)</f>
        <v>22293538.39544</v>
      </c>
      <c r="E66" s="320">
        <f t="shared" si="1"/>
        <v>54914505.60815</v>
      </c>
      <c r="F66" s="320">
        <f t="shared" si="1"/>
        <v>6394200.5300900005</v>
      </c>
      <c r="G66" s="320">
        <f t="shared" si="1"/>
        <v>8030072.55988</v>
      </c>
      <c r="H66" s="320">
        <f t="shared" si="1"/>
        <v>1934368.7247900004</v>
      </c>
      <c r="I66" s="320">
        <f t="shared" si="1"/>
        <v>5323561.922380001</v>
      </c>
      <c r="J66" s="320">
        <f t="shared" si="1"/>
        <v>8222501.132413836</v>
      </c>
      <c r="K66" s="320"/>
      <c r="L66" s="320">
        <f t="shared" si="1"/>
        <v>7774328</v>
      </c>
      <c r="M66" s="320">
        <f t="shared" si="1"/>
        <v>329962.53</v>
      </c>
      <c r="N66" s="320">
        <f t="shared" si="1"/>
        <v>118210.6024138355</v>
      </c>
      <c r="O66" s="329"/>
      <c r="S66" s="319"/>
      <c r="U66" s="319"/>
      <c r="W66" s="319"/>
      <c r="Y66" s="319"/>
      <c r="AA66" s="319"/>
      <c r="AC66" s="319"/>
      <c r="AE66" s="319"/>
      <c r="AG66" s="319"/>
      <c r="AI66" s="319"/>
      <c r="AK66" s="319"/>
    </row>
    <row r="67" spans="1:37" ht="12.75">
      <c r="A67" s="318">
        <v>2</v>
      </c>
      <c r="B67" s="418" t="s">
        <v>330</v>
      </c>
      <c r="C67" s="320"/>
      <c r="D67" s="320"/>
      <c r="E67" s="320"/>
      <c r="F67" s="320"/>
      <c r="G67" s="320"/>
      <c r="H67" s="320"/>
      <c r="I67" s="320"/>
      <c r="J67" s="320"/>
      <c r="K67" s="320"/>
      <c r="L67" s="327"/>
      <c r="M67" s="328"/>
      <c r="N67" s="328"/>
      <c r="O67" s="329"/>
      <c r="S67" s="319"/>
      <c r="U67" s="319"/>
      <c r="W67" s="319"/>
      <c r="Y67" s="319"/>
      <c r="AA67" s="319"/>
      <c r="AC67" s="319"/>
      <c r="AE67" s="319"/>
      <c r="AG67" s="319"/>
      <c r="AI67" s="319"/>
      <c r="AK67" s="319"/>
    </row>
    <row r="68" spans="1:37" ht="12.75">
      <c r="A68" s="318">
        <v>3</v>
      </c>
      <c r="B68" s="322">
        <v>2018</v>
      </c>
      <c r="C68" s="320">
        <v>2862774</v>
      </c>
      <c r="D68" s="319">
        <f>+'Statement E'!G42</f>
        <v>1117823.1373400004</v>
      </c>
      <c r="E68" s="319">
        <f>+'Statement E'!G23</f>
        <v>683250.5065</v>
      </c>
      <c r="F68" s="320">
        <v>221031</v>
      </c>
      <c r="G68" s="320">
        <v>73686</v>
      </c>
      <c r="H68" s="320">
        <f>+C68-D68-E68-F68-G68</f>
        <v>766983.3561599995</v>
      </c>
      <c r="I68" s="320">
        <v>221031</v>
      </c>
      <c r="J68" s="320">
        <f>305373.808-9521</f>
        <v>295852.808</v>
      </c>
      <c r="K68" s="320">
        <v>0</v>
      </c>
      <c r="L68" s="327">
        <v>388138</v>
      </c>
      <c r="M68" s="327">
        <f>+'Inputs for Evans Tables'!J5</f>
        <v>13209.984</v>
      </c>
      <c r="N68" s="328">
        <f>J68-L68-M68</f>
        <v>-105495.17599999998</v>
      </c>
      <c r="O68" s="329"/>
      <c r="Q68" s="331"/>
      <c r="S68" s="319"/>
      <c r="U68" s="319"/>
      <c r="W68" s="319"/>
      <c r="Y68" s="319"/>
      <c r="AA68" s="319"/>
      <c r="AC68" s="319"/>
      <c r="AE68" s="319"/>
      <c r="AG68" s="319"/>
      <c r="AI68" s="319"/>
      <c r="AK68" s="319"/>
    </row>
    <row r="69" spans="1:37" ht="12.75">
      <c r="A69" s="318">
        <v>4</v>
      </c>
      <c r="B69" s="322">
        <v>2019</v>
      </c>
      <c r="C69" s="320">
        <v>2817848.19067</v>
      </c>
      <c r="D69" s="319">
        <v>1129514.4084400001</v>
      </c>
      <c r="E69" s="319">
        <v>1139849.6848199998</v>
      </c>
      <c r="F69" s="320">
        <v>225210.77425</v>
      </c>
      <c r="G69" s="320">
        <v>65484.27381000001</v>
      </c>
      <c r="H69" s="320">
        <v>257789.0493499999</v>
      </c>
      <c r="I69" s="320">
        <v>222644.7742</v>
      </c>
      <c r="J69" s="320">
        <v>810433.8235499999</v>
      </c>
      <c r="K69" s="320">
        <v>141088</v>
      </c>
      <c r="L69" s="327">
        <v>422705.707</v>
      </c>
      <c r="M69" s="327">
        <v>56573</v>
      </c>
      <c r="N69" s="328">
        <v>190067.2717</v>
      </c>
      <c r="O69" s="329"/>
      <c r="Q69" s="331"/>
      <c r="S69" s="319"/>
      <c r="U69" s="319"/>
      <c r="W69" s="319"/>
      <c r="Y69" s="319"/>
      <c r="AA69" s="319"/>
      <c r="AC69" s="319"/>
      <c r="AE69" s="319"/>
      <c r="AG69" s="319"/>
      <c r="AI69" s="319"/>
      <c r="AK69" s="319"/>
    </row>
    <row r="70" spans="1:37" ht="12.75">
      <c r="A70" s="318">
        <v>5</v>
      </c>
      <c r="B70" s="322">
        <v>2020</v>
      </c>
      <c r="C70" s="320">
        <v>2814257.0160700004</v>
      </c>
      <c r="D70" s="319">
        <v>1117823.1373400004</v>
      </c>
      <c r="E70" s="319">
        <v>683250.5065</v>
      </c>
      <c r="F70" s="320">
        <v>478985.49648000003</v>
      </c>
      <c r="G70" s="320">
        <v>279085.11825</v>
      </c>
      <c r="H70" s="320">
        <v>255112.7574999999</v>
      </c>
      <c r="I70" s="320">
        <v>447520.2425000001</v>
      </c>
      <c r="J70" s="320">
        <v>702633</v>
      </c>
      <c r="K70" s="320">
        <v>274610</v>
      </c>
      <c r="L70" s="327">
        <v>171410</v>
      </c>
      <c r="M70" s="327">
        <v>24129</v>
      </c>
      <c r="N70" s="328">
        <v>232483.7283</v>
      </c>
      <c r="O70" s="329"/>
      <c r="Q70" s="331"/>
      <c r="S70" s="319"/>
      <c r="U70" s="319"/>
      <c r="W70" s="319"/>
      <c r="Y70" s="319"/>
      <c r="AA70" s="319"/>
      <c r="AC70" s="319"/>
      <c r="AE70" s="319"/>
      <c r="AG70" s="319"/>
      <c r="AI70" s="319"/>
      <c r="AK70" s="319"/>
    </row>
    <row r="71" spans="1:37" ht="13.5" customHeight="1">
      <c r="A71" s="318">
        <v>6</v>
      </c>
      <c r="B71" s="322">
        <v>2021</v>
      </c>
      <c r="C71" s="320">
        <v>2933198</v>
      </c>
      <c r="D71" s="320">
        <f>+'Statement E'!H42</f>
        <v>1132497.64219</v>
      </c>
      <c r="E71" s="320">
        <f>+'Statement E'!H23</f>
        <v>854827.2483</v>
      </c>
      <c r="F71" s="320">
        <v>488363.00966000004</v>
      </c>
      <c r="G71" s="320">
        <v>59831.395560000004</v>
      </c>
      <c r="H71" s="320">
        <f>+C71-D71-E71-F71-G71</f>
        <v>397678.7042899999</v>
      </c>
      <c r="I71" s="320">
        <v>262017.29571000003</v>
      </c>
      <c r="J71" s="320">
        <f>+H71+I71</f>
        <v>659696</v>
      </c>
      <c r="K71" s="320">
        <v>104905</v>
      </c>
      <c r="L71" s="327">
        <v>519000</v>
      </c>
      <c r="M71" s="327">
        <v>22112</v>
      </c>
      <c r="N71" s="328">
        <f>+J71-K71-L71-M71</f>
        <v>13679</v>
      </c>
      <c r="O71" s="329"/>
      <c r="P71" s="330"/>
      <c r="Q71" s="331"/>
      <c r="S71" s="319"/>
      <c r="U71" s="319"/>
      <c r="W71" s="319"/>
      <c r="Y71" s="319"/>
      <c r="AA71" s="319"/>
      <c r="AC71" s="319"/>
      <c r="AE71" s="319"/>
      <c r="AG71" s="319"/>
      <c r="AI71" s="319"/>
      <c r="AK71" s="319"/>
    </row>
    <row r="72" spans="1:37" ht="12.75">
      <c r="A72" s="318">
        <v>7</v>
      </c>
      <c r="B72" s="322">
        <v>2022</v>
      </c>
      <c r="C72" s="319">
        <v>3701138.37396</v>
      </c>
      <c r="D72" s="320">
        <f>+'Statement E'!I42</f>
        <v>1175087.07239</v>
      </c>
      <c r="E72" s="320">
        <f>+'Statement E'!I23</f>
        <v>946728.78016</v>
      </c>
      <c r="F72" s="320">
        <v>502246.698289</v>
      </c>
      <c r="G72" s="319">
        <v>218283.05201999997</v>
      </c>
      <c r="H72" s="319">
        <f>C72-D72-E72-F72-G72</f>
        <v>858792.7711010001</v>
      </c>
      <c r="I72" s="333">
        <v>541014.228899</v>
      </c>
      <c r="J72" s="320">
        <f>H72+I72</f>
        <v>1399807</v>
      </c>
      <c r="K72" s="320">
        <v>108065</v>
      </c>
      <c r="L72" s="327">
        <v>479300</v>
      </c>
      <c r="M72" s="327">
        <v>17064</v>
      </c>
      <c r="N72" s="334">
        <f>J72-K72-L72-M72</f>
        <v>795378</v>
      </c>
      <c r="O72" s="329"/>
      <c r="P72" s="330"/>
      <c r="S72" s="319"/>
      <c r="U72" s="319"/>
      <c r="W72" s="319"/>
      <c r="Y72" s="319"/>
      <c r="AA72" s="319"/>
      <c r="AC72" s="319"/>
      <c r="AE72" s="319"/>
      <c r="AG72" s="319"/>
      <c r="AI72" s="319"/>
      <c r="AK72" s="319"/>
    </row>
    <row r="73" spans="1:37" ht="12.75">
      <c r="A73" s="318">
        <v>8</v>
      </c>
      <c r="B73" s="322" t="s">
        <v>552</v>
      </c>
      <c r="C73" s="319"/>
      <c r="D73" s="320"/>
      <c r="E73" s="320"/>
      <c r="F73" s="320"/>
      <c r="G73" s="319"/>
      <c r="H73" s="319"/>
      <c r="I73" s="333"/>
      <c r="J73" s="320"/>
      <c r="K73" s="320"/>
      <c r="L73" s="327"/>
      <c r="M73" s="327"/>
      <c r="N73" s="334"/>
      <c r="O73" s="335"/>
      <c r="S73" s="319"/>
      <c r="U73" s="319"/>
      <c r="W73" s="319"/>
      <c r="Y73" s="319"/>
      <c r="AA73" s="319"/>
      <c r="AC73" s="319"/>
      <c r="AE73" s="319"/>
      <c r="AG73" s="319"/>
      <c r="AI73" s="319"/>
      <c r="AK73" s="319"/>
    </row>
    <row r="74" spans="1:37" ht="12.75">
      <c r="A74" s="318">
        <v>9</v>
      </c>
      <c r="B74" s="322" t="s">
        <v>553</v>
      </c>
      <c r="C74" s="319"/>
      <c r="D74" s="320"/>
      <c r="E74" s="320"/>
      <c r="F74" s="320"/>
      <c r="G74" s="319"/>
      <c r="H74" s="319"/>
      <c r="I74" s="333"/>
      <c r="J74" s="320"/>
      <c r="K74" s="320"/>
      <c r="L74" s="327"/>
      <c r="M74" s="327"/>
      <c r="N74" s="334"/>
      <c r="O74" s="335"/>
      <c r="S74" s="319"/>
      <c r="U74" s="319"/>
      <c r="W74" s="319"/>
      <c r="Y74" s="319"/>
      <c r="AA74" s="319"/>
      <c r="AC74" s="319"/>
      <c r="AE74" s="319"/>
      <c r="AG74" s="319"/>
      <c r="AI74" s="319"/>
      <c r="AK74" s="319"/>
    </row>
    <row r="75" spans="1:37" s="294" customFormat="1" ht="12.75">
      <c r="A75" s="343">
        <v>10</v>
      </c>
      <c r="B75" s="424">
        <v>2023</v>
      </c>
      <c r="C75" s="320">
        <v>2756984.039138802</v>
      </c>
      <c r="D75" s="320">
        <v>1224490.9160799996</v>
      </c>
      <c r="E75" s="320">
        <v>707257.1039300001</v>
      </c>
      <c r="F75" s="320">
        <v>499836.9197733613</v>
      </c>
      <c r="G75" s="320">
        <v>227911.81223432207</v>
      </c>
      <c r="H75" s="320">
        <v>97487.28712111874</v>
      </c>
      <c r="I75" s="333">
        <v>454430.840111273</v>
      </c>
      <c r="J75" s="320">
        <v>558918.1272323917</v>
      </c>
      <c r="K75" s="320">
        <v>21111.400000000005</v>
      </c>
      <c r="L75" s="327">
        <v>525000</v>
      </c>
      <c r="M75" s="327">
        <v>12762.085</v>
      </c>
      <c r="N75" s="334">
        <v>44.64223239171406</v>
      </c>
      <c r="O75" s="295"/>
      <c r="P75" s="295"/>
      <c r="Q75" s="327"/>
      <c r="S75" s="320"/>
      <c r="U75" s="320"/>
      <c r="W75" s="320"/>
      <c r="Y75" s="320"/>
      <c r="AA75" s="320"/>
      <c r="AC75" s="320"/>
      <c r="AE75" s="320"/>
      <c r="AG75" s="320"/>
      <c r="AI75" s="320"/>
      <c r="AK75" s="320"/>
    </row>
    <row r="76" spans="1:37" ht="12.75">
      <c r="A76" s="318">
        <v>11</v>
      </c>
      <c r="B76" s="322" t="s">
        <v>554</v>
      </c>
      <c r="C76" s="319"/>
      <c r="D76" s="320"/>
      <c r="E76" s="320"/>
      <c r="F76" s="320"/>
      <c r="G76" s="319"/>
      <c r="H76" s="319"/>
      <c r="I76" s="336"/>
      <c r="J76" s="319"/>
      <c r="K76" s="319"/>
      <c r="L76" s="331"/>
      <c r="M76" s="331"/>
      <c r="N76" s="334"/>
      <c r="O76" s="422"/>
      <c r="P76" s="422"/>
      <c r="Q76" s="331"/>
      <c r="S76" s="319"/>
      <c r="U76" s="319"/>
      <c r="W76" s="319"/>
      <c r="Y76" s="319"/>
      <c r="AA76" s="319"/>
      <c r="AC76" s="319"/>
      <c r="AE76" s="319"/>
      <c r="AG76" s="319"/>
      <c r="AI76" s="319"/>
      <c r="AK76" s="319"/>
    </row>
    <row r="77" spans="1:37" ht="12.75">
      <c r="A77" s="318">
        <v>12</v>
      </c>
      <c r="B77" s="322" t="s">
        <v>553</v>
      </c>
      <c r="C77" s="319"/>
      <c r="D77" s="319"/>
      <c r="E77" s="319"/>
      <c r="F77" s="320"/>
      <c r="G77" s="319"/>
      <c r="H77" s="319"/>
      <c r="I77" s="319"/>
      <c r="J77" s="319"/>
      <c r="K77" s="319"/>
      <c r="L77" s="331"/>
      <c r="M77" s="331"/>
      <c r="N77" s="317"/>
      <c r="P77" s="331"/>
      <c r="Q77" s="331"/>
      <c r="S77" s="319"/>
      <c r="U77" s="319"/>
      <c r="W77" s="319"/>
      <c r="Y77" s="319"/>
      <c r="AA77" s="319"/>
      <c r="AC77" s="319"/>
      <c r="AE77" s="319"/>
      <c r="AG77" s="319"/>
      <c r="AI77" s="319"/>
      <c r="AK77" s="319"/>
    </row>
    <row r="78" spans="1:37" ht="12.75">
      <c r="A78" s="318">
        <v>13</v>
      </c>
      <c r="B78" s="322">
        <v>2024</v>
      </c>
      <c r="C78" s="319">
        <f>+'Revised Revenue Test'!E7</f>
        <v>3121402.3417528835</v>
      </c>
      <c r="D78" s="319">
        <f>+'Statement E'!K42</f>
        <v>1289069.13154</v>
      </c>
      <c r="E78" s="319">
        <f>+'Statement E'!K23</f>
        <v>811169.0229600001</v>
      </c>
      <c r="F78" s="320">
        <f>+'Revised Revenue Test'!E24+'Revised Revenue Test'!E25+'Revised Revenue Test'!E26</f>
        <v>492233.21625808446</v>
      </c>
      <c r="G78" s="319">
        <f>+'Statement D Table D-2'!M22</f>
        <v>202491.6565006995</v>
      </c>
      <c r="H78" s="319">
        <f>C78-D78-E78-F78-G78</f>
        <v>326439.31449409947</v>
      </c>
      <c r="I78" s="319">
        <f>F78+SUM('Revised Revenue Test'!$E$66,'Revised Revenue Test'!$E$69:$E$75)+'Revised Revenue Test'!E83+'Revised Revenue Test'!E86+'Revised Revenue Test'!E88</f>
        <v>340075.41309712717</v>
      </c>
      <c r="J78" s="319">
        <f>H78+I78</f>
        <v>666514.7275912266</v>
      </c>
      <c r="K78" s="331">
        <f>-'Revised Revenue Test'!E90</f>
        <v>27167.200000000008</v>
      </c>
      <c r="L78" s="331">
        <f>-'Revised Revenue Test'!E87-'Revised Revenue Test'!E89</f>
        <v>459999</v>
      </c>
      <c r="M78" s="331">
        <f>-'Revised Revenue Test'!E92</f>
        <v>8067</v>
      </c>
      <c r="N78" s="426">
        <f>J78-L78-M78-K78</f>
        <v>171281.52759122656</v>
      </c>
      <c r="P78" s="331"/>
      <c r="Q78" s="331"/>
      <c r="S78" s="319"/>
      <c r="U78" s="319"/>
      <c r="W78" s="319"/>
      <c r="Y78" s="319"/>
      <c r="AA78" s="319"/>
      <c r="AC78" s="319"/>
      <c r="AE78" s="319"/>
      <c r="AG78" s="319"/>
      <c r="AI78" s="319"/>
      <c r="AK78" s="319"/>
    </row>
    <row r="79" spans="1:37" ht="12.75">
      <c r="A79" s="318">
        <v>14</v>
      </c>
      <c r="B79" s="322">
        <v>2025</v>
      </c>
      <c r="C79" s="319">
        <f>+'Revised Revenue Test'!F7</f>
        <v>3167817.4043121454</v>
      </c>
      <c r="D79" s="319">
        <f>+'Statement E'!L42</f>
        <v>1303492.1349400003</v>
      </c>
      <c r="E79" s="319">
        <f>+'Statement E'!L23</f>
        <v>946534.15404</v>
      </c>
      <c r="F79" s="320">
        <f>+'Revised Revenue Test'!F24+'Revised Revenue Test'!F25+'Revised Revenue Test'!F26</f>
        <v>501464.59792169806</v>
      </c>
      <c r="G79" s="319">
        <f>+'Statement D Table D-2'!M23</f>
        <v>174169.89620979817</v>
      </c>
      <c r="H79" s="319">
        <f aca="true" t="shared" si="2" ref="H79:H82">C79-D79-E79-F79-G79</f>
        <v>242156.6212006489</v>
      </c>
      <c r="I79" s="319">
        <f>F79+SUM('Revised Revenue Test'!$F$66,'Revised Revenue Test'!$F$69:$F$75)+'Revised Revenue Test'!F83+'Revised Revenue Test'!F86+'Revised Revenue Test'!F88</f>
        <v>325771.7079644901</v>
      </c>
      <c r="J79" s="319">
        <f aca="true" t="shared" si="3" ref="J79">H79+I79</f>
        <v>567928.329165139</v>
      </c>
      <c r="K79" s="331">
        <f>-'Revised Revenue Test'!F90</f>
        <v>21092.85</v>
      </c>
      <c r="L79" s="331">
        <f>-'Revised Revenue Test'!F87-'Revised Revenue Test'!F89</f>
        <v>446000</v>
      </c>
      <c r="M79" s="331">
        <f>-'Revised Revenue Test'!F92</f>
        <v>14006</v>
      </c>
      <c r="N79" s="317">
        <f aca="true" t="shared" si="4" ref="N79:N131">J79-L79-M79-K79</f>
        <v>86829.479165139</v>
      </c>
      <c r="P79" s="331"/>
      <c r="Q79" s="331"/>
      <c r="S79" s="319"/>
      <c r="U79" s="319"/>
      <c r="W79" s="319"/>
      <c r="Y79" s="319"/>
      <c r="AA79" s="319"/>
      <c r="AC79" s="319"/>
      <c r="AE79" s="319"/>
      <c r="AG79" s="319"/>
      <c r="AI79" s="319"/>
      <c r="AK79" s="319"/>
    </row>
    <row r="80" spans="1:37" ht="12.75">
      <c r="A80" s="318">
        <v>15</v>
      </c>
      <c r="B80" s="322" t="s">
        <v>555</v>
      </c>
      <c r="C80" s="319"/>
      <c r="D80" s="319"/>
      <c r="E80" s="319"/>
      <c r="F80" s="320"/>
      <c r="G80" s="319"/>
      <c r="H80" s="319"/>
      <c r="I80" s="319"/>
      <c r="J80" s="319"/>
      <c r="K80" s="331"/>
      <c r="L80" s="331"/>
      <c r="M80" s="331"/>
      <c r="N80" s="317"/>
      <c r="P80" s="331"/>
      <c r="Q80" s="331"/>
      <c r="S80" s="319"/>
      <c r="U80" s="319"/>
      <c r="W80" s="319"/>
      <c r="Y80" s="319"/>
      <c r="AA80" s="319"/>
      <c r="AC80" s="319"/>
      <c r="AE80" s="319"/>
      <c r="AG80" s="319"/>
      <c r="AI80" s="319"/>
      <c r="AK80" s="319"/>
    </row>
    <row r="81" spans="1:37" ht="12.75">
      <c r="A81" s="318">
        <v>16</v>
      </c>
      <c r="B81" s="322" t="s">
        <v>553</v>
      </c>
      <c r="C81" s="319"/>
      <c r="D81" s="319"/>
      <c r="E81" s="319"/>
      <c r="F81" s="320"/>
      <c r="G81" s="319"/>
      <c r="H81" s="319"/>
      <c r="I81" s="319"/>
      <c r="J81" s="319"/>
      <c r="K81" s="331"/>
      <c r="L81" s="331"/>
      <c r="M81" s="331"/>
      <c r="N81" s="317"/>
      <c r="P81" s="331"/>
      <c r="Q81" s="331"/>
      <c r="S81" s="319"/>
      <c r="U81" s="319"/>
      <c r="W81" s="319"/>
      <c r="Y81" s="319"/>
      <c r="AA81" s="319"/>
      <c r="AC81" s="319"/>
      <c r="AE81" s="319"/>
      <c r="AG81" s="319"/>
      <c r="AI81" s="319"/>
      <c r="AK81" s="319"/>
    </row>
    <row r="82" spans="1:37" ht="12.75">
      <c r="A82" s="318">
        <v>17</v>
      </c>
      <c r="B82" s="322">
        <f>B79+1</f>
        <v>2026</v>
      </c>
      <c r="C82" s="319">
        <f>+$C$79</f>
        <v>3167817.4043121454</v>
      </c>
      <c r="D82" s="319">
        <f>+$D$79</f>
        <v>1303492.1349400003</v>
      </c>
      <c r="E82" s="319">
        <f aca="true" t="shared" si="5" ref="E82:E113">+$E$151</f>
        <v>919206.061555</v>
      </c>
      <c r="F82" s="320">
        <f>+$F$79</f>
        <v>501464.59792169806</v>
      </c>
      <c r="G82" s="319">
        <f>+'Statement D Table D-2'!M25</f>
        <v>209362.3998009006</v>
      </c>
      <c r="H82" s="319">
        <f t="shared" si="2"/>
        <v>234292.2100945465</v>
      </c>
      <c r="I82" s="319">
        <f>F82+SUM('Revised Revenue Test'!$F$66,'Revised Revenue Test'!$F$69:$F$75)</f>
        <v>360061.31465249014</v>
      </c>
      <c r="J82" s="319">
        <f>H82+I82</f>
        <v>594353.5247470366</v>
      </c>
      <c r="K82" s="331">
        <f>+'Inputs for Evans Tables'!C8+'Inputs for Evans Tables'!E8</f>
        <v>96150</v>
      </c>
      <c r="L82" s="331">
        <f>+'Inputs for Evans Tables'!G8</f>
        <v>379529.762</v>
      </c>
      <c r="M82" s="331">
        <f>+'Inputs for Evans Tables'!J8</f>
        <v>20317.096</v>
      </c>
      <c r="N82" s="317">
        <f t="shared" si="4"/>
        <v>98356.66674703665</v>
      </c>
      <c r="P82" s="331"/>
      <c r="Q82" s="331"/>
      <c r="S82" s="319"/>
      <c r="U82" s="319"/>
      <c r="W82" s="319"/>
      <c r="Y82" s="319"/>
      <c r="AA82" s="319"/>
      <c r="AC82" s="319"/>
      <c r="AE82" s="319"/>
      <c r="AG82" s="319"/>
      <c r="AI82" s="319"/>
      <c r="AK82" s="319"/>
    </row>
    <row r="83" spans="1:37" ht="12.75">
      <c r="A83" s="318">
        <v>18</v>
      </c>
      <c r="B83" s="322">
        <f aca="true" t="shared" si="6" ref="B83:B131">B82+1</f>
        <v>2027</v>
      </c>
      <c r="C83" s="319">
        <f aca="true" t="shared" si="7" ref="C83:C131">+$C$79</f>
        <v>3167817.4043121454</v>
      </c>
      <c r="D83" s="319">
        <f aca="true" t="shared" si="8" ref="D83:D131">+$D$79</f>
        <v>1303492.1349400003</v>
      </c>
      <c r="E83" s="319">
        <f t="shared" si="5"/>
        <v>919206.061555</v>
      </c>
      <c r="F83" s="320">
        <f aca="true" t="shared" si="9" ref="F83:F131">+$F$79</f>
        <v>501464.59792169806</v>
      </c>
      <c r="G83" s="319">
        <f>+'Statement D Table D-2'!M26</f>
        <v>192820.2800736414</v>
      </c>
      <c r="H83" s="319">
        <f aca="true" t="shared" si="10" ref="H83:H131">C83-D83-E83-F83-G83</f>
        <v>250834.3298218057</v>
      </c>
      <c r="I83" s="319">
        <f>F83+SUM('Revised Revenue Test'!$F$66,'Revised Revenue Test'!$F$69:$F$75)</f>
        <v>360061.31465249014</v>
      </c>
      <c r="J83" s="319">
        <f aca="true" t="shared" si="11" ref="J83:J131">H83+I83</f>
        <v>610895.6444742959</v>
      </c>
      <c r="K83" s="331">
        <f>+'Inputs for Evans Tables'!C9+'Inputs for Evans Tables'!E9</f>
        <v>405711.25</v>
      </c>
      <c r="L83" s="331">
        <f>+'Inputs for Evans Tables'!G9</f>
        <v>102236.485</v>
      </c>
      <c r="M83" s="331">
        <f>+'Inputs for Evans Tables'!J9</f>
        <v>6264.624</v>
      </c>
      <c r="N83" s="317">
        <f t="shared" si="4"/>
        <v>96683.2854742959</v>
      </c>
      <c r="P83" s="331"/>
      <c r="Q83" s="331"/>
      <c r="S83" s="319"/>
      <c r="U83" s="319"/>
      <c r="W83" s="319"/>
      <c r="Y83" s="319"/>
      <c r="AA83" s="319"/>
      <c r="AC83" s="319"/>
      <c r="AE83" s="319"/>
      <c r="AG83" s="319"/>
      <c r="AI83" s="319"/>
      <c r="AK83" s="319"/>
    </row>
    <row r="84" spans="1:37" ht="12.75">
      <c r="A84" s="318">
        <v>19</v>
      </c>
      <c r="B84" s="322">
        <f t="shared" si="6"/>
        <v>2028</v>
      </c>
      <c r="C84" s="319">
        <f t="shared" si="7"/>
        <v>3167817.4043121454</v>
      </c>
      <c r="D84" s="319">
        <f t="shared" si="8"/>
        <v>1303492.1349400003</v>
      </c>
      <c r="E84" s="319">
        <f t="shared" si="5"/>
        <v>919206.061555</v>
      </c>
      <c r="F84" s="320">
        <f t="shared" si="9"/>
        <v>501464.59792169806</v>
      </c>
      <c r="G84" s="319">
        <f>+'Statement D Table D-2'!M27</f>
        <v>174147.37467238307</v>
      </c>
      <c r="H84" s="319">
        <f t="shared" si="10"/>
        <v>269507.235223064</v>
      </c>
      <c r="I84" s="319">
        <f>F84+SUM('Revised Revenue Test'!$F$66,'Revised Revenue Test'!$F$69:$F$75)</f>
        <v>360061.31465249014</v>
      </c>
      <c r="J84" s="319">
        <f t="shared" si="11"/>
        <v>629568.5498755542</v>
      </c>
      <c r="K84" s="331">
        <f>+'Inputs for Evans Tables'!C10+'Inputs for Evans Tables'!E10</f>
        <v>416482.5</v>
      </c>
      <c r="L84" s="331">
        <f>+'Inputs for Evans Tables'!G10</f>
        <v>101391.959</v>
      </c>
      <c r="M84" s="331">
        <f>+'Inputs for Evans Tables'!J10</f>
        <v>11447.036</v>
      </c>
      <c r="N84" s="317">
        <f t="shared" si="4"/>
        <v>100247.05487555411</v>
      </c>
      <c r="P84" s="331"/>
      <c r="Q84" s="331"/>
      <c r="S84" s="319"/>
      <c r="U84" s="319"/>
      <c r="W84" s="319"/>
      <c r="Y84" s="319"/>
      <c r="AA84" s="319"/>
      <c r="AC84" s="319"/>
      <c r="AE84" s="319"/>
      <c r="AG84" s="319"/>
      <c r="AI84" s="319"/>
      <c r="AK84" s="319"/>
    </row>
    <row r="85" spans="1:37" ht="12.75">
      <c r="A85" s="318">
        <v>20</v>
      </c>
      <c r="B85" s="322">
        <f t="shared" si="6"/>
        <v>2029</v>
      </c>
      <c r="C85" s="319">
        <f t="shared" si="7"/>
        <v>3167817.4043121454</v>
      </c>
      <c r="D85" s="319">
        <f t="shared" si="8"/>
        <v>1303492.1349400003</v>
      </c>
      <c r="E85" s="319">
        <f t="shared" si="5"/>
        <v>919206.061555</v>
      </c>
      <c r="F85" s="320">
        <f t="shared" si="9"/>
        <v>501464.59792169806</v>
      </c>
      <c r="G85" s="319">
        <f>+'Statement D Table D-2'!M28</f>
        <v>156748.8266768547</v>
      </c>
      <c r="H85" s="319">
        <f t="shared" si="10"/>
        <v>286905.7832185924</v>
      </c>
      <c r="I85" s="319">
        <f>F85+SUM('Revised Revenue Test'!$F$66,'Revised Revenue Test'!$F$69:$F$75)</f>
        <v>360061.31465249014</v>
      </c>
      <c r="J85" s="319">
        <f t="shared" si="11"/>
        <v>646967.0978710826</v>
      </c>
      <c r="K85" s="331">
        <f>+'Inputs for Evans Tables'!C11+'Inputs for Evans Tables'!E11</f>
        <v>136556.0505</v>
      </c>
      <c r="L85" s="331">
        <f>+'Inputs for Evans Tables'!G11</f>
        <v>405103.724</v>
      </c>
      <c r="M85" s="331">
        <f>+'Inputs for Evans Tables'!J11</f>
        <v>4064.635</v>
      </c>
      <c r="N85" s="317">
        <f t="shared" si="4"/>
        <v>101242.6883710826</v>
      </c>
      <c r="P85" s="331"/>
      <c r="Q85" s="331"/>
      <c r="S85" s="319"/>
      <c r="U85" s="319"/>
      <c r="W85" s="319"/>
      <c r="Y85" s="319"/>
      <c r="AA85" s="319"/>
      <c r="AC85" s="319"/>
      <c r="AE85" s="319"/>
      <c r="AG85" s="319"/>
      <c r="AI85" s="319"/>
      <c r="AK85" s="319"/>
    </row>
    <row r="86" spans="1:37" ht="12.75">
      <c r="A86" s="318">
        <v>21</v>
      </c>
      <c r="B86" s="322">
        <f t="shared" si="6"/>
        <v>2030</v>
      </c>
      <c r="C86" s="319">
        <f t="shared" si="7"/>
        <v>3167817.4043121454</v>
      </c>
      <c r="D86" s="319">
        <f t="shared" si="8"/>
        <v>1303492.1349400003</v>
      </c>
      <c r="E86" s="319">
        <f t="shared" si="5"/>
        <v>919206.061555</v>
      </c>
      <c r="F86" s="320">
        <f t="shared" si="9"/>
        <v>501464.59792169806</v>
      </c>
      <c r="G86" s="319">
        <f>+'Statement D Table D-2'!M29</f>
        <v>138451.24267685466</v>
      </c>
      <c r="H86" s="319">
        <f t="shared" si="10"/>
        <v>305203.36721859244</v>
      </c>
      <c r="I86" s="319">
        <f>F86+SUM('Revised Revenue Test'!$F$66,'Revised Revenue Test'!$F$69:$F$75)</f>
        <v>360061.31465249014</v>
      </c>
      <c r="J86" s="319">
        <f t="shared" si="11"/>
        <v>665264.6818710826</v>
      </c>
      <c r="K86" s="331">
        <f>+'Inputs for Evans Tables'!C12+'Inputs for Evans Tables'!E12</f>
        <v>283505.172</v>
      </c>
      <c r="L86" s="331">
        <f>+'Inputs for Evans Tables'!G12</f>
        <v>266304.564</v>
      </c>
      <c r="M86" s="331">
        <f>+'Inputs for Evans Tables'!J12</f>
        <v>1995.733</v>
      </c>
      <c r="N86" s="317">
        <f t="shared" si="4"/>
        <v>113459.2128710826</v>
      </c>
      <c r="P86" s="331"/>
      <c r="Q86" s="331"/>
      <c r="S86" s="319"/>
      <c r="U86" s="319"/>
      <c r="W86" s="319"/>
      <c r="Y86" s="319"/>
      <c r="AA86" s="319"/>
      <c r="AC86" s="319"/>
      <c r="AE86" s="319"/>
      <c r="AG86" s="319"/>
      <c r="AI86" s="319"/>
      <c r="AK86" s="319"/>
    </row>
    <row r="87" spans="1:37" ht="12.75">
      <c r="A87" s="318">
        <v>22</v>
      </c>
      <c r="B87" s="322">
        <f t="shared" si="6"/>
        <v>2031</v>
      </c>
      <c r="C87" s="319">
        <f t="shared" si="7"/>
        <v>3167817.4043121454</v>
      </c>
      <c r="D87" s="319">
        <f t="shared" si="8"/>
        <v>1303492.1349400003</v>
      </c>
      <c r="E87" s="319">
        <f t="shared" si="5"/>
        <v>919206.061555</v>
      </c>
      <c r="F87" s="320">
        <f t="shared" si="9"/>
        <v>501464.59792169806</v>
      </c>
      <c r="G87" s="319">
        <f>+'Statement D Table D-2'!M30</f>
        <v>135375.5476768547</v>
      </c>
      <c r="H87" s="319">
        <f t="shared" si="10"/>
        <v>308279.0622185924</v>
      </c>
      <c r="I87" s="319">
        <f>F87+SUM('Revised Revenue Test'!$F$66,'Revised Revenue Test'!$F$69:$F$75)</f>
        <v>360061.31465249014</v>
      </c>
      <c r="J87" s="319">
        <f t="shared" si="11"/>
        <v>668340.3768710825</v>
      </c>
      <c r="K87" s="331">
        <f>+'Inputs for Evans Tables'!C13+'Inputs for Evans Tables'!E13</f>
        <v>314353.33375</v>
      </c>
      <c r="L87" s="331">
        <f>+'Inputs for Evans Tables'!G13</f>
        <v>243290.649</v>
      </c>
      <c r="M87" s="331">
        <f>+'Inputs for Evans Tables'!J13</f>
        <v>10916.377</v>
      </c>
      <c r="N87" s="317">
        <f t="shared" si="4"/>
        <v>99780.01712108252</v>
      </c>
      <c r="P87" s="331"/>
      <c r="Q87" s="331"/>
      <c r="S87" s="319"/>
      <c r="U87" s="319"/>
      <c r="W87" s="319"/>
      <c r="Y87" s="319"/>
      <c r="AA87" s="319"/>
      <c r="AC87" s="319"/>
      <c r="AE87" s="319"/>
      <c r="AG87" s="319"/>
      <c r="AI87" s="319"/>
      <c r="AK87" s="319"/>
    </row>
    <row r="88" spans="1:37" ht="12.75">
      <c r="A88" s="318">
        <v>23</v>
      </c>
      <c r="B88" s="322">
        <f t="shared" si="6"/>
        <v>2032</v>
      </c>
      <c r="C88" s="319">
        <f t="shared" si="7"/>
        <v>3167817.4043121454</v>
      </c>
      <c r="D88" s="319">
        <f t="shared" si="8"/>
        <v>1303492.1349400003</v>
      </c>
      <c r="E88" s="319">
        <f t="shared" si="5"/>
        <v>919206.061555</v>
      </c>
      <c r="F88" s="320">
        <f t="shared" si="9"/>
        <v>501464.59792169806</v>
      </c>
      <c r="G88" s="319">
        <f>+'Statement D Table D-2'!M31</f>
        <v>110454.88367685469</v>
      </c>
      <c r="H88" s="319">
        <f t="shared" si="10"/>
        <v>333199.7262185924</v>
      </c>
      <c r="I88" s="319">
        <f>F88+SUM('Revised Revenue Test'!$F$66,'Revised Revenue Test'!$F$69:$F$75)</f>
        <v>360061.31465249014</v>
      </c>
      <c r="J88" s="319">
        <f t="shared" si="11"/>
        <v>693261.0408710826</v>
      </c>
      <c r="K88" s="331">
        <f>+'Inputs for Evans Tables'!C14+'Inputs for Evans Tables'!E14</f>
        <v>347330.6755</v>
      </c>
      <c r="L88" s="331">
        <f>+'Inputs for Evans Tables'!G14</f>
        <v>225386.601</v>
      </c>
      <c r="M88" s="331">
        <f>+'Inputs for Evans Tables'!J14</f>
        <v>0</v>
      </c>
      <c r="N88" s="317">
        <f t="shared" si="4"/>
        <v>120543.76437108254</v>
      </c>
      <c r="P88" s="331"/>
      <c r="Q88" s="331"/>
      <c r="S88" s="319"/>
      <c r="U88" s="319"/>
      <c r="W88" s="319"/>
      <c r="Y88" s="319"/>
      <c r="AA88" s="319"/>
      <c r="AC88" s="319"/>
      <c r="AE88" s="319"/>
      <c r="AG88" s="319"/>
      <c r="AI88" s="319"/>
      <c r="AK88" s="319"/>
    </row>
    <row r="89" spans="1:37" ht="12.75">
      <c r="A89" s="318">
        <v>24</v>
      </c>
      <c r="B89" s="322">
        <f t="shared" si="6"/>
        <v>2033</v>
      </c>
      <c r="C89" s="319">
        <f t="shared" si="7"/>
        <v>3167817.4043121454</v>
      </c>
      <c r="D89" s="319">
        <f t="shared" si="8"/>
        <v>1303492.1349400003</v>
      </c>
      <c r="E89" s="319">
        <f t="shared" si="5"/>
        <v>919206.061555</v>
      </c>
      <c r="F89" s="320">
        <f t="shared" si="9"/>
        <v>501464.59792169806</v>
      </c>
      <c r="G89" s="319">
        <f>+'Statement D Table D-2'!M32</f>
        <v>111421.67267685471</v>
      </c>
      <c r="H89" s="319">
        <f t="shared" si="10"/>
        <v>332232.9372185924</v>
      </c>
      <c r="I89" s="319">
        <f>F89+SUM('Revised Revenue Test'!$F$66,'Revised Revenue Test'!$F$69:$F$75)</f>
        <v>360061.31465249014</v>
      </c>
      <c r="J89" s="319">
        <f t="shared" si="11"/>
        <v>692294.2518710825</v>
      </c>
      <c r="K89" s="331">
        <f>+'Inputs for Evans Tables'!C15+'Inputs for Evans Tables'!E15</f>
        <v>335061.015</v>
      </c>
      <c r="L89" s="331">
        <f>+'Inputs for Evans Tables'!G15</f>
        <v>242791.56</v>
      </c>
      <c r="M89" s="331">
        <f>+'Inputs for Evans Tables'!J15</f>
        <v>4346.935</v>
      </c>
      <c r="N89" s="317">
        <f t="shared" si="4"/>
        <v>110094.74187108246</v>
      </c>
      <c r="P89" s="331"/>
      <c r="Q89" s="331"/>
      <c r="S89" s="319"/>
      <c r="U89" s="319"/>
      <c r="W89" s="319"/>
      <c r="Y89" s="319"/>
      <c r="AA89" s="319"/>
      <c r="AC89" s="319"/>
      <c r="AE89" s="319"/>
      <c r="AG89" s="319"/>
      <c r="AI89" s="319"/>
      <c r="AK89" s="319"/>
    </row>
    <row r="90" spans="1:37" ht="12.75">
      <c r="A90" s="318">
        <v>25</v>
      </c>
      <c r="B90" s="322">
        <f>B89+1</f>
        <v>2034</v>
      </c>
      <c r="C90" s="319">
        <f t="shared" si="7"/>
        <v>3167817.4043121454</v>
      </c>
      <c r="D90" s="319">
        <f t="shared" si="8"/>
        <v>1303492.1349400003</v>
      </c>
      <c r="E90" s="319">
        <f t="shared" si="5"/>
        <v>919206.061555</v>
      </c>
      <c r="F90" s="320">
        <f t="shared" si="9"/>
        <v>501464.59792169806</v>
      </c>
      <c r="G90" s="319">
        <f>+'Statement D Table D-2'!M33</f>
        <v>102490.2036768547</v>
      </c>
      <c r="H90" s="319">
        <f t="shared" si="10"/>
        <v>341164.4062185924</v>
      </c>
      <c r="I90" s="319">
        <f>F90+SUM('Revised Revenue Test'!$F$66,'Revised Revenue Test'!$F$69:$F$75)</f>
        <v>360061.31465249014</v>
      </c>
      <c r="J90" s="319">
        <f t="shared" si="11"/>
        <v>701225.7208710825</v>
      </c>
      <c r="K90" s="331">
        <f>+'Inputs for Evans Tables'!C16+'Inputs for Evans Tables'!E16</f>
        <v>322194.0745</v>
      </c>
      <c r="L90" s="331">
        <f>+'Inputs for Evans Tables'!G16</f>
        <v>308419.93</v>
      </c>
      <c r="M90" s="331">
        <f>+'Inputs for Evans Tables'!J16</f>
        <v>0</v>
      </c>
      <c r="N90" s="317">
        <f t="shared" si="4"/>
        <v>70611.71637108253</v>
      </c>
      <c r="P90" s="331"/>
      <c r="Q90" s="331"/>
      <c r="S90" s="319"/>
      <c r="U90" s="319"/>
      <c r="W90" s="319"/>
      <c r="Y90" s="319"/>
      <c r="AA90" s="319"/>
      <c r="AC90" s="319"/>
      <c r="AE90" s="319"/>
      <c r="AG90" s="319"/>
      <c r="AI90" s="319"/>
      <c r="AK90" s="319"/>
    </row>
    <row r="91" spans="1:37" ht="12.75">
      <c r="A91" s="318">
        <v>26</v>
      </c>
      <c r="B91" s="322">
        <f t="shared" si="6"/>
        <v>2035</v>
      </c>
      <c r="C91" s="319">
        <f t="shared" si="7"/>
        <v>3167817.4043121454</v>
      </c>
      <c r="D91" s="319">
        <f t="shared" si="8"/>
        <v>1303492.1349400003</v>
      </c>
      <c r="E91" s="319">
        <f t="shared" si="5"/>
        <v>919206.061555</v>
      </c>
      <c r="F91" s="320">
        <f t="shared" si="9"/>
        <v>501464.59792169806</v>
      </c>
      <c r="G91" s="319">
        <f>+'Statement D Table D-2'!M34</f>
        <v>16181.560676854677</v>
      </c>
      <c r="H91" s="319">
        <f t="shared" si="10"/>
        <v>427473.0492185924</v>
      </c>
      <c r="I91" s="319">
        <f>F91+SUM('Revised Revenue Test'!$F$66,'Revised Revenue Test'!$F$69:$F$75)</f>
        <v>360061.31465249014</v>
      </c>
      <c r="J91" s="319">
        <f t="shared" si="11"/>
        <v>787534.3638710825</v>
      </c>
      <c r="K91" s="331">
        <f>+'Inputs for Evans Tables'!C17+'Inputs for Evans Tables'!E17</f>
        <v>323225.8075</v>
      </c>
      <c r="L91" s="331">
        <f>+'Inputs for Evans Tables'!G17</f>
        <v>295453.823</v>
      </c>
      <c r="M91" s="331">
        <f>+'Inputs for Evans Tables'!J17</f>
        <v>8050.909</v>
      </c>
      <c r="N91" s="328">
        <f t="shared" si="4"/>
        <v>160803.8243710826</v>
      </c>
      <c r="P91" s="331"/>
      <c r="Q91" s="331"/>
      <c r="S91" s="319"/>
      <c r="U91" s="319"/>
      <c r="W91" s="319"/>
      <c r="Y91" s="319"/>
      <c r="AA91" s="319"/>
      <c r="AC91" s="319"/>
      <c r="AE91" s="319"/>
      <c r="AG91" s="319"/>
      <c r="AI91" s="319"/>
      <c r="AK91" s="319"/>
    </row>
    <row r="92" spans="1:37" ht="12.75">
      <c r="A92" s="318">
        <v>27</v>
      </c>
      <c r="B92" s="322">
        <f t="shared" si="6"/>
        <v>2036</v>
      </c>
      <c r="C92" s="319">
        <f t="shared" si="7"/>
        <v>3167817.4043121454</v>
      </c>
      <c r="D92" s="319">
        <f t="shared" si="8"/>
        <v>1303492.1349400003</v>
      </c>
      <c r="E92" s="319">
        <f t="shared" si="5"/>
        <v>919206.061555</v>
      </c>
      <c r="F92" s="320">
        <f t="shared" si="9"/>
        <v>501464.59792169806</v>
      </c>
      <c r="G92" s="319">
        <f>+'Statement D Table D-2'!M35</f>
        <v>32694.051676854673</v>
      </c>
      <c r="H92" s="319">
        <f t="shared" si="10"/>
        <v>410960.5582185924</v>
      </c>
      <c r="I92" s="319">
        <f>F92+SUM('Revised Revenue Test'!$F$66,'Revised Revenue Test'!$F$69:$F$75)</f>
        <v>360061.31465249014</v>
      </c>
      <c r="J92" s="319">
        <f t="shared" si="11"/>
        <v>771021.8728710825</v>
      </c>
      <c r="K92" s="331">
        <f>+'Inputs for Evans Tables'!C18+'Inputs for Evans Tables'!E18</f>
        <v>341464.028</v>
      </c>
      <c r="L92" s="331">
        <f>+'Inputs for Evans Tables'!G18</f>
        <v>238680.961</v>
      </c>
      <c r="M92" s="331">
        <f>+'Inputs for Evans Tables'!J18</f>
        <v>28920.449</v>
      </c>
      <c r="N92" s="328">
        <f t="shared" si="4"/>
        <v>161956.43487108249</v>
      </c>
      <c r="P92" s="331"/>
      <c r="Q92" s="331"/>
      <c r="S92" s="319"/>
      <c r="U92" s="319"/>
      <c r="W92" s="319"/>
      <c r="Y92" s="319"/>
      <c r="AA92" s="319"/>
      <c r="AC92" s="319"/>
      <c r="AE92" s="319"/>
      <c r="AG92" s="319"/>
      <c r="AI92" s="319"/>
      <c r="AK92" s="319"/>
    </row>
    <row r="93" spans="1:37" ht="12.75">
      <c r="A93" s="318">
        <v>28</v>
      </c>
      <c r="B93" s="322">
        <f t="shared" si="6"/>
        <v>2037</v>
      </c>
      <c r="C93" s="319">
        <f t="shared" si="7"/>
        <v>3167817.4043121454</v>
      </c>
      <c r="D93" s="319">
        <f t="shared" si="8"/>
        <v>1303492.1349400003</v>
      </c>
      <c r="E93" s="319">
        <f t="shared" si="5"/>
        <v>919206.061555</v>
      </c>
      <c r="F93" s="320">
        <f t="shared" si="9"/>
        <v>501464.59792169806</v>
      </c>
      <c r="G93" s="319">
        <f>+'Statement D Table D-2'!M36</f>
        <v>78105.57867685467</v>
      </c>
      <c r="H93" s="319">
        <f t="shared" si="10"/>
        <v>365549.0312185924</v>
      </c>
      <c r="I93" s="319">
        <f>F93+SUM('Revised Revenue Test'!$F$66,'Revised Revenue Test'!$F$69:$F$75)</f>
        <v>360061.31465249014</v>
      </c>
      <c r="J93" s="319">
        <f t="shared" si="11"/>
        <v>725610.3458710825</v>
      </c>
      <c r="K93" s="331">
        <f>+'Inputs for Evans Tables'!C19+'Inputs for Evans Tables'!E19</f>
        <v>310490.9875</v>
      </c>
      <c r="L93" s="331">
        <f>+'Inputs for Evans Tables'!G19</f>
        <v>297261.515</v>
      </c>
      <c r="M93" s="331">
        <f>+'Inputs for Evans Tables'!J19</f>
        <v>15882.552</v>
      </c>
      <c r="N93" s="328">
        <f t="shared" si="4"/>
        <v>101975.29137108248</v>
      </c>
      <c r="P93" s="331"/>
      <c r="Q93" s="331"/>
      <c r="S93" s="319"/>
      <c r="U93" s="319"/>
      <c r="W93" s="319"/>
      <c r="Y93" s="319"/>
      <c r="AA93" s="319"/>
      <c r="AC93" s="319"/>
      <c r="AE93" s="319"/>
      <c r="AG93" s="319"/>
      <c r="AI93" s="319"/>
      <c r="AK93" s="319"/>
    </row>
    <row r="94" spans="1:37" ht="12.75">
      <c r="A94" s="318">
        <v>29</v>
      </c>
      <c r="B94" s="322">
        <f t="shared" si="6"/>
        <v>2038</v>
      </c>
      <c r="C94" s="319">
        <f t="shared" si="7"/>
        <v>3167817.4043121454</v>
      </c>
      <c r="D94" s="319">
        <f t="shared" si="8"/>
        <v>1303492.1349400003</v>
      </c>
      <c r="E94" s="319">
        <f t="shared" si="5"/>
        <v>919206.061555</v>
      </c>
      <c r="F94" s="320">
        <f t="shared" si="9"/>
        <v>501464.59792169806</v>
      </c>
      <c r="G94" s="319">
        <f>+'Statement D Table D-2'!M37</f>
        <v>63381.96167685467</v>
      </c>
      <c r="H94" s="319">
        <f t="shared" si="10"/>
        <v>380272.6482185924</v>
      </c>
      <c r="I94" s="319">
        <f>F94+SUM('Revised Revenue Test'!$F$66,'Revised Revenue Test'!$F$69:$F$75)</f>
        <v>360061.31465249014</v>
      </c>
      <c r="J94" s="319">
        <f t="shared" si="11"/>
        <v>740333.9628710826</v>
      </c>
      <c r="K94" s="331">
        <f>+'Inputs for Evans Tables'!C20+'Inputs for Evans Tables'!E20</f>
        <v>226372.69375</v>
      </c>
      <c r="L94" s="331">
        <f>+'Inputs for Evans Tables'!G20</f>
        <v>413535.201</v>
      </c>
      <c r="M94" s="331">
        <f>+'Inputs for Evans Tables'!J20</f>
        <v>0</v>
      </c>
      <c r="N94" s="328">
        <f t="shared" si="4"/>
        <v>100426.06812108259</v>
      </c>
      <c r="P94" s="331"/>
      <c r="Q94" s="331"/>
      <c r="S94" s="319"/>
      <c r="U94" s="319"/>
      <c r="W94" s="319"/>
      <c r="Y94" s="319"/>
      <c r="AA94" s="319"/>
      <c r="AC94" s="319"/>
      <c r="AE94" s="319"/>
      <c r="AG94" s="319"/>
      <c r="AI94" s="319"/>
      <c r="AK94" s="319"/>
    </row>
    <row r="95" spans="1:37" ht="12.75">
      <c r="A95" s="318">
        <v>30</v>
      </c>
      <c r="B95" s="322">
        <f>B94+1</f>
        <v>2039</v>
      </c>
      <c r="C95" s="319">
        <f t="shared" si="7"/>
        <v>3167817.4043121454</v>
      </c>
      <c r="D95" s="319">
        <f t="shared" si="8"/>
        <v>1303492.1349400003</v>
      </c>
      <c r="E95" s="319">
        <f t="shared" si="5"/>
        <v>919206.061555</v>
      </c>
      <c r="F95" s="320">
        <f t="shared" si="9"/>
        <v>501464.59792169806</v>
      </c>
      <c r="G95" s="319">
        <f>+'Statement D Table D-2'!M38</f>
        <v>46779.12167685468</v>
      </c>
      <c r="H95" s="319">
        <f t="shared" si="10"/>
        <v>396875.4882185924</v>
      </c>
      <c r="I95" s="319">
        <f>F95+SUM('Revised Revenue Test'!$F$66,'Revised Revenue Test'!$F$69:$F$75)</f>
        <v>360061.31465249014</v>
      </c>
      <c r="J95" s="319">
        <f t="shared" si="11"/>
        <v>756936.8028710826</v>
      </c>
      <c r="K95" s="331">
        <f>+'Inputs for Evans Tables'!C21+'Inputs for Evans Tables'!E21</f>
        <v>210052.704</v>
      </c>
      <c r="L95" s="331">
        <f>+'Inputs for Evans Tables'!G21</f>
        <v>430204.92</v>
      </c>
      <c r="M95" s="331">
        <f>+'Inputs for Evans Tables'!J21</f>
        <v>13974.958</v>
      </c>
      <c r="N95" s="328">
        <f t="shared" si="4"/>
        <v>102704.2208710826</v>
      </c>
      <c r="P95" s="331"/>
      <c r="Q95" s="331"/>
      <c r="S95" s="319"/>
      <c r="U95" s="319"/>
      <c r="W95" s="319"/>
      <c r="Y95" s="319"/>
      <c r="AA95" s="319"/>
      <c r="AC95" s="319"/>
      <c r="AE95" s="319"/>
      <c r="AG95" s="319"/>
      <c r="AI95" s="319"/>
      <c r="AK95" s="319"/>
    </row>
    <row r="96" spans="1:37" ht="12.75">
      <c r="A96" s="318">
        <v>31</v>
      </c>
      <c r="B96" s="322">
        <f t="shared" si="6"/>
        <v>2040</v>
      </c>
      <c r="C96" s="319">
        <f t="shared" si="7"/>
        <v>3167817.4043121454</v>
      </c>
      <c r="D96" s="319">
        <f t="shared" si="8"/>
        <v>1303492.1349400003</v>
      </c>
      <c r="E96" s="319">
        <f t="shared" si="5"/>
        <v>919206.061555</v>
      </c>
      <c r="F96" s="320">
        <f t="shared" si="9"/>
        <v>501464.59792169806</v>
      </c>
      <c r="G96" s="319">
        <f>+'Statement D Table D-2'!M39</f>
        <v>32360.43467685469</v>
      </c>
      <c r="H96" s="319">
        <f t="shared" si="10"/>
        <v>411294.1752185924</v>
      </c>
      <c r="I96" s="319">
        <f>F96+SUM('Revised Revenue Test'!$F$66,'Revised Revenue Test'!$F$69:$F$75)</f>
        <v>360061.31465249014</v>
      </c>
      <c r="J96" s="319">
        <f t="shared" si="11"/>
        <v>771355.4898710826</v>
      </c>
      <c r="K96" s="331">
        <f>+'Inputs for Evans Tables'!C22+'Inputs for Evans Tables'!E22</f>
        <v>209469.6305</v>
      </c>
      <c r="L96" s="331">
        <f>+'Inputs for Evans Tables'!G22</f>
        <v>459141.825</v>
      </c>
      <c r="M96" s="331">
        <f>+'Inputs for Evans Tables'!J22</f>
        <v>0</v>
      </c>
      <c r="N96" s="328">
        <f t="shared" si="4"/>
        <v>102744.03437108258</v>
      </c>
      <c r="P96" s="331"/>
      <c r="Q96" s="331"/>
      <c r="S96" s="319"/>
      <c r="U96" s="319"/>
      <c r="W96" s="319"/>
      <c r="Y96" s="319"/>
      <c r="AA96" s="319"/>
      <c r="AC96" s="319"/>
      <c r="AE96" s="319"/>
      <c r="AG96" s="319"/>
      <c r="AI96" s="319"/>
      <c r="AK96" s="319"/>
    </row>
    <row r="97" spans="1:37" ht="12.75">
      <c r="A97" s="318">
        <v>32</v>
      </c>
      <c r="B97" s="322">
        <f t="shared" si="6"/>
        <v>2041</v>
      </c>
      <c r="C97" s="319">
        <f t="shared" si="7"/>
        <v>3167817.4043121454</v>
      </c>
      <c r="D97" s="319">
        <f t="shared" si="8"/>
        <v>1303492.1349400003</v>
      </c>
      <c r="E97" s="319">
        <f t="shared" si="5"/>
        <v>919206.061555</v>
      </c>
      <c r="F97" s="320">
        <f t="shared" si="9"/>
        <v>501464.59792169806</v>
      </c>
      <c r="G97" s="319">
        <f>+'Statement D Table D-2'!M40</f>
        <v>17941.56067685468</v>
      </c>
      <c r="H97" s="319">
        <f t="shared" si="10"/>
        <v>425713.0492185924</v>
      </c>
      <c r="I97" s="319">
        <f>F97+SUM('Revised Revenue Test'!$F$66,'Revised Revenue Test'!$F$69:$F$75)</f>
        <v>360061.31465249014</v>
      </c>
      <c r="J97" s="319">
        <f t="shared" si="11"/>
        <v>785774.3638710825</v>
      </c>
      <c r="K97" s="331">
        <f>+'Inputs for Evans Tables'!C23+'Inputs for Evans Tables'!E23</f>
        <v>216734.63725</v>
      </c>
      <c r="L97" s="331">
        <f>+'Inputs for Evans Tables'!G23</f>
        <v>392043.876</v>
      </c>
      <c r="M97" s="331">
        <f>+'Inputs for Evans Tables'!J23</f>
        <v>73659</v>
      </c>
      <c r="N97" s="328">
        <f t="shared" si="4"/>
        <v>103336.85062108256</v>
      </c>
      <c r="P97" s="331"/>
      <c r="Q97" s="331"/>
      <c r="S97" s="319"/>
      <c r="U97" s="319"/>
      <c r="W97" s="319"/>
      <c r="Y97" s="319"/>
      <c r="AA97" s="319"/>
      <c r="AC97" s="319"/>
      <c r="AE97" s="319"/>
      <c r="AG97" s="319"/>
      <c r="AI97" s="319"/>
      <c r="AK97" s="319"/>
    </row>
    <row r="98" spans="1:37" ht="12.75">
      <c r="A98" s="318">
        <v>33</v>
      </c>
      <c r="B98" s="322">
        <f t="shared" si="6"/>
        <v>2042</v>
      </c>
      <c r="C98" s="319">
        <f t="shared" si="7"/>
        <v>3167817.4043121454</v>
      </c>
      <c r="D98" s="319">
        <f t="shared" si="8"/>
        <v>1303492.1349400003</v>
      </c>
      <c r="E98" s="319">
        <f t="shared" si="5"/>
        <v>919206.061555</v>
      </c>
      <c r="F98" s="320">
        <f t="shared" si="9"/>
        <v>501464.59792169806</v>
      </c>
      <c r="G98" s="319">
        <f>+'Statement D Table D-2'!M41</f>
        <v>4101.502676854672</v>
      </c>
      <c r="H98" s="319">
        <f t="shared" si="10"/>
        <v>439553.1072185924</v>
      </c>
      <c r="I98" s="319">
        <f>F98+SUM('Revised Revenue Test'!$F$66,'Revised Revenue Test'!$F$69:$F$75)</f>
        <v>360061.31465249014</v>
      </c>
      <c r="J98" s="319">
        <f t="shared" si="11"/>
        <v>799614.4218710826</v>
      </c>
      <c r="K98" s="331">
        <f>+'Inputs for Evans Tables'!C24+'Inputs for Evans Tables'!E24</f>
        <v>211137.698</v>
      </c>
      <c r="L98" s="331">
        <f>+'Inputs for Evans Tables'!G24</f>
        <v>485646.901</v>
      </c>
      <c r="M98" s="331">
        <f>+'Inputs for Evans Tables'!J24</f>
        <v>0</v>
      </c>
      <c r="N98" s="328">
        <f t="shared" si="4"/>
        <v>102829.82287108261</v>
      </c>
      <c r="P98" s="331"/>
      <c r="Q98" s="331"/>
      <c r="S98" s="319"/>
      <c r="U98" s="319"/>
      <c r="W98" s="319"/>
      <c r="Y98" s="319"/>
      <c r="AA98" s="319"/>
      <c r="AC98" s="319"/>
      <c r="AE98" s="319"/>
      <c r="AG98" s="319"/>
      <c r="AI98" s="319"/>
      <c r="AK98" s="319"/>
    </row>
    <row r="99" spans="1:37" ht="12.75">
      <c r="A99" s="318">
        <v>34</v>
      </c>
      <c r="B99" s="322">
        <f t="shared" si="6"/>
        <v>2043</v>
      </c>
      <c r="C99" s="319">
        <f t="shared" si="7"/>
        <v>3167817.4043121454</v>
      </c>
      <c r="D99" s="319">
        <f t="shared" si="8"/>
        <v>1303492.1349400003</v>
      </c>
      <c r="E99" s="319">
        <f t="shared" si="5"/>
        <v>919206.061555</v>
      </c>
      <c r="F99" s="320">
        <f t="shared" si="9"/>
        <v>501464.59792169806</v>
      </c>
      <c r="G99" s="319">
        <f>+'Statement D Table D-2'!M42</f>
        <v>-10299.58232314532</v>
      </c>
      <c r="H99" s="319">
        <f t="shared" si="10"/>
        <v>453954.1922185924</v>
      </c>
      <c r="I99" s="319">
        <f>F99+SUM('Revised Revenue Test'!$F$66,'Revised Revenue Test'!$F$69:$F$75)</f>
        <v>360061.31465249014</v>
      </c>
      <c r="J99" s="319">
        <f t="shared" si="11"/>
        <v>814015.5068710826</v>
      </c>
      <c r="K99" s="331">
        <f>+'Inputs for Evans Tables'!C25+'Inputs for Evans Tables'!E25</f>
        <v>115076.3465</v>
      </c>
      <c r="L99" s="331">
        <f>+'Inputs for Evans Tables'!G25</f>
        <v>598972.217</v>
      </c>
      <c r="M99" s="331">
        <f>+'Inputs for Evans Tables'!J25</f>
        <v>0</v>
      </c>
      <c r="N99" s="317">
        <f t="shared" si="4"/>
        <v>99966.94337108264</v>
      </c>
      <c r="P99" s="331"/>
      <c r="Q99" s="331"/>
      <c r="S99" s="319"/>
      <c r="U99" s="319"/>
      <c r="W99" s="319"/>
      <c r="Y99" s="319"/>
      <c r="AA99" s="319"/>
      <c r="AC99" s="319"/>
      <c r="AE99" s="319"/>
      <c r="AG99" s="319"/>
      <c r="AI99" s="319"/>
      <c r="AK99" s="319"/>
    </row>
    <row r="100" spans="1:37" ht="12.75">
      <c r="A100" s="318">
        <v>35</v>
      </c>
      <c r="B100" s="322">
        <f>B99+1</f>
        <v>2044</v>
      </c>
      <c r="C100" s="319">
        <f t="shared" si="7"/>
        <v>3167817.4043121454</v>
      </c>
      <c r="D100" s="319">
        <f t="shared" si="8"/>
        <v>1303492.1349400003</v>
      </c>
      <c r="E100" s="319">
        <f t="shared" si="5"/>
        <v>919206.061555</v>
      </c>
      <c r="F100" s="320">
        <f t="shared" si="9"/>
        <v>501464.59792169806</v>
      </c>
      <c r="G100" s="319">
        <f>+'Statement D Table D-2'!M43</f>
        <v>-27927.54732314532</v>
      </c>
      <c r="H100" s="319">
        <f t="shared" si="10"/>
        <v>471582.1572185924</v>
      </c>
      <c r="I100" s="319">
        <f>F100+SUM('Revised Revenue Test'!$F$66,'Revised Revenue Test'!$F$69:$F$75)</f>
        <v>360061.31465249014</v>
      </c>
      <c r="J100" s="319">
        <f t="shared" si="11"/>
        <v>831643.4718710826</v>
      </c>
      <c r="K100" s="331">
        <f>+'Inputs for Evans Tables'!C26+'Inputs for Evans Tables'!E26</f>
        <v>226470.72625</v>
      </c>
      <c r="L100" s="331">
        <f>+'Inputs for Evans Tables'!G26</f>
        <v>500785.773</v>
      </c>
      <c r="M100" s="331">
        <f>+'Inputs for Evans Tables'!J26</f>
        <v>0</v>
      </c>
      <c r="N100" s="317">
        <f t="shared" si="4"/>
        <v>104386.97262108256</v>
      </c>
      <c r="P100" s="331"/>
      <c r="Q100" s="331"/>
      <c r="S100" s="319"/>
      <c r="U100" s="319"/>
      <c r="W100" s="319"/>
      <c r="Y100" s="319"/>
      <c r="AA100" s="319"/>
      <c r="AC100" s="319"/>
      <c r="AE100" s="319"/>
      <c r="AG100" s="319"/>
      <c r="AI100" s="319"/>
      <c r="AK100" s="319"/>
    </row>
    <row r="101" spans="1:37" ht="12.75">
      <c r="A101" s="318">
        <v>36</v>
      </c>
      <c r="B101" s="322">
        <f t="shared" si="6"/>
        <v>2045</v>
      </c>
      <c r="C101" s="319">
        <f t="shared" si="7"/>
        <v>3167817.4043121454</v>
      </c>
      <c r="D101" s="319">
        <f t="shared" si="8"/>
        <v>1303492.1349400003</v>
      </c>
      <c r="E101" s="319">
        <f t="shared" si="5"/>
        <v>919206.061555</v>
      </c>
      <c r="F101" s="320">
        <f t="shared" si="9"/>
        <v>501464.59792169806</v>
      </c>
      <c r="G101" s="319">
        <f>+'Statement D Table D-2'!M44</f>
        <v>-40787.483323145316</v>
      </c>
      <c r="H101" s="319">
        <f t="shared" si="10"/>
        <v>484442.0932185924</v>
      </c>
      <c r="I101" s="319">
        <f>F101+SUM('Revised Revenue Test'!$F$66,'Revised Revenue Test'!$F$69:$F$75)</f>
        <v>360061.31465249014</v>
      </c>
      <c r="J101" s="319">
        <f t="shared" si="11"/>
        <v>844503.4078710825</v>
      </c>
      <c r="K101" s="331">
        <f>+'Inputs for Evans Tables'!C27+'Inputs for Evans Tables'!E27</f>
        <v>489036.0925</v>
      </c>
      <c r="L101" s="331">
        <f>+'Inputs for Evans Tables'!G27</f>
        <v>232332.147</v>
      </c>
      <c r="M101" s="331">
        <f>+'Inputs for Evans Tables'!J27</f>
        <v>12011.051</v>
      </c>
      <c r="N101" s="317">
        <f t="shared" si="4"/>
        <v>111124.11737108254</v>
      </c>
      <c r="P101" s="331"/>
      <c r="Q101" s="331"/>
      <c r="S101" s="319"/>
      <c r="U101" s="319"/>
      <c r="W101" s="319"/>
      <c r="Y101" s="319"/>
      <c r="AA101" s="319"/>
      <c r="AC101" s="319"/>
      <c r="AE101" s="319"/>
      <c r="AG101" s="319"/>
      <c r="AI101" s="319"/>
      <c r="AK101" s="319"/>
    </row>
    <row r="102" spans="1:37" ht="12.75">
      <c r="A102" s="318">
        <v>37</v>
      </c>
      <c r="B102" s="322">
        <f t="shared" si="6"/>
        <v>2046</v>
      </c>
      <c r="C102" s="319">
        <f t="shared" si="7"/>
        <v>3167817.4043121454</v>
      </c>
      <c r="D102" s="319">
        <f t="shared" si="8"/>
        <v>1303492.1349400003</v>
      </c>
      <c r="E102" s="319">
        <f t="shared" si="5"/>
        <v>919206.061555</v>
      </c>
      <c r="F102" s="320">
        <f t="shared" si="9"/>
        <v>501464.59792169806</v>
      </c>
      <c r="G102" s="319">
        <f>+'Statement D Table D-2'!M45</f>
        <v>-46042.27332314532</v>
      </c>
      <c r="H102" s="319">
        <f t="shared" si="10"/>
        <v>489696.8832185924</v>
      </c>
      <c r="I102" s="319">
        <f>F102+SUM('Revised Revenue Test'!$F$66,'Revised Revenue Test'!$F$69:$F$75)</f>
        <v>360061.31465249014</v>
      </c>
      <c r="J102" s="319">
        <f t="shared" si="11"/>
        <v>849758.1978710825</v>
      </c>
      <c r="K102" s="331">
        <f>+'Inputs for Evans Tables'!C28+'Inputs for Evans Tables'!E28</f>
        <v>489035.1625</v>
      </c>
      <c r="L102" s="331">
        <f>+'Inputs for Evans Tables'!G28</f>
        <v>243541.454</v>
      </c>
      <c r="M102" s="331">
        <f>+'Inputs for Evans Tables'!J28</f>
        <v>0</v>
      </c>
      <c r="N102" s="317">
        <f t="shared" si="4"/>
        <v>117181.58137108246</v>
      </c>
      <c r="P102" s="331"/>
      <c r="Q102" s="331"/>
      <c r="S102" s="319"/>
      <c r="U102" s="319"/>
      <c r="W102" s="319"/>
      <c r="Y102" s="319"/>
      <c r="AA102" s="319"/>
      <c r="AC102" s="319"/>
      <c r="AE102" s="319"/>
      <c r="AG102" s="319"/>
      <c r="AI102" s="319"/>
      <c r="AK102" s="319"/>
    </row>
    <row r="103" spans="1:37" ht="12.75">
      <c r="A103" s="318">
        <v>38</v>
      </c>
      <c r="B103" s="322">
        <f t="shared" si="6"/>
        <v>2047</v>
      </c>
      <c r="C103" s="319">
        <f t="shared" si="7"/>
        <v>3167817.4043121454</v>
      </c>
      <c r="D103" s="319">
        <f t="shared" si="8"/>
        <v>1303492.1349400003</v>
      </c>
      <c r="E103" s="319">
        <f t="shared" si="5"/>
        <v>919206.061555</v>
      </c>
      <c r="F103" s="320">
        <f t="shared" si="9"/>
        <v>501464.59792169806</v>
      </c>
      <c r="G103" s="319">
        <f>+'Statement D Table D-2'!M46</f>
        <v>-45237.60032314532</v>
      </c>
      <c r="H103" s="319">
        <f t="shared" si="10"/>
        <v>488892.21021859243</v>
      </c>
      <c r="I103" s="319">
        <f>F103+SUM('Revised Revenue Test'!$F$66,'Revised Revenue Test'!$F$69:$F$75)</f>
        <v>360061.31465249014</v>
      </c>
      <c r="J103" s="319">
        <f t="shared" si="11"/>
        <v>848953.5248710825</v>
      </c>
      <c r="K103" s="331">
        <f>+'Inputs for Evans Tables'!C29+'Inputs for Evans Tables'!E29</f>
        <v>489037.305</v>
      </c>
      <c r="L103" s="331">
        <f>+'Inputs for Evans Tables'!G29</f>
        <v>242925.969</v>
      </c>
      <c r="M103" s="331">
        <f>+'Inputs for Evans Tables'!J29</f>
        <v>0</v>
      </c>
      <c r="N103" s="317">
        <f t="shared" si="4"/>
        <v>116990.25087108248</v>
      </c>
      <c r="P103" s="331"/>
      <c r="Q103" s="331"/>
      <c r="S103" s="319"/>
      <c r="U103" s="319"/>
      <c r="W103" s="319"/>
      <c r="Y103" s="319"/>
      <c r="AA103" s="319"/>
      <c r="AC103" s="319"/>
      <c r="AE103" s="319"/>
      <c r="AG103" s="319"/>
      <c r="AI103" s="319"/>
      <c r="AK103" s="319"/>
    </row>
    <row r="104" spans="1:37" ht="12.75">
      <c r="A104" s="318">
        <v>39</v>
      </c>
      <c r="B104" s="322">
        <f t="shared" si="6"/>
        <v>2048</v>
      </c>
      <c r="C104" s="319">
        <f t="shared" si="7"/>
        <v>3167817.4043121454</v>
      </c>
      <c r="D104" s="319">
        <f t="shared" si="8"/>
        <v>1303492.1349400003</v>
      </c>
      <c r="E104" s="319">
        <f t="shared" si="5"/>
        <v>919206.061555</v>
      </c>
      <c r="F104" s="320">
        <f t="shared" si="9"/>
        <v>501464.59792169806</v>
      </c>
      <c r="G104" s="319">
        <f>+'Statement D Table D-2'!M47</f>
        <v>-44622.25732314531</v>
      </c>
      <c r="H104" s="319">
        <f t="shared" si="10"/>
        <v>488276.86721859244</v>
      </c>
      <c r="I104" s="319">
        <f>F104+SUM('Revised Revenue Test'!$F$66,'Revised Revenue Test'!$F$69:$F$75)</f>
        <v>360061.31465249014</v>
      </c>
      <c r="J104" s="319">
        <f t="shared" si="11"/>
        <v>848338.1818710826</v>
      </c>
      <c r="K104" s="331">
        <f>+'Inputs for Evans Tables'!C30+'Inputs for Evans Tables'!E30</f>
        <v>489035.14</v>
      </c>
      <c r="L104" s="331">
        <f>+'Inputs for Evans Tables'!G30</f>
        <v>242292.497</v>
      </c>
      <c r="M104" s="331">
        <f>+'Inputs for Evans Tables'!J30</f>
        <v>0</v>
      </c>
      <c r="N104" s="317">
        <f t="shared" si="4"/>
        <v>117010.54487108265</v>
      </c>
      <c r="P104" s="331"/>
      <c r="Q104" s="331"/>
      <c r="S104" s="319"/>
      <c r="U104" s="319"/>
      <c r="W104" s="319"/>
      <c r="Y104" s="319"/>
      <c r="AA104" s="319"/>
      <c r="AC104" s="319"/>
      <c r="AE104" s="319"/>
      <c r="AG104" s="319"/>
      <c r="AI104" s="319"/>
      <c r="AK104" s="319"/>
    </row>
    <row r="105" spans="1:37" ht="12.75">
      <c r="A105" s="318">
        <v>40</v>
      </c>
      <c r="B105" s="322">
        <f>B104+1</f>
        <v>2049</v>
      </c>
      <c r="C105" s="319">
        <f t="shared" si="7"/>
        <v>3167817.4043121454</v>
      </c>
      <c r="D105" s="319">
        <f t="shared" si="8"/>
        <v>1303492.1349400003</v>
      </c>
      <c r="E105" s="319">
        <f t="shared" si="5"/>
        <v>919206.061555</v>
      </c>
      <c r="F105" s="320">
        <f t="shared" si="9"/>
        <v>501464.59792169806</v>
      </c>
      <c r="G105" s="319">
        <f>+'Statement D Table D-2'!M48</f>
        <v>-43986.620323145326</v>
      </c>
      <c r="H105" s="319">
        <f t="shared" si="10"/>
        <v>487641.23021859245</v>
      </c>
      <c r="I105" s="319">
        <f>F105+SUM('Revised Revenue Test'!$F$66,'Revised Revenue Test'!$F$69:$F$75)</f>
        <v>360061.31465249014</v>
      </c>
      <c r="J105" s="319">
        <f t="shared" si="11"/>
        <v>847702.5448710825</v>
      </c>
      <c r="K105" s="331">
        <f>+'Inputs for Evans Tables'!C31+'Inputs for Evans Tables'!E31</f>
        <v>489035.925</v>
      </c>
      <c r="L105" s="331">
        <f>+'Inputs for Evans Tables'!G31</f>
        <v>241632.984</v>
      </c>
      <c r="M105" s="331">
        <f>+'Inputs for Evans Tables'!J31</f>
        <v>0</v>
      </c>
      <c r="N105" s="317">
        <f t="shared" si="4"/>
        <v>117033.6358710826</v>
      </c>
      <c r="P105" s="331"/>
      <c r="Q105" s="331"/>
      <c r="S105" s="319"/>
      <c r="U105" s="319"/>
      <c r="W105" s="319"/>
      <c r="Y105" s="319"/>
      <c r="AA105" s="319"/>
      <c r="AC105" s="319"/>
      <c r="AE105" s="319"/>
      <c r="AG105" s="319"/>
      <c r="AI105" s="319"/>
      <c r="AK105" s="319"/>
    </row>
    <row r="106" spans="1:37" ht="12.75">
      <c r="A106" s="318">
        <v>41</v>
      </c>
      <c r="B106" s="322">
        <f t="shared" si="6"/>
        <v>2050</v>
      </c>
      <c r="C106" s="319">
        <f t="shared" si="7"/>
        <v>3167817.4043121454</v>
      </c>
      <c r="D106" s="319">
        <f t="shared" si="8"/>
        <v>1303492.1349400003</v>
      </c>
      <c r="E106" s="319">
        <f t="shared" si="5"/>
        <v>919206.061555</v>
      </c>
      <c r="F106" s="320">
        <f t="shared" si="9"/>
        <v>501464.59792169806</v>
      </c>
      <c r="G106" s="319">
        <f>+'Statement D Table D-2'!M49</f>
        <v>-43325.89232314532</v>
      </c>
      <c r="H106" s="319">
        <f t="shared" si="10"/>
        <v>486980.50221859245</v>
      </c>
      <c r="I106" s="319">
        <f>F106+SUM('Revised Revenue Test'!$F$66,'Revised Revenue Test'!$F$69:$F$75)</f>
        <v>360061.31465249014</v>
      </c>
      <c r="J106" s="319">
        <f t="shared" si="11"/>
        <v>847041.8168710826</v>
      </c>
      <c r="K106" s="331">
        <f>+'Inputs for Evans Tables'!C32+'Inputs for Evans Tables'!E32</f>
        <v>489035.685</v>
      </c>
      <c r="L106" s="331">
        <f>+'Inputs for Evans Tables'!G32</f>
        <v>240950.538</v>
      </c>
      <c r="M106" s="331">
        <f>+'Inputs for Evans Tables'!J32</f>
        <v>0</v>
      </c>
      <c r="N106" s="317">
        <f t="shared" si="4"/>
        <v>117055.5938710827</v>
      </c>
      <c r="P106" s="331"/>
      <c r="Q106" s="331"/>
      <c r="S106" s="319"/>
      <c r="U106" s="319"/>
      <c r="W106" s="319"/>
      <c r="Y106" s="319"/>
      <c r="AA106" s="319"/>
      <c r="AC106" s="319"/>
      <c r="AE106" s="319"/>
      <c r="AG106" s="319"/>
      <c r="AI106" s="319"/>
      <c r="AK106" s="319"/>
    </row>
    <row r="107" spans="1:37" ht="12.75">
      <c r="A107" s="318">
        <v>42</v>
      </c>
      <c r="B107" s="322">
        <f t="shared" si="6"/>
        <v>2051</v>
      </c>
      <c r="C107" s="319">
        <f t="shared" si="7"/>
        <v>3167817.4043121454</v>
      </c>
      <c r="D107" s="319">
        <f t="shared" si="8"/>
        <v>1303492.1349400003</v>
      </c>
      <c r="E107" s="319">
        <f t="shared" si="5"/>
        <v>919206.061555</v>
      </c>
      <c r="F107" s="320">
        <f t="shared" si="9"/>
        <v>501464.59792169806</v>
      </c>
      <c r="G107" s="319">
        <f>+'Statement D Table D-2'!M50</f>
        <v>-42643.20632314532</v>
      </c>
      <c r="H107" s="319">
        <f t="shared" si="10"/>
        <v>486297.8162185924</v>
      </c>
      <c r="I107" s="319">
        <f>F107+SUM('Revised Revenue Test'!$F$66,'Revised Revenue Test'!$F$69:$F$75)</f>
        <v>360061.31465249014</v>
      </c>
      <c r="J107" s="319">
        <f t="shared" si="11"/>
        <v>846359.1308710825</v>
      </c>
      <c r="K107" s="331">
        <f>+'Inputs for Evans Tables'!C33+'Inputs for Evans Tables'!E33</f>
        <v>489034.7925</v>
      </c>
      <c r="L107" s="331">
        <f>+'Inputs for Evans Tables'!G33</f>
        <v>240243.944</v>
      </c>
      <c r="M107" s="331">
        <f>+'Inputs for Evans Tables'!J33</f>
        <v>0</v>
      </c>
      <c r="N107" s="317">
        <f t="shared" si="4"/>
        <v>117080.39437108254</v>
      </c>
      <c r="P107" s="331"/>
      <c r="Q107" s="331"/>
      <c r="S107" s="319"/>
      <c r="U107" s="319"/>
      <c r="W107" s="319"/>
      <c r="Y107" s="319"/>
      <c r="AA107" s="319"/>
      <c r="AC107" s="319"/>
      <c r="AE107" s="319"/>
      <c r="AG107" s="319"/>
      <c r="AI107" s="319"/>
      <c r="AK107" s="319"/>
    </row>
    <row r="108" spans="1:37" ht="12.75">
      <c r="A108" s="318">
        <v>43</v>
      </c>
      <c r="B108" s="322">
        <f t="shared" si="6"/>
        <v>2052</v>
      </c>
      <c r="C108" s="319">
        <f t="shared" si="7"/>
        <v>3167817.4043121454</v>
      </c>
      <c r="D108" s="319">
        <f t="shared" si="8"/>
        <v>1303492.1349400003</v>
      </c>
      <c r="E108" s="319">
        <f t="shared" si="5"/>
        <v>919206.061555</v>
      </c>
      <c r="F108" s="320">
        <f t="shared" si="9"/>
        <v>501464.59792169806</v>
      </c>
      <c r="G108" s="319">
        <f>+'Statement D Table D-2'!M51</f>
        <v>-41933.71932314531</v>
      </c>
      <c r="H108" s="319">
        <f t="shared" si="10"/>
        <v>485588.3292185924</v>
      </c>
      <c r="I108" s="319">
        <f>F108+SUM('Revised Revenue Test'!$F$66,'Revised Revenue Test'!$F$69:$F$75)</f>
        <v>360061.31465249014</v>
      </c>
      <c r="J108" s="319">
        <f t="shared" si="11"/>
        <v>845649.6438710825</v>
      </c>
      <c r="K108" s="331">
        <f>+'Inputs for Evans Tables'!C34+'Inputs for Evans Tables'!E34</f>
        <v>489035.1775</v>
      </c>
      <c r="L108" s="331">
        <f>+'Inputs for Evans Tables'!G34</f>
        <v>239510.356</v>
      </c>
      <c r="M108" s="331">
        <f>+'Inputs for Evans Tables'!J34</f>
        <v>0</v>
      </c>
      <c r="N108" s="317">
        <f t="shared" si="4"/>
        <v>117104.11037108244</v>
      </c>
      <c r="P108" s="331"/>
      <c r="Q108" s="331"/>
      <c r="S108" s="319"/>
      <c r="U108" s="319"/>
      <c r="W108" s="319"/>
      <c r="Y108" s="319"/>
      <c r="AA108" s="319"/>
      <c r="AC108" s="319"/>
      <c r="AE108" s="319"/>
      <c r="AG108" s="319"/>
      <c r="AI108" s="319"/>
      <c r="AK108" s="319"/>
    </row>
    <row r="109" spans="1:37" ht="12.75">
      <c r="A109" s="318">
        <v>44</v>
      </c>
      <c r="B109" s="322">
        <f t="shared" si="6"/>
        <v>2053</v>
      </c>
      <c r="C109" s="319">
        <f t="shared" si="7"/>
        <v>3167817.4043121454</v>
      </c>
      <c r="D109" s="319">
        <f t="shared" si="8"/>
        <v>1303492.1349400003</v>
      </c>
      <c r="E109" s="319">
        <f t="shared" si="5"/>
        <v>919206.061555</v>
      </c>
      <c r="F109" s="320">
        <f t="shared" si="9"/>
        <v>501464.59792169806</v>
      </c>
      <c r="G109" s="319">
        <f>+'Statement D Table D-2'!M52</f>
        <v>-41198.51632314532</v>
      </c>
      <c r="H109" s="319">
        <f t="shared" si="10"/>
        <v>484853.1262185924</v>
      </c>
      <c r="I109" s="319">
        <f>F109+SUM('Revised Revenue Test'!$F$66,'Revised Revenue Test'!$F$69:$F$75)</f>
        <v>360061.31465249014</v>
      </c>
      <c r="J109" s="319">
        <f t="shared" si="11"/>
        <v>844914.4408710825</v>
      </c>
      <c r="K109" s="331">
        <f>+'Inputs for Evans Tables'!C35+'Inputs for Evans Tables'!E35</f>
        <v>489035.1825</v>
      </c>
      <c r="L109" s="331">
        <f>+'Inputs for Evans Tables'!G35</f>
        <v>238750.482</v>
      </c>
      <c r="M109" s="331">
        <f>+'Inputs for Evans Tables'!J35</f>
        <v>0</v>
      </c>
      <c r="N109" s="317">
        <f t="shared" si="4"/>
        <v>117128.77637108252</v>
      </c>
      <c r="P109" s="331"/>
      <c r="Q109" s="331"/>
      <c r="S109" s="319"/>
      <c r="U109" s="319"/>
      <c r="W109" s="319"/>
      <c r="Y109" s="319"/>
      <c r="AA109" s="319"/>
      <c r="AC109" s="319"/>
      <c r="AE109" s="319"/>
      <c r="AG109" s="319"/>
      <c r="AI109" s="319"/>
      <c r="AK109" s="319"/>
    </row>
    <row r="110" spans="1:37" ht="12.75">
      <c r="A110" s="318">
        <v>45</v>
      </c>
      <c r="B110" s="322">
        <f>B109+1</f>
        <v>2054</v>
      </c>
      <c r="C110" s="319">
        <f t="shared" si="7"/>
        <v>3167817.4043121454</v>
      </c>
      <c r="D110" s="319">
        <f t="shared" si="8"/>
        <v>1303492.1349400003</v>
      </c>
      <c r="E110" s="319">
        <f t="shared" si="5"/>
        <v>919206.061555</v>
      </c>
      <c r="F110" s="320">
        <f t="shared" si="9"/>
        <v>501464.59792169806</v>
      </c>
      <c r="G110" s="319">
        <f>+'Statement D Table D-2'!M53</f>
        <v>-40438.64832314532</v>
      </c>
      <c r="H110" s="319">
        <f t="shared" si="10"/>
        <v>484093.2582185924</v>
      </c>
      <c r="I110" s="319">
        <f>F110+SUM('Revised Revenue Test'!$F$66,'Revised Revenue Test'!$F$69:$F$75)</f>
        <v>360061.31465249014</v>
      </c>
      <c r="J110" s="319">
        <f t="shared" si="11"/>
        <v>844154.5728710825</v>
      </c>
      <c r="K110" s="331">
        <f>+'Inputs for Evans Tables'!C36+'Inputs for Evans Tables'!E36</f>
        <v>489035.9575</v>
      </c>
      <c r="L110" s="331">
        <f>+'Inputs for Evans Tables'!G36</f>
        <v>237962.196</v>
      </c>
      <c r="M110" s="331">
        <f>+'Inputs for Evans Tables'!J36</f>
        <v>0</v>
      </c>
      <c r="N110" s="317">
        <f t="shared" si="4"/>
        <v>117156.41937108245</v>
      </c>
      <c r="P110" s="331"/>
      <c r="Q110" s="331"/>
      <c r="S110" s="319"/>
      <c r="U110" s="319"/>
      <c r="W110" s="319"/>
      <c r="Y110" s="319"/>
      <c r="AA110" s="319"/>
      <c r="AC110" s="319"/>
      <c r="AE110" s="319"/>
      <c r="AG110" s="319"/>
      <c r="AI110" s="319"/>
      <c r="AK110" s="319"/>
    </row>
    <row r="111" spans="1:37" ht="12.75">
      <c r="A111" s="318">
        <v>46</v>
      </c>
      <c r="B111" s="322">
        <f t="shared" si="6"/>
        <v>2055</v>
      </c>
      <c r="C111" s="319">
        <f t="shared" si="7"/>
        <v>3167817.4043121454</v>
      </c>
      <c r="D111" s="319">
        <f t="shared" si="8"/>
        <v>1303492.1349400003</v>
      </c>
      <c r="E111" s="319">
        <f t="shared" si="5"/>
        <v>919206.061555</v>
      </c>
      <c r="F111" s="320">
        <f t="shared" si="9"/>
        <v>501464.59792169806</v>
      </c>
      <c r="G111" s="319">
        <f>+'Statement D Table D-2'!M54</f>
        <v>-39649.13732314532</v>
      </c>
      <c r="H111" s="319">
        <f t="shared" si="10"/>
        <v>483303.74721859244</v>
      </c>
      <c r="I111" s="319">
        <f>F111+SUM('Revised Revenue Test'!$F$66,'Revised Revenue Test'!$F$69:$F$75)</f>
        <v>360061.31465249014</v>
      </c>
      <c r="J111" s="319">
        <f t="shared" si="11"/>
        <v>843365.0618710825</v>
      </c>
      <c r="K111" s="331">
        <f>+'Inputs for Evans Tables'!C37+'Inputs for Evans Tables'!E37</f>
        <v>489036.2425</v>
      </c>
      <c r="L111" s="331">
        <f>+'Inputs for Evans Tables'!G37</f>
        <v>237145.748</v>
      </c>
      <c r="M111" s="331">
        <f>+'Inputs for Evans Tables'!J37</f>
        <v>0</v>
      </c>
      <c r="N111" s="317">
        <f t="shared" si="4"/>
        <v>117183.07137108251</v>
      </c>
      <c r="P111" s="331"/>
      <c r="Q111" s="331"/>
      <c r="S111" s="319"/>
      <c r="U111" s="319"/>
      <c r="W111" s="319"/>
      <c r="Y111" s="319"/>
      <c r="AA111" s="319"/>
      <c r="AC111" s="319"/>
      <c r="AE111" s="319"/>
      <c r="AG111" s="319"/>
      <c r="AI111" s="319"/>
      <c r="AK111" s="319"/>
    </row>
    <row r="112" spans="1:37" ht="12.75">
      <c r="A112" s="318">
        <v>47</v>
      </c>
      <c r="B112" s="322">
        <f t="shared" si="6"/>
        <v>2056</v>
      </c>
      <c r="C112" s="319">
        <f t="shared" si="7"/>
        <v>3167817.4043121454</v>
      </c>
      <c r="D112" s="319">
        <f t="shared" si="8"/>
        <v>1303492.1349400003</v>
      </c>
      <c r="E112" s="319">
        <f t="shared" si="5"/>
        <v>919206.061555</v>
      </c>
      <c r="F112" s="320">
        <f t="shared" si="9"/>
        <v>501464.59792169806</v>
      </c>
      <c r="G112" s="319">
        <f>+'Statement D Table D-2'!M55</f>
        <v>-38832.97432314532</v>
      </c>
      <c r="H112" s="319">
        <f t="shared" si="10"/>
        <v>482487.5842185924</v>
      </c>
      <c r="I112" s="319">
        <f>F112+SUM('Revised Revenue Test'!$F$66,'Revised Revenue Test'!$F$69:$F$75)</f>
        <v>360061.31465249014</v>
      </c>
      <c r="J112" s="319">
        <f t="shared" si="11"/>
        <v>842548.8988710826</v>
      </c>
      <c r="K112" s="331">
        <f>+'Inputs for Evans Tables'!C38+'Inputs for Evans Tables'!E38</f>
        <v>489033.69</v>
      </c>
      <c r="L112" s="331">
        <f>+'Inputs for Evans Tables'!G38</f>
        <v>236302.509</v>
      </c>
      <c r="M112" s="331">
        <f>+'Inputs for Evans Tables'!J38</f>
        <v>0</v>
      </c>
      <c r="N112" s="317">
        <f t="shared" si="4"/>
        <v>117212.69987108262</v>
      </c>
      <c r="P112" s="331"/>
      <c r="Q112" s="331"/>
      <c r="S112" s="319"/>
      <c r="U112" s="319"/>
      <c r="W112" s="319"/>
      <c r="Y112" s="319"/>
      <c r="AA112" s="319"/>
      <c r="AC112" s="319"/>
      <c r="AE112" s="319"/>
      <c r="AG112" s="319"/>
      <c r="AI112" s="319"/>
      <c r="AK112" s="319"/>
    </row>
    <row r="113" spans="1:37" ht="12.75">
      <c r="A113" s="318">
        <v>48</v>
      </c>
      <c r="B113" s="322">
        <f t="shared" si="6"/>
        <v>2057</v>
      </c>
      <c r="C113" s="319">
        <f t="shared" si="7"/>
        <v>3167817.4043121454</v>
      </c>
      <c r="D113" s="319">
        <f t="shared" si="8"/>
        <v>1303492.1349400003</v>
      </c>
      <c r="E113" s="319">
        <f t="shared" si="5"/>
        <v>919206.061555</v>
      </c>
      <c r="F113" s="320">
        <f t="shared" si="9"/>
        <v>501464.59792169806</v>
      </c>
      <c r="G113" s="319">
        <f>+'Statement D Table D-2'!M56</f>
        <v>-37985.182323145316</v>
      </c>
      <c r="H113" s="319">
        <f t="shared" si="10"/>
        <v>481639.7922185924</v>
      </c>
      <c r="I113" s="319">
        <f>F113+SUM('Revised Revenue Test'!$F$66,'Revised Revenue Test'!$F$69:$F$75)</f>
        <v>360061.31465249014</v>
      </c>
      <c r="J113" s="319">
        <f t="shared" si="11"/>
        <v>841701.1068710826</v>
      </c>
      <c r="K113" s="331">
        <f>+'Inputs for Evans Tables'!C39+'Inputs for Evans Tables'!E39</f>
        <v>489033.615</v>
      </c>
      <c r="L113" s="331">
        <f>+'Inputs for Evans Tables'!G39</f>
        <v>235426.084</v>
      </c>
      <c r="M113" s="331">
        <f>+'Inputs for Evans Tables'!J39</f>
        <v>0</v>
      </c>
      <c r="N113" s="317">
        <f t="shared" si="4"/>
        <v>117241.40787108254</v>
      </c>
      <c r="P113" s="331"/>
      <c r="Q113" s="331"/>
      <c r="S113" s="319"/>
      <c r="U113" s="319"/>
      <c r="W113" s="319"/>
      <c r="Y113" s="319"/>
      <c r="AA113" s="319"/>
      <c r="AC113" s="319"/>
      <c r="AE113" s="319"/>
      <c r="AG113" s="319"/>
      <c r="AI113" s="319"/>
      <c r="AK113" s="319"/>
    </row>
    <row r="114" spans="1:37" ht="12.75">
      <c r="A114" s="318">
        <v>49</v>
      </c>
      <c r="B114" s="322">
        <f t="shared" si="6"/>
        <v>2058</v>
      </c>
      <c r="C114" s="319">
        <f t="shared" si="7"/>
        <v>3167817.4043121454</v>
      </c>
      <c r="D114" s="319">
        <f t="shared" si="8"/>
        <v>1303492.1349400003</v>
      </c>
      <c r="E114" s="319">
        <f aca="true" t="shared" si="12" ref="E114:E131">+$E$151</f>
        <v>919206.061555</v>
      </c>
      <c r="F114" s="320">
        <f t="shared" si="9"/>
        <v>501464.59792169806</v>
      </c>
      <c r="G114" s="319">
        <f>+'Statement D Table D-2'!M57</f>
        <v>-37106.68232314532</v>
      </c>
      <c r="H114" s="319">
        <f t="shared" si="10"/>
        <v>480761.2922185924</v>
      </c>
      <c r="I114" s="319">
        <f>F114+SUM('Revised Revenue Test'!$F$66,'Revised Revenue Test'!$F$69:$F$75)</f>
        <v>360061.31465249014</v>
      </c>
      <c r="J114" s="319">
        <f t="shared" si="11"/>
        <v>840822.6068710826</v>
      </c>
      <c r="K114" s="331">
        <f>+'Inputs for Evans Tables'!C40+'Inputs for Evans Tables'!E40</f>
        <v>489034.7375</v>
      </c>
      <c r="L114" s="331">
        <f>+'Inputs for Evans Tables'!G40</f>
        <v>234516.571</v>
      </c>
      <c r="M114" s="331">
        <f>+'Inputs for Evans Tables'!J40</f>
        <v>0</v>
      </c>
      <c r="N114" s="317">
        <f t="shared" si="4"/>
        <v>117271.29837108258</v>
      </c>
      <c r="P114" s="331"/>
      <c r="Q114" s="331"/>
      <c r="S114" s="319"/>
      <c r="U114" s="319"/>
      <c r="W114" s="319"/>
      <c r="Y114" s="319"/>
      <c r="AA114" s="319"/>
      <c r="AC114" s="319"/>
      <c r="AE114" s="319"/>
      <c r="AG114" s="319"/>
      <c r="AI114" s="319"/>
      <c r="AK114" s="319"/>
    </row>
    <row r="115" spans="1:37" ht="12.75">
      <c r="A115" s="318">
        <v>50</v>
      </c>
      <c r="B115" s="322">
        <f>B114+1</f>
        <v>2059</v>
      </c>
      <c r="C115" s="319">
        <f t="shared" si="7"/>
        <v>3167817.4043121454</v>
      </c>
      <c r="D115" s="319">
        <f t="shared" si="8"/>
        <v>1303492.1349400003</v>
      </c>
      <c r="E115" s="319">
        <f t="shared" si="12"/>
        <v>919206.061555</v>
      </c>
      <c r="F115" s="320">
        <f t="shared" si="9"/>
        <v>501464.59792169806</v>
      </c>
      <c r="G115" s="319">
        <f>+'Statement D Table D-2'!M58</f>
        <v>-36196.292323145324</v>
      </c>
      <c r="H115" s="319">
        <f t="shared" si="10"/>
        <v>479850.9022185924</v>
      </c>
      <c r="I115" s="319">
        <f>F115+SUM('Revised Revenue Test'!$F$66,'Revised Revenue Test'!$F$69:$F$75)</f>
        <v>360061.31465249014</v>
      </c>
      <c r="J115" s="319">
        <f t="shared" si="11"/>
        <v>839912.2168710825</v>
      </c>
      <c r="K115" s="331">
        <f>+'Inputs for Evans Tables'!C41+'Inputs for Evans Tables'!E41</f>
        <v>489038.2225</v>
      </c>
      <c r="L115" s="331">
        <f>+'Inputs for Evans Tables'!G41</f>
        <v>233571.58</v>
      </c>
      <c r="M115" s="331">
        <f>+'Inputs for Evans Tables'!J41</f>
        <v>0</v>
      </c>
      <c r="N115" s="317">
        <f t="shared" si="4"/>
        <v>117302.41437108262</v>
      </c>
      <c r="P115" s="331"/>
      <c r="Q115" s="331"/>
      <c r="S115" s="319"/>
      <c r="U115" s="319"/>
      <c r="W115" s="319"/>
      <c r="Y115" s="319"/>
      <c r="AA115" s="319"/>
      <c r="AC115" s="319"/>
      <c r="AE115" s="319"/>
      <c r="AG115" s="319"/>
      <c r="AI115" s="319"/>
      <c r="AK115" s="319"/>
    </row>
    <row r="116" spans="1:37" ht="12.75">
      <c r="A116" s="318">
        <v>51</v>
      </c>
      <c r="B116" s="322">
        <f t="shared" si="6"/>
        <v>2060</v>
      </c>
      <c r="C116" s="319">
        <f t="shared" si="7"/>
        <v>3167817.4043121454</v>
      </c>
      <c r="D116" s="319">
        <f t="shared" si="8"/>
        <v>1303492.1349400003</v>
      </c>
      <c r="E116" s="319">
        <f t="shared" si="12"/>
        <v>919206.061555</v>
      </c>
      <c r="F116" s="320">
        <f t="shared" si="9"/>
        <v>501464.59792169806</v>
      </c>
      <c r="G116" s="319">
        <f>+'Statement D Table D-2'!M59</f>
        <v>-35254.78632314532</v>
      </c>
      <c r="H116" s="319">
        <f t="shared" si="10"/>
        <v>478909.3962185924</v>
      </c>
      <c r="I116" s="319">
        <f>F116+SUM('Revised Revenue Test'!$F$66,'Revised Revenue Test'!$F$69:$F$75)</f>
        <v>360061.31465249014</v>
      </c>
      <c r="J116" s="319">
        <f t="shared" si="11"/>
        <v>838970.7108710825</v>
      </c>
      <c r="K116" s="331">
        <f>+'Inputs for Evans Tables'!C42+'Inputs for Evans Tables'!E42</f>
        <v>489037.4625</v>
      </c>
      <c r="L116" s="331">
        <f>+'Inputs for Evans Tables'!G42</f>
        <v>232596.56</v>
      </c>
      <c r="M116" s="331">
        <f>+'Inputs for Evans Tables'!J42</f>
        <v>0</v>
      </c>
      <c r="N116" s="317">
        <f t="shared" si="4"/>
        <v>117336.68837108242</v>
      </c>
      <c r="P116" s="331"/>
      <c r="Q116" s="331"/>
      <c r="S116" s="319"/>
      <c r="U116" s="319"/>
      <c r="W116" s="319"/>
      <c r="Y116" s="319"/>
      <c r="AA116" s="319"/>
      <c r="AC116" s="319"/>
      <c r="AE116" s="319"/>
      <c r="AG116" s="319"/>
      <c r="AI116" s="319"/>
      <c r="AK116" s="319"/>
    </row>
    <row r="117" spans="1:37" ht="12.75">
      <c r="A117" s="318">
        <v>52</v>
      </c>
      <c r="B117" s="322">
        <f t="shared" si="6"/>
        <v>2061</v>
      </c>
      <c r="C117" s="319">
        <f t="shared" si="7"/>
        <v>3167817.4043121454</v>
      </c>
      <c r="D117" s="319">
        <f t="shared" si="8"/>
        <v>1303492.1349400003</v>
      </c>
      <c r="E117" s="319">
        <f t="shared" si="12"/>
        <v>919206.061555</v>
      </c>
      <c r="F117" s="320">
        <f t="shared" si="9"/>
        <v>501464.59792169806</v>
      </c>
      <c r="G117" s="319">
        <f>+'Statement D Table D-2'!M60</f>
        <v>-34277.00532314531</v>
      </c>
      <c r="H117" s="319">
        <f t="shared" si="10"/>
        <v>477931.6152185924</v>
      </c>
      <c r="I117" s="319">
        <f>F117+SUM('Revised Revenue Test'!$F$66,'Revised Revenue Test'!$F$69:$F$75)</f>
        <v>360061.31465249014</v>
      </c>
      <c r="J117" s="319">
        <f t="shared" si="11"/>
        <v>837992.9298710825</v>
      </c>
      <c r="K117" s="331">
        <f>+'Inputs for Evans Tables'!C43+'Inputs for Evans Tables'!E43</f>
        <v>489037.19</v>
      </c>
      <c r="L117" s="331">
        <f>+'Inputs for Evans Tables'!G43</f>
        <v>231585.591</v>
      </c>
      <c r="M117" s="331">
        <f>+'Inputs for Evans Tables'!J43</f>
        <v>0</v>
      </c>
      <c r="N117" s="317">
        <f t="shared" si="4"/>
        <v>117370.14887108252</v>
      </c>
      <c r="P117" s="331"/>
      <c r="Q117" s="331"/>
      <c r="S117" s="319"/>
      <c r="U117" s="319"/>
      <c r="W117" s="319"/>
      <c r="Y117" s="319"/>
      <c r="AA117" s="319"/>
      <c r="AC117" s="319"/>
      <c r="AE117" s="319"/>
      <c r="AG117" s="319"/>
      <c r="AI117" s="319"/>
      <c r="AK117" s="319"/>
    </row>
    <row r="118" spans="1:37" ht="12.75">
      <c r="A118" s="318">
        <v>53</v>
      </c>
      <c r="B118" s="322">
        <f t="shared" si="6"/>
        <v>2062</v>
      </c>
      <c r="C118" s="319">
        <f t="shared" si="7"/>
        <v>3167817.4043121454</v>
      </c>
      <c r="D118" s="319">
        <f t="shared" si="8"/>
        <v>1303492.1349400003</v>
      </c>
      <c r="E118" s="319">
        <f t="shared" si="12"/>
        <v>919206.061555</v>
      </c>
      <c r="F118" s="320">
        <f t="shared" si="9"/>
        <v>501464.59792169806</v>
      </c>
      <c r="G118" s="319">
        <f>+'Statement D Table D-2'!M61</f>
        <v>-33263.76432314532</v>
      </c>
      <c r="H118" s="319">
        <f t="shared" si="10"/>
        <v>476918.3742185924</v>
      </c>
      <c r="I118" s="319">
        <f>F118+SUM('Revised Revenue Test'!$F$66,'Revised Revenue Test'!$F$69:$F$75)</f>
        <v>360061.31465249014</v>
      </c>
      <c r="J118" s="319">
        <f t="shared" si="11"/>
        <v>836979.6888710826</v>
      </c>
      <c r="K118" s="331">
        <f>+'Inputs for Evans Tables'!C44+'Inputs for Evans Tables'!E44</f>
        <v>489035.2525</v>
      </c>
      <c r="L118" s="331">
        <f>+'Inputs for Evans Tables'!G44</f>
        <v>230539.563</v>
      </c>
      <c r="M118" s="331">
        <f>+'Inputs for Evans Tables'!J44</f>
        <v>0</v>
      </c>
      <c r="N118" s="317">
        <f t="shared" si="4"/>
        <v>117404.87337108265</v>
      </c>
      <c r="P118" s="331"/>
      <c r="Q118" s="331"/>
      <c r="S118" s="319"/>
      <c r="U118" s="319"/>
      <c r="W118" s="319"/>
      <c r="Y118" s="319"/>
      <c r="AA118" s="319"/>
      <c r="AC118" s="319"/>
      <c r="AE118" s="319"/>
      <c r="AG118" s="319"/>
      <c r="AI118" s="319"/>
      <c r="AK118" s="319"/>
    </row>
    <row r="119" spans="1:37" ht="12.75">
      <c r="A119" s="318">
        <v>54</v>
      </c>
      <c r="B119" s="322">
        <f t="shared" si="6"/>
        <v>2063</v>
      </c>
      <c r="C119" s="319">
        <f t="shared" si="7"/>
        <v>3167817.4043121454</v>
      </c>
      <c r="D119" s="319">
        <f t="shared" si="8"/>
        <v>1303492.1349400003</v>
      </c>
      <c r="E119" s="319">
        <f t="shared" si="12"/>
        <v>919206.061555</v>
      </c>
      <c r="F119" s="320">
        <f t="shared" si="9"/>
        <v>501464.59792169806</v>
      </c>
      <c r="G119" s="319">
        <f>+'Statement D Table D-2'!M62</f>
        <v>-32213.798323145318</v>
      </c>
      <c r="H119" s="319">
        <f t="shared" si="10"/>
        <v>475868.4082185924</v>
      </c>
      <c r="I119" s="319">
        <f>F119+SUM('Revised Revenue Test'!$F$66,'Revised Revenue Test'!$F$69:$F$75)</f>
        <v>360061.31465249014</v>
      </c>
      <c r="J119" s="319">
        <f t="shared" si="11"/>
        <v>835929.7228710826</v>
      </c>
      <c r="K119" s="331">
        <f>+'Inputs for Evans Tables'!C45+'Inputs for Evans Tables'!E45</f>
        <v>489035.4025</v>
      </c>
      <c r="L119" s="331">
        <f>+'Inputs for Evans Tables'!G45</f>
        <v>229453.374</v>
      </c>
      <c r="M119" s="331">
        <f>+'Inputs for Evans Tables'!J45</f>
        <v>0</v>
      </c>
      <c r="N119" s="317">
        <f t="shared" si="4"/>
        <v>117440.94637108251</v>
      </c>
      <c r="P119" s="331"/>
      <c r="Q119" s="331"/>
      <c r="S119" s="319"/>
      <c r="U119" s="319"/>
      <c r="W119" s="319"/>
      <c r="Y119" s="319"/>
      <c r="AA119" s="319"/>
      <c r="AC119" s="319"/>
      <c r="AE119" s="319"/>
      <c r="AG119" s="319"/>
      <c r="AI119" s="319"/>
      <c r="AK119" s="319"/>
    </row>
    <row r="120" spans="1:37" ht="12.75">
      <c r="A120" s="318">
        <v>55</v>
      </c>
      <c r="B120" s="322">
        <f>B119+1</f>
        <v>2064</v>
      </c>
      <c r="C120" s="319">
        <f t="shared" si="7"/>
        <v>3167817.4043121454</v>
      </c>
      <c r="D120" s="319">
        <f t="shared" si="8"/>
        <v>1303492.1349400003</v>
      </c>
      <c r="E120" s="319">
        <f t="shared" si="12"/>
        <v>919206.061555</v>
      </c>
      <c r="F120" s="320">
        <f t="shared" si="9"/>
        <v>501464.59792169806</v>
      </c>
      <c r="G120" s="319">
        <f>+'Statement D Table D-2'!M63</f>
        <v>-31125.759323145314</v>
      </c>
      <c r="H120" s="319">
        <f t="shared" si="10"/>
        <v>474780.3692185924</v>
      </c>
      <c r="I120" s="319">
        <f>F120+SUM('Revised Revenue Test'!$F$66,'Revised Revenue Test'!$F$69:$F$75)</f>
        <v>360061.31465249014</v>
      </c>
      <c r="J120" s="319">
        <f t="shared" si="11"/>
        <v>834841.6838710825</v>
      </c>
      <c r="K120" s="331">
        <f>+'Inputs for Evans Tables'!C46+'Inputs for Evans Tables'!E46</f>
        <v>489036.8625</v>
      </c>
      <c r="L120" s="331">
        <f>+'Inputs for Evans Tables'!G46</f>
        <v>228326.356</v>
      </c>
      <c r="M120" s="331">
        <f>+'Inputs for Evans Tables'!J46</f>
        <v>0</v>
      </c>
      <c r="N120" s="317">
        <f t="shared" si="4"/>
        <v>117478.46537108248</v>
      </c>
      <c r="P120" s="331"/>
      <c r="Q120" s="331"/>
      <c r="S120" s="319"/>
      <c r="U120" s="319"/>
      <c r="W120" s="319"/>
      <c r="Y120" s="319"/>
      <c r="AA120" s="319"/>
      <c r="AC120" s="319"/>
      <c r="AE120" s="319"/>
      <c r="AG120" s="319"/>
      <c r="AI120" s="319"/>
      <c r="AK120" s="319"/>
    </row>
    <row r="121" spans="1:37" ht="12.75">
      <c r="A121" s="318">
        <v>56</v>
      </c>
      <c r="B121" s="322">
        <f t="shared" si="6"/>
        <v>2065</v>
      </c>
      <c r="C121" s="319">
        <f t="shared" si="7"/>
        <v>3167817.4043121454</v>
      </c>
      <c r="D121" s="319">
        <f t="shared" si="8"/>
        <v>1303492.1349400003</v>
      </c>
      <c r="E121" s="319">
        <f t="shared" si="12"/>
        <v>919206.061555</v>
      </c>
      <c r="F121" s="320">
        <f t="shared" si="9"/>
        <v>501464.59792169806</v>
      </c>
      <c r="G121" s="319">
        <f>+'Statement D Table D-2'!M64</f>
        <v>-29998.201323145324</v>
      </c>
      <c r="H121" s="319">
        <f t="shared" si="10"/>
        <v>473652.8112185924</v>
      </c>
      <c r="I121" s="319">
        <f>F121+SUM('Revised Revenue Test'!$F$66,'Revised Revenue Test'!$F$69:$F$75)</f>
        <v>360061.31465249014</v>
      </c>
      <c r="J121" s="319">
        <f t="shared" si="11"/>
        <v>833714.1258710825</v>
      </c>
      <c r="K121" s="331">
        <f>+'Inputs for Evans Tables'!C47+'Inputs for Evans Tables'!E47</f>
        <v>489034.47</v>
      </c>
      <c r="L121" s="331">
        <f>+'Inputs for Evans Tables'!G47</f>
        <v>227162.289</v>
      </c>
      <c r="M121" s="331">
        <f>+'Inputs for Evans Tables'!J47</f>
        <v>0</v>
      </c>
      <c r="N121" s="317">
        <f t="shared" si="4"/>
        <v>117517.36687108257</v>
      </c>
      <c r="P121" s="331"/>
      <c r="Q121" s="331"/>
      <c r="S121" s="319"/>
      <c r="U121" s="319"/>
      <c r="W121" s="319"/>
      <c r="Y121" s="319"/>
      <c r="AA121" s="319"/>
      <c r="AC121" s="319"/>
      <c r="AE121" s="319"/>
      <c r="AG121" s="319"/>
      <c r="AI121" s="319"/>
      <c r="AK121" s="319"/>
    </row>
    <row r="122" spans="1:37" ht="12.75">
      <c r="A122" s="318">
        <v>57</v>
      </c>
      <c r="B122" s="322">
        <f t="shared" si="6"/>
        <v>2066</v>
      </c>
      <c r="C122" s="319">
        <f t="shared" si="7"/>
        <v>3167817.4043121454</v>
      </c>
      <c r="D122" s="319">
        <f t="shared" si="8"/>
        <v>1303492.1349400003</v>
      </c>
      <c r="E122" s="319">
        <f t="shared" si="12"/>
        <v>919206.061555</v>
      </c>
      <c r="F122" s="320">
        <f t="shared" si="9"/>
        <v>501464.59792169806</v>
      </c>
      <c r="G122" s="319">
        <f>+'Statement D Table D-2'!M65</f>
        <v>-28829.74232314532</v>
      </c>
      <c r="H122" s="319">
        <f t="shared" si="10"/>
        <v>472484.3522185924</v>
      </c>
      <c r="I122" s="319">
        <f>F122+SUM('Revised Revenue Test'!$F$66,'Revised Revenue Test'!$F$69:$F$75)</f>
        <v>360061.31465249014</v>
      </c>
      <c r="J122" s="319">
        <f t="shared" si="11"/>
        <v>832545.6668710825</v>
      </c>
      <c r="K122" s="331">
        <f>+'Inputs for Evans Tables'!C48+'Inputs for Evans Tables'!E48</f>
        <v>489035.0725</v>
      </c>
      <c r="L122" s="331">
        <f>+'Inputs for Evans Tables'!G48</f>
        <v>225952.845</v>
      </c>
      <c r="M122" s="331">
        <f>+'Inputs for Evans Tables'!J48</f>
        <v>0</v>
      </c>
      <c r="N122" s="317">
        <f t="shared" si="4"/>
        <v>117557.74937108252</v>
      </c>
      <c r="P122" s="331"/>
      <c r="Q122" s="331"/>
      <c r="S122" s="319"/>
      <c r="U122" s="319"/>
      <c r="W122" s="319"/>
      <c r="Y122" s="319"/>
      <c r="AA122" s="319"/>
      <c r="AC122" s="319"/>
      <c r="AE122" s="319"/>
      <c r="AG122" s="319"/>
      <c r="AI122" s="319"/>
      <c r="AK122" s="319"/>
    </row>
    <row r="123" spans="1:37" ht="12.75">
      <c r="A123" s="318">
        <v>58</v>
      </c>
      <c r="B123" s="322">
        <f t="shared" si="6"/>
        <v>2067</v>
      </c>
      <c r="C123" s="319">
        <f t="shared" si="7"/>
        <v>3167817.4043121454</v>
      </c>
      <c r="D123" s="319">
        <f t="shared" si="8"/>
        <v>1303492.1349400003</v>
      </c>
      <c r="E123" s="319">
        <f t="shared" si="12"/>
        <v>919206.061555</v>
      </c>
      <c r="F123" s="320">
        <f t="shared" si="9"/>
        <v>501464.59792169806</v>
      </c>
      <c r="G123" s="319">
        <f>+'Statement D Table D-2'!M66</f>
        <v>-27618.900323145317</v>
      </c>
      <c r="H123" s="319">
        <f t="shared" si="10"/>
        <v>471273.5102185924</v>
      </c>
      <c r="I123" s="319">
        <f>F123+SUM('Revised Revenue Test'!$F$66,'Revised Revenue Test'!$F$69:$F$75)</f>
        <v>360061.31465249014</v>
      </c>
      <c r="J123" s="319">
        <f t="shared" si="11"/>
        <v>831334.8248710826</v>
      </c>
      <c r="K123" s="331">
        <f>+'Inputs for Evans Tables'!C49+'Inputs for Evans Tables'!E49</f>
        <v>489036.73</v>
      </c>
      <c r="L123" s="331">
        <f>+'Inputs for Evans Tables'!G49</f>
        <v>224698.349</v>
      </c>
      <c r="M123" s="331">
        <f>+'Inputs for Evans Tables'!J49</f>
        <v>0</v>
      </c>
      <c r="N123" s="317">
        <f t="shared" si="4"/>
        <v>117599.74587108265</v>
      </c>
      <c r="P123" s="331"/>
      <c r="Q123" s="331"/>
      <c r="S123" s="319"/>
      <c r="U123" s="319"/>
      <c r="W123" s="319"/>
      <c r="Y123" s="319"/>
      <c r="AA123" s="319"/>
      <c r="AC123" s="319"/>
      <c r="AE123" s="319"/>
      <c r="AG123" s="319"/>
      <c r="AI123" s="319"/>
      <c r="AK123" s="319"/>
    </row>
    <row r="124" spans="1:37" ht="12.75">
      <c r="A124" s="318">
        <v>59</v>
      </c>
      <c r="B124" s="322">
        <f t="shared" si="6"/>
        <v>2068</v>
      </c>
      <c r="C124" s="319">
        <f t="shared" si="7"/>
        <v>3167817.4043121454</v>
      </c>
      <c r="D124" s="319">
        <f t="shared" si="8"/>
        <v>1303492.1349400003</v>
      </c>
      <c r="E124" s="319">
        <f t="shared" si="12"/>
        <v>919206.061555</v>
      </c>
      <c r="F124" s="320">
        <f t="shared" si="9"/>
        <v>501464.59792169806</v>
      </c>
      <c r="G124" s="319">
        <f>+'Statement D Table D-2'!M67</f>
        <v>-26364.062323145314</v>
      </c>
      <c r="H124" s="319">
        <f t="shared" si="10"/>
        <v>470018.67221859243</v>
      </c>
      <c r="I124" s="319">
        <f>F124+SUM('Revised Revenue Test'!$F$66,'Revised Revenue Test'!$F$69:$F$75)</f>
        <v>360061.31465249014</v>
      </c>
      <c r="J124" s="319">
        <f t="shared" si="11"/>
        <v>830079.9868710826</v>
      </c>
      <c r="K124" s="331">
        <f>+'Inputs for Evans Tables'!C50+'Inputs for Evans Tables'!E50</f>
        <v>489034.0775</v>
      </c>
      <c r="L124" s="331">
        <f>+'Inputs for Evans Tables'!G50</f>
        <v>223402.637</v>
      </c>
      <c r="M124" s="331">
        <f>+'Inputs for Evans Tables'!J50</f>
        <v>0</v>
      </c>
      <c r="N124" s="317">
        <f t="shared" si="4"/>
        <v>117643.27237108257</v>
      </c>
      <c r="P124" s="331"/>
      <c r="Q124" s="331"/>
      <c r="S124" s="319"/>
      <c r="U124" s="319"/>
      <c r="W124" s="319"/>
      <c r="Y124" s="319"/>
      <c r="AA124" s="319"/>
      <c r="AC124" s="319"/>
      <c r="AE124" s="319"/>
      <c r="AG124" s="319"/>
      <c r="AI124" s="319"/>
      <c r="AK124" s="319"/>
    </row>
    <row r="125" spans="1:37" ht="12.75">
      <c r="A125" s="318">
        <v>60</v>
      </c>
      <c r="B125" s="322">
        <f>B124+1</f>
        <v>2069</v>
      </c>
      <c r="C125" s="319">
        <f t="shared" si="7"/>
        <v>3167817.4043121454</v>
      </c>
      <c r="D125" s="319">
        <f t="shared" si="8"/>
        <v>1303492.1349400003</v>
      </c>
      <c r="E125" s="319">
        <f t="shared" si="12"/>
        <v>919206.061555</v>
      </c>
      <c r="F125" s="320">
        <f t="shared" si="9"/>
        <v>501464.59792169806</v>
      </c>
      <c r="G125" s="319">
        <f>+'Statement D Table D-2'!M68</f>
        <v>-25063.697323145323</v>
      </c>
      <c r="H125" s="319">
        <f t="shared" si="10"/>
        <v>468718.30721859244</v>
      </c>
      <c r="I125" s="319">
        <f>F125+SUM('Revised Revenue Test'!$F$66,'Revised Revenue Test'!$F$69:$F$75)</f>
        <v>360061.31465249014</v>
      </c>
      <c r="J125" s="319">
        <f t="shared" si="11"/>
        <v>828779.6218710826</v>
      </c>
      <c r="K125" s="331">
        <f>+'Inputs for Evans Tables'!C51+'Inputs for Evans Tables'!E51</f>
        <v>489034.6475</v>
      </c>
      <c r="L125" s="331">
        <f>+'Inputs for Evans Tables'!G51</f>
        <v>222056.528</v>
      </c>
      <c r="M125" s="331">
        <f>+'Inputs for Evans Tables'!J51</f>
        <v>0</v>
      </c>
      <c r="N125" s="317">
        <f t="shared" si="4"/>
        <v>117688.44637108262</v>
      </c>
      <c r="P125" s="331"/>
      <c r="Q125" s="331"/>
      <c r="S125" s="319"/>
      <c r="U125" s="319"/>
      <c r="W125" s="319"/>
      <c r="Y125" s="319"/>
      <c r="AA125" s="319"/>
      <c r="AC125" s="319"/>
      <c r="AE125" s="319"/>
      <c r="AG125" s="319"/>
      <c r="AI125" s="319"/>
      <c r="AK125" s="319"/>
    </row>
    <row r="126" spans="1:37" ht="12.75">
      <c r="A126" s="318">
        <v>61</v>
      </c>
      <c r="B126" s="322">
        <f t="shared" si="6"/>
        <v>2070</v>
      </c>
      <c r="C126" s="319">
        <f t="shared" si="7"/>
        <v>3167817.4043121454</v>
      </c>
      <c r="D126" s="319">
        <f t="shared" si="8"/>
        <v>1303492.1349400003</v>
      </c>
      <c r="E126" s="319">
        <f t="shared" si="12"/>
        <v>919206.061555</v>
      </c>
      <c r="F126" s="320">
        <f t="shared" si="9"/>
        <v>501464.59792169806</v>
      </c>
      <c r="G126" s="319">
        <f>+'Statement D Table D-2'!M69</f>
        <v>-23716.15832314532</v>
      </c>
      <c r="H126" s="319">
        <f t="shared" si="10"/>
        <v>467370.7682185924</v>
      </c>
      <c r="I126" s="319">
        <f>F126+SUM('Revised Revenue Test'!$F$66,'Revised Revenue Test'!$F$69:$F$75)</f>
        <v>360061.31465249014</v>
      </c>
      <c r="J126" s="319">
        <f t="shared" si="11"/>
        <v>827432.0828710825</v>
      </c>
      <c r="K126" s="331">
        <f>+'Inputs for Evans Tables'!C52+'Inputs for Evans Tables'!E52</f>
        <v>489034.25</v>
      </c>
      <c r="L126" s="331">
        <f>+'Inputs for Evans Tables'!G52</f>
        <v>220662.462</v>
      </c>
      <c r="M126" s="331">
        <f>+'Inputs for Evans Tables'!J52</f>
        <v>0</v>
      </c>
      <c r="N126" s="317">
        <f t="shared" si="4"/>
        <v>117735.37087108241</v>
      </c>
      <c r="P126" s="331"/>
      <c r="Q126" s="331"/>
      <c r="S126" s="319"/>
      <c r="U126" s="319"/>
      <c r="W126" s="319"/>
      <c r="Y126" s="319"/>
      <c r="AA126" s="319"/>
      <c r="AC126" s="319"/>
      <c r="AE126" s="319"/>
      <c r="AG126" s="319"/>
      <c r="AI126" s="319"/>
      <c r="AK126" s="319"/>
    </row>
    <row r="127" spans="1:37" ht="12.75">
      <c r="A127" s="318">
        <v>62</v>
      </c>
      <c r="B127" s="322">
        <f t="shared" si="6"/>
        <v>2071</v>
      </c>
      <c r="C127" s="319">
        <f t="shared" si="7"/>
        <v>3167817.4043121454</v>
      </c>
      <c r="D127" s="319">
        <f t="shared" si="8"/>
        <v>1303492.1349400003</v>
      </c>
      <c r="E127" s="319">
        <f t="shared" si="12"/>
        <v>919206.061555</v>
      </c>
      <c r="F127" s="320">
        <f t="shared" si="9"/>
        <v>501464.59792169806</v>
      </c>
      <c r="G127" s="319">
        <f>+'Statement D Table D-2'!M70</f>
        <v>-22319.695323145315</v>
      </c>
      <c r="H127" s="319">
        <f t="shared" si="10"/>
        <v>465974.3052185924</v>
      </c>
      <c r="I127" s="319">
        <f>F127+SUM('Revised Revenue Test'!$F$66,'Revised Revenue Test'!$F$69:$F$75)</f>
        <v>360061.31465249014</v>
      </c>
      <c r="J127" s="319">
        <f t="shared" si="11"/>
        <v>826035.6198710825</v>
      </c>
      <c r="K127" s="331">
        <f>+'Inputs for Evans Tables'!C53+'Inputs for Evans Tables'!E53</f>
        <v>489034.98</v>
      </c>
      <c r="L127" s="331">
        <f>+'Inputs for Evans Tables'!G53</f>
        <v>219216.559</v>
      </c>
      <c r="M127" s="331">
        <f>+'Inputs for Evans Tables'!J53</f>
        <v>0</v>
      </c>
      <c r="N127" s="317">
        <f t="shared" si="4"/>
        <v>117784.0808710825</v>
      </c>
      <c r="P127" s="331"/>
      <c r="Q127" s="331"/>
      <c r="S127" s="319"/>
      <c r="U127" s="319"/>
      <c r="W127" s="319"/>
      <c r="Y127" s="319"/>
      <c r="AA127" s="319"/>
      <c r="AC127" s="319"/>
      <c r="AE127" s="319"/>
      <c r="AG127" s="319"/>
      <c r="AI127" s="319"/>
      <c r="AK127" s="319"/>
    </row>
    <row r="128" spans="1:37" ht="12.75">
      <c r="A128" s="318">
        <v>63</v>
      </c>
      <c r="B128" s="322">
        <f t="shared" si="6"/>
        <v>2072</v>
      </c>
      <c r="C128" s="319">
        <f t="shared" si="7"/>
        <v>3167817.4043121454</v>
      </c>
      <c r="D128" s="319">
        <f t="shared" si="8"/>
        <v>1303492.1349400003</v>
      </c>
      <c r="E128" s="319">
        <f t="shared" si="12"/>
        <v>919206.061555</v>
      </c>
      <c r="F128" s="320">
        <f t="shared" si="9"/>
        <v>501464.59792169806</v>
      </c>
      <c r="G128" s="319">
        <f>+'Statement D Table D-2'!M71</f>
        <v>-20872.52232314532</v>
      </c>
      <c r="H128" s="319">
        <f t="shared" si="10"/>
        <v>464527.1322185924</v>
      </c>
      <c r="I128" s="319">
        <f>F128+SUM('Revised Revenue Test'!$F$66,'Revised Revenue Test'!$F$69:$F$75)</f>
        <v>360061.31465249014</v>
      </c>
      <c r="J128" s="319">
        <f t="shared" si="11"/>
        <v>824588.4468710825</v>
      </c>
      <c r="K128" s="331">
        <f>+'Inputs for Evans Tables'!C54+'Inputs for Evans Tables'!E54</f>
        <v>489037.21</v>
      </c>
      <c r="L128" s="331">
        <f>+'Inputs for Evans Tables'!G54</f>
        <v>217716.555</v>
      </c>
      <c r="M128" s="331">
        <f>+'Inputs for Evans Tables'!J54</f>
        <v>0</v>
      </c>
      <c r="N128" s="317">
        <f t="shared" si="4"/>
        <v>117834.68187108258</v>
      </c>
      <c r="P128" s="331"/>
      <c r="Q128" s="331"/>
      <c r="S128" s="319"/>
      <c r="U128" s="319"/>
      <c r="W128" s="319"/>
      <c r="Y128" s="319"/>
      <c r="AA128" s="319"/>
      <c r="AC128" s="319"/>
      <c r="AE128" s="319"/>
      <c r="AG128" s="319"/>
      <c r="AI128" s="319"/>
      <c r="AK128" s="319"/>
    </row>
    <row r="129" spans="1:37" ht="12.75">
      <c r="A129" s="318">
        <v>64</v>
      </c>
      <c r="B129" s="322">
        <f t="shared" si="6"/>
        <v>2073</v>
      </c>
      <c r="C129" s="319">
        <f t="shared" si="7"/>
        <v>3167817.4043121454</v>
      </c>
      <c r="D129" s="319">
        <f t="shared" si="8"/>
        <v>1303492.1349400003</v>
      </c>
      <c r="E129" s="319">
        <f t="shared" si="12"/>
        <v>919206.061555</v>
      </c>
      <c r="F129" s="320">
        <f t="shared" si="9"/>
        <v>501464.59792169806</v>
      </c>
      <c r="G129" s="319">
        <f>+'Statement D Table D-2'!M72</f>
        <v>-19370.74832314533</v>
      </c>
      <c r="H129" s="319">
        <f t="shared" si="10"/>
        <v>463025.3582185924</v>
      </c>
      <c r="I129" s="319">
        <f>F129+SUM('Revised Revenue Test'!$F$66,'Revised Revenue Test'!$F$69:$F$75)</f>
        <v>360061.31465249014</v>
      </c>
      <c r="J129" s="319">
        <f t="shared" si="11"/>
        <v>823086.6728710826</v>
      </c>
      <c r="K129" s="331">
        <f>+'Inputs for Evans Tables'!C55+'Inputs for Evans Tables'!E55</f>
        <v>489035.7675</v>
      </c>
      <c r="L129" s="331">
        <f>+'Inputs for Evans Tables'!G55</f>
        <v>216165.758</v>
      </c>
      <c r="M129" s="331">
        <f>+'Inputs for Evans Tables'!J55</f>
        <v>0</v>
      </c>
      <c r="N129" s="317">
        <f t="shared" si="4"/>
        <v>117885.14737108251</v>
      </c>
      <c r="P129" s="331"/>
      <c r="Q129" s="331"/>
      <c r="S129" s="319"/>
      <c r="U129" s="319"/>
      <c r="W129" s="319"/>
      <c r="Y129" s="319"/>
      <c r="AA129" s="319"/>
      <c r="AC129" s="319"/>
      <c r="AE129" s="319"/>
      <c r="AG129" s="319"/>
      <c r="AI129" s="319"/>
      <c r="AK129" s="319"/>
    </row>
    <row r="130" spans="1:37" ht="12.75">
      <c r="A130" s="318">
        <v>65</v>
      </c>
      <c r="B130" s="322">
        <f t="shared" si="6"/>
        <v>2074</v>
      </c>
      <c r="C130" s="319">
        <f t="shared" si="7"/>
        <v>3167817.4043121454</v>
      </c>
      <c r="D130" s="319">
        <f t="shared" si="8"/>
        <v>1303492.1349400003</v>
      </c>
      <c r="E130" s="319">
        <f t="shared" si="12"/>
        <v>919206.061555</v>
      </c>
      <c r="F130" s="320">
        <f t="shared" si="9"/>
        <v>501464.59792169806</v>
      </c>
      <c r="G130" s="319">
        <f>+'Statement D Table D-2'!M73</f>
        <v>-17816.508323145325</v>
      </c>
      <c r="H130" s="319">
        <f t="shared" si="10"/>
        <v>461471.1182185924</v>
      </c>
      <c r="I130" s="319">
        <f>F130+SUM('Revised Revenue Test'!$F$66,'Revised Revenue Test'!$F$69:$F$75)</f>
        <v>360061.31465249014</v>
      </c>
      <c r="J130" s="319">
        <f t="shared" si="11"/>
        <v>821532.4328710826</v>
      </c>
      <c r="K130" s="331">
        <f>+'Inputs for Evans Tables'!C56+'Inputs for Evans Tables'!E56</f>
        <v>489036.33</v>
      </c>
      <c r="L130" s="331">
        <f>+'Inputs for Evans Tables'!G56</f>
        <v>214556.532</v>
      </c>
      <c r="M130" s="331">
        <f>+'Inputs for Evans Tables'!J56</f>
        <v>0</v>
      </c>
      <c r="N130" s="317">
        <f t="shared" si="4"/>
        <v>117939.57087108254</v>
      </c>
      <c r="P130" s="331"/>
      <c r="Q130" s="331"/>
      <c r="S130" s="319"/>
      <c r="U130" s="319"/>
      <c r="W130" s="319"/>
      <c r="Y130" s="319"/>
      <c r="AA130" s="319"/>
      <c r="AC130" s="319"/>
      <c r="AE130" s="319"/>
      <c r="AG130" s="319"/>
      <c r="AI130" s="319"/>
      <c r="AK130" s="319"/>
    </row>
    <row r="131" spans="1:37" ht="12.75">
      <c r="A131" s="318">
        <v>66</v>
      </c>
      <c r="B131" s="322">
        <f t="shared" si="6"/>
        <v>2075</v>
      </c>
      <c r="C131" s="319">
        <f t="shared" si="7"/>
        <v>3167817.4043121454</v>
      </c>
      <c r="D131" s="319">
        <f t="shared" si="8"/>
        <v>1303492.1349400003</v>
      </c>
      <c r="E131" s="319">
        <f t="shared" si="12"/>
        <v>919206.061555</v>
      </c>
      <c r="F131" s="320">
        <f t="shared" si="9"/>
        <v>501464.59792169806</v>
      </c>
      <c r="G131" s="319">
        <f>+'Statement D Table D-2'!M74</f>
        <v>-16205.845323145326</v>
      </c>
      <c r="H131" s="319">
        <f t="shared" si="10"/>
        <v>459860.4552185924</v>
      </c>
      <c r="I131" s="319">
        <f>F131+SUM('Revised Revenue Test'!$F$66,'Revised Revenue Test'!$F$69:$F$75)</f>
        <v>360061.31465249014</v>
      </c>
      <c r="J131" s="319">
        <f t="shared" si="11"/>
        <v>819921.7698710826</v>
      </c>
      <c r="K131" s="331">
        <f>+'Inputs for Evans Tables'!C57+'Inputs for Evans Tables'!E57</f>
        <v>489037.1275</v>
      </c>
      <c r="L131" s="331">
        <f>+'Inputs for Evans Tables'!G57</f>
        <v>212888.556</v>
      </c>
      <c r="M131" s="331">
        <f>+'Inputs for Evans Tables'!J57</f>
        <v>0</v>
      </c>
      <c r="N131" s="317">
        <f t="shared" si="4"/>
        <v>117996.08637108264</v>
      </c>
      <c r="P131" s="331"/>
      <c r="Q131" s="331"/>
      <c r="S131" s="319"/>
      <c r="U131" s="319"/>
      <c r="W131" s="319"/>
      <c r="Y131" s="319"/>
      <c r="AA131" s="319"/>
      <c r="AC131" s="319"/>
      <c r="AE131" s="319"/>
      <c r="AG131" s="319"/>
      <c r="AI131" s="319"/>
      <c r="AK131" s="319"/>
    </row>
    <row r="132" spans="1:23" ht="12.75">
      <c r="A132" s="318">
        <v>67</v>
      </c>
      <c r="B132" s="376" t="s">
        <v>330</v>
      </c>
      <c r="S132" s="319"/>
      <c r="U132" s="319"/>
      <c r="W132" s="319"/>
    </row>
    <row r="133" spans="1:37" ht="12.75">
      <c r="A133" s="318">
        <v>68</v>
      </c>
      <c r="B133" s="310" t="s">
        <v>556</v>
      </c>
      <c r="C133" s="319">
        <f aca="true" t="shared" si="13" ref="C133:H133">SUM(C48:C129)</f>
        <v>309629955.40958625</v>
      </c>
      <c r="D133" s="319">
        <f t="shared" si="13"/>
        <v>107879480.84825993</v>
      </c>
      <c r="E133" s="319">
        <f t="shared" si="13"/>
        <v>124474831.17814992</v>
      </c>
      <c r="F133" s="320">
        <f t="shared" si="13"/>
        <v>36840039.473053694</v>
      </c>
      <c r="G133" s="319">
        <f t="shared" si="13"/>
        <v>12435670.071350198</v>
      </c>
      <c r="H133" s="319">
        <f t="shared" si="13"/>
        <v>27999933.83877294</v>
      </c>
      <c r="I133" s="319">
        <f>SUM(I48:I131)</f>
        <v>28028365.079866424</v>
      </c>
      <c r="J133" s="319">
        <f>SUM(J48:J131)</f>
        <v>58553161.914404206</v>
      </c>
      <c r="K133" s="319"/>
      <c r="L133" s="319">
        <f>SUM(L48:L131)</f>
        <v>29745599.52599999</v>
      </c>
      <c r="M133" s="319">
        <f>SUM(M48:M131)</f>
        <v>997996.484</v>
      </c>
      <c r="N133" s="319">
        <f>SUM(N48:N131)</f>
        <v>6903581.247354193</v>
      </c>
      <c r="P133" s="317"/>
      <c r="Q133" s="317"/>
      <c r="S133" s="319"/>
      <c r="U133" s="319"/>
      <c r="W133" s="319"/>
      <c r="Y133" s="319"/>
      <c r="AA133" s="319"/>
      <c r="AC133" s="319"/>
      <c r="AE133" s="319"/>
      <c r="AG133" s="319"/>
      <c r="AI133" s="319"/>
      <c r="AK133" s="319"/>
    </row>
    <row r="134" spans="1:17" ht="12.75">
      <c r="A134" s="292"/>
      <c r="F134" s="292"/>
      <c r="M134" s="317"/>
      <c r="O134" s="292"/>
      <c r="P134" s="292"/>
      <c r="Q134" s="292"/>
    </row>
    <row r="135" spans="1:17" ht="39.75" customHeight="1">
      <c r="A135" s="337" t="s">
        <v>229</v>
      </c>
      <c r="B135" s="484" t="s">
        <v>874</v>
      </c>
      <c r="C135" s="484"/>
      <c r="D135" s="484"/>
      <c r="E135" s="484"/>
      <c r="F135" s="484"/>
      <c r="G135" s="484"/>
      <c r="H135" s="484"/>
      <c r="I135" s="484"/>
      <c r="J135" s="484"/>
      <c r="K135" s="484"/>
      <c r="L135" s="484"/>
      <c r="M135" s="484"/>
      <c r="N135" s="484"/>
      <c r="O135" s="292"/>
      <c r="P135" s="292"/>
      <c r="Q135" s="292"/>
    </row>
    <row r="136" spans="1:17" ht="29.25" customHeight="1">
      <c r="A136" s="337" t="s">
        <v>349</v>
      </c>
      <c r="B136" s="484" t="s">
        <v>836</v>
      </c>
      <c r="C136" s="484"/>
      <c r="D136" s="484"/>
      <c r="E136" s="484"/>
      <c r="F136" s="484"/>
      <c r="G136" s="484"/>
      <c r="H136" s="484"/>
      <c r="I136" s="484"/>
      <c r="J136" s="484"/>
      <c r="K136" s="484"/>
      <c r="L136" s="484"/>
      <c r="M136" s="484"/>
      <c r="N136" s="484"/>
      <c r="O136" s="292"/>
      <c r="P136" s="292"/>
      <c r="Q136" s="292"/>
    </row>
    <row r="137" spans="1:17" ht="17.25" customHeight="1">
      <c r="A137" s="337"/>
      <c r="B137" s="338"/>
      <c r="N137" s="292"/>
      <c r="O137" s="292"/>
      <c r="P137" s="292"/>
      <c r="Q137" s="292"/>
    </row>
    <row r="139" spans="1:17" ht="12.75">
      <c r="A139" s="292"/>
      <c r="B139" s="338"/>
      <c r="N139" s="292"/>
      <c r="O139" s="292"/>
      <c r="P139" s="292"/>
      <c r="Q139" s="292"/>
    </row>
    <row r="145" spans="1:17" ht="12.75">
      <c r="A145" s="292"/>
      <c r="B145" s="298"/>
      <c r="N145" s="292"/>
      <c r="O145" s="292"/>
      <c r="P145" s="292"/>
      <c r="Q145" s="292"/>
    </row>
    <row r="146" spans="1:17" ht="12.75">
      <c r="A146" s="292"/>
      <c r="B146" s="338"/>
      <c r="N146" s="292"/>
      <c r="O146" s="292"/>
      <c r="P146" s="292"/>
      <c r="Q146" s="292"/>
    </row>
    <row r="147" spans="1:17" ht="12.75">
      <c r="A147" s="292"/>
      <c r="B147" s="338"/>
      <c r="N147" s="292"/>
      <c r="O147" s="292"/>
      <c r="P147" s="292"/>
      <c r="Q147" s="292"/>
    </row>
    <row r="151" spans="1:17" ht="12.75">
      <c r="A151" s="292"/>
      <c r="C151" s="338" t="s">
        <v>648</v>
      </c>
      <c r="E151" s="332">
        <f>E79+'Statement E'!P23</f>
        <v>919206.061555</v>
      </c>
      <c r="F151" s="339" t="s">
        <v>557</v>
      </c>
      <c r="G151" s="319">
        <f>-'interest credit calculations'!E76</f>
        <v>-6649.657195294807</v>
      </c>
      <c r="L151" s="292"/>
      <c r="M151" s="292"/>
      <c r="N151" s="292"/>
      <c r="O151" s="292"/>
      <c r="P151" s="292"/>
      <c r="Q151" s="292"/>
    </row>
    <row r="152" spans="1:17" ht="12.75">
      <c r="A152" s="292"/>
      <c r="C152" s="292" t="s">
        <v>558</v>
      </c>
      <c r="F152" s="308" t="s">
        <v>115</v>
      </c>
      <c r="G152" s="292">
        <f>+'Income Statement Cash Flows'!F36</f>
        <v>-18137.16688</v>
      </c>
      <c r="L152" s="292"/>
      <c r="M152" s="292"/>
      <c r="N152" s="292"/>
      <c r="O152" s="292"/>
      <c r="P152" s="292"/>
      <c r="Q152" s="292"/>
    </row>
    <row r="153" spans="1:17" ht="12.75">
      <c r="A153" s="292"/>
      <c r="C153" s="292" t="s">
        <v>559</v>
      </c>
      <c r="F153" s="308" t="s">
        <v>834</v>
      </c>
      <c r="G153" s="292">
        <f>-45937</f>
        <v>-45937</v>
      </c>
      <c r="L153" s="292"/>
      <c r="M153" s="292"/>
      <c r="N153" s="292"/>
      <c r="O153" s="292"/>
      <c r="P153" s="292"/>
      <c r="Q153" s="292"/>
    </row>
    <row r="154" spans="1:17" ht="12.75">
      <c r="A154" s="292"/>
      <c r="C154" s="292" t="s">
        <v>561</v>
      </c>
      <c r="F154" s="308" t="s">
        <v>562</v>
      </c>
      <c r="G154" s="292">
        <f>+'Federal DS'!E6</f>
        <v>5694.264395162258</v>
      </c>
      <c r="L154" s="292"/>
      <c r="M154" s="292"/>
      <c r="N154" s="292"/>
      <c r="O154" s="292"/>
      <c r="P154" s="292"/>
      <c r="Q154" s="292"/>
    </row>
    <row r="155" spans="1:17" ht="12.75">
      <c r="A155" s="292"/>
      <c r="C155" s="292" t="s">
        <v>563</v>
      </c>
      <c r="L155" s="292"/>
      <c r="M155" s="292"/>
      <c r="N155" s="292"/>
      <c r="O155" s="292"/>
      <c r="P155" s="292"/>
      <c r="Q155" s="292"/>
    </row>
  </sheetData>
  <mergeCells count="7">
    <mergeCell ref="B135:N135"/>
    <mergeCell ref="B136:N136"/>
    <mergeCell ref="B2:N2"/>
    <mergeCell ref="B3:N3"/>
    <mergeCell ref="B4:N4"/>
    <mergeCell ref="B5:N5"/>
    <mergeCell ref="B6:N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M981"/>
  <sheetViews>
    <sheetView zoomScale="120" zoomScaleNormal="120" workbookViewId="0" topLeftCell="A1">
      <selection activeCell="B7" sqref="B7"/>
    </sheetView>
  </sheetViews>
  <sheetFormatPr defaultColWidth="9.140625" defaultRowHeight="12.75"/>
  <cols>
    <col min="1" max="1" width="19.8515625" style="400" customWidth="1"/>
    <col min="2" max="2" width="21.57421875" style="65" customWidth="1"/>
    <col min="3" max="3" width="43.00390625" style="65" bestFit="1" customWidth="1"/>
    <col min="4" max="4" width="10.00390625" style="90" bestFit="1" customWidth="1"/>
    <col min="5" max="5" width="11.8515625" style="90" customWidth="1"/>
    <col min="6" max="9" width="12.00390625" style="66" bestFit="1" customWidth="1"/>
    <col min="10" max="10" width="11.140625" style="171" customWidth="1"/>
    <col min="11" max="11" width="10.00390625" style="171" customWidth="1"/>
    <col min="12" max="12" width="10.00390625" style="171" bestFit="1" customWidth="1"/>
    <col min="13" max="13" width="9.28125" style="171" bestFit="1" customWidth="1"/>
    <col min="14" max="14" width="10.00390625" style="171" bestFit="1" customWidth="1"/>
    <col min="15" max="19" width="9.28125" style="171" bestFit="1" customWidth="1"/>
    <col min="20" max="20" width="11.00390625" style="171" bestFit="1" customWidth="1"/>
    <col min="21" max="25" width="9.28125" style="171" bestFit="1" customWidth="1"/>
    <col min="26" max="26" width="10.8515625" style="171" bestFit="1" customWidth="1"/>
    <col min="27" max="27" width="14.57421875" style="171" bestFit="1" customWidth="1"/>
    <col min="28" max="16384" width="9.140625" style="171" customWidth="1"/>
  </cols>
  <sheetData>
    <row r="1" spans="1:8" s="53" customFormat="1" ht="18.75">
      <c r="A1" s="394" t="s">
        <v>68</v>
      </c>
      <c r="C1" s="54"/>
      <c r="D1" s="130"/>
      <c r="E1" s="130"/>
      <c r="F1" s="54"/>
      <c r="G1" s="54"/>
      <c r="H1" s="55"/>
    </row>
    <row r="2" spans="1:8" s="53" customFormat="1" ht="18.75">
      <c r="A2" s="394" t="s">
        <v>67</v>
      </c>
      <c r="C2" s="55"/>
      <c r="D2" s="131"/>
      <c r="E2" s="131"/>
      <c r="F2" s="55"/>
      <c r="G2" s="56"/>
      <c r="H2" s="55"/>
    </row>
    <row r="3" spans="1:5" s="53" customFormat="1" ht="12.75">
      <c r="A3" s="57" t="s">
        <v>69</v>
      </c>
      <c r="B3" s="57" t="s">
        <v>70</v>
      </c>
      <c r="C3" s="57" t="s">
        <v>71</v>
      </c>
      <c r="D3" s="132"/>
      <c r="E3" s="132"/>
    </row>
    <row r="4" spans="1:39" ht="31.5" customHeight="1" thickBot="1">
      <c r="A4" s="58" t="s">
        <v>72</v>
      </c>
      <c r="B4" s="171" t="s">
        <v>72</v>
      </c>
      <c r="C4" s="171" t="s">
        <v>72</v>
      </c>
      <c r="D4" s="59">
        <f>+'Income Statement Cash Flows'!E6</f>
        <v>2024</v>
      </c>
      <c r="E4" s="59">
        <f>+'Income Statement Cash Flows'!F6</f>
        <v>2025</v>
      </c>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row>
    <row r="5" spans="1:26" ht="12.75">
      <c r="A5" s="58" t="s">
        <v>0</v>
      </c>
      <c r="B5" s="395" t="s">
        <v>1</v>
      </c>
      <c r="C5" s="60" t="s">
        <v>2</v>
      </c>
      <c r="D5" s="61">
        <f>+'IPR Data'!C4/1000</f>
        <v>296476.71202000004</v>
      </c>
      <c r="E5" s="61">
        <f>+'IPR Data'!D4/1000</f>
        <v>351132.89699000004</v>
      </c>
      <c r="F5" s="61"/>
      <c r="G5" s="61"/>
      <c r="H5" s="61"/>
      <c r="I5" s="61"/>
      <c r="J5" s="61"/>
      <c r="K5" s="61"/>
      <c r="L5" s="61"/>
      <c r="M5" s="61"/>
      <c r="N5" s="61"/>
      <c r="O5" s="2"/>
      <c r="P5" s="2"/>
      <c r="Q5" s="2"/>
      <c r="R5" s="2"/>
      <c r="S5" s="2"/>
      <c r="T5" s="2"/>
      <c r="U5" s="2"/>
      <c r="V5" s="2"/>
      <c r="W5" s="2"/>
      <c r="X5" s="2"/>
      <c r="Y5" s="2"/>
      <c r="Z5" s="2"/>
    </row>
    <row r="6" spans="1:26" ht="12.75">
      <c r="A6" s="58" t="s">
        <v>0</v>
      </c>
      <c r="B6" s="175" t="s">
        <v>1</v>
      </c>
      <c r="C6" s="1" t="s">
        <v>3</v>
      </c>
      <c r="D6" s="61">
        <f>+'IPR Data'!C5/1000</f>
        <v>154364.00003</v>
      </c>
      <c r="E6" s="61">
        <f>+'IPR Data'!D5/1000</f>
        <v>157217.99998999998</v>
      </c>
      <c r="F6" s="61"/>
      <c r="G6" s="61"/>
      <c r="H6" s="61"/>
      <c r="I6" s="61"/>
      <c r="J6" s="61"/>
      <c r="K6" s="61"/>
      <c r="L6" s="61"/>
      <c r="M6" s="61"/>
      <c r="N6" s="61"/>
      <c r="O6" s="2"/>
      <c r="P6" s="2"/>
      <c r="Q6" s="2"/>
      <c r="R6" s="2"/>
      <c r="S6" s="2"/>
      <c r="T6" s="2"/>
      <c r="U6" s="2"/>
      <c r="V6" s="2"/>
      <c r="W6" s="2"/>
      <c r="X6" s="2"/>
      <c r="Y6" s="2"/>
      <c r="Z6" s="2"/>
    </row>
    <row r="7" spans="1:26" ht="12.75">
      <c r="A7" s="58" t="s">
        <v>0</v>
      </c>
      <c r="B7" s="175" t="s">
        <v>1</v>
      </c>
      <c r="C7" s="1" t="s">
        <v>4</v>
      </c>
      <c r="D7" s="61">
        <f>+'IPR Data'!C6/1000</f>
        <v>265146.00007</v>
      </c>
      <c r="E7" s="61">
        <f>+'IPR Data'!D6/1000</f>
        <v>275147.00002</v>
      </c>
      <c r="F7" s="61"/>
      <c r="G7" s="61"/>
      <c r="H7" s="61"/>
      <c r="I7" s="61"/>
      <c r="J7" s="61"/>
      <c r="K7" s="61"/>
      <c r="L7" s="61"/>
      <c r="M7" s="61"/>
      <c r="N7" s="61"/>
      <c r="O7" s="2"/>
      <c r="P7" s="2"/>
      <c r="Q7" s="2"/>
      <c r="R7" s="2"/>
      <c r="S7" s="2"/>
      <c r="T7" s="2"/>
      <c r="U7" s="2"/>
      <c r="V7" s="2"/>
      <c r="W7" s="2"/>
      <c r="X7" s="2"/>
      <c r="Y7" s="2"/>
      <c r="Z7" s="2"/>
    </row>
    <row r="8" spans="1:26" ht="12.75">
      <c r="A8" s="58" t="s">
        <v>0</v>
      </c>
      <c r="B8" s="175" t="s">
        <v>1</v>
      </c>
      <c r="C8" s="1" t="s">
        <v>809</v>
      </c>
      <c r="D8" s="61">
        <f>+'IPR Data'!C82</f>
        <v>9349.187000000002</v>
      </c>
      <c r="E8" s="61">
        <f>+'IPR Data'!D82</f>
        <v>6051.261</v>
      </c>
      <c r="F8" s="61"/>
      <c r="G8" s="61"/>
      <c r="H8" s="61"/>
      <c r="I8" s="61"/>
      <c r="J8" s="61"/>
      <c r="K8" s="61"/>
      <c r="L8" s="61"/>
      <c r="M8" s="61"/>
      <c r="N8" s="61"/>
      <c r="O8" s="2"/>
      <c r="P8" s="2"/>
      <c r="Q8" s="2"/>
      <c r="R8" s="2"/>
      <c r="S8" s="2"/>
      <c r="T8" s="2"/>
      <c r="U8" s="2"/>
      <c r="V8" s="2"/>
      <c r="W8" s="2"/>
      <c r="X8" s="2"/>
      <c r="Y8" s="2"/>
      <c r="Z8" s="2"/>
    </row>
    <row r="9" spans="1:26" ht="12.75">
      <c r="A9" s="58" t="s">
        <v>0</v>
      </c>
      <c r="B9" s="175" t="s">
        <v>1</v>
      </c>
      <c r="C9" s="1" t="s">
        <v>5</v>
      </c>
      <c r="D9" s="61">
        <f>+'IPR Data'!C9/1000</f>
        <v>5300</v>
      </c>
      <c r="E9" s="61">
        <f>+'IPR Data'!D9/1000</f>
        <v>5300.00001</v>
      </c>
      <c r="F9" s="61"/>
      <c r="G9" s="61"/>
      <c r="H9" s="61"/>
      <c r="I9" s="61"/>
      <c r="J9" s="61"/>
      <c r="K9" s="61"/>
      <c r="L9" s="61"/>
      <c r="M9" s="61"/>
      <c r="N9" s="61"/>
      <c r="O9" s="2"/>
      <c r="P9" s="2"/>
      <c r="Q9" s="2"/>
      <c r="R9" s="2"/>
      <c r="S9" s="2"/>
      <c r="T9" s="2"/>
      <c r="U9" s="2"/>
      <c r="V9" s="2"/>
      <c r="W9" s="2"/>
      <c r="X9" s="2"/>
      <c r="Y9" s="2"/>
      <c r="Z9" s="2"/>
    </row>
    <row r="10" spans="1:26" ht="12.75">
      <c r="A10" s="58" t="s">
        <v>0</v>
      </c>
      <c r="B10" s="175" t="s">
        <v>1</v>
      </c>
      <c r="C10" s="1" t="s">
        <v>6</v>
      </c>
      <c r="D10" s="61">
        <f>+'IPR Data'!C8/1000</f>
        <v>8599.999989999998</v>
      </c>
      <c r="E10" s="61">
        <f>+'IPR Data'!D8/1000</f>
        <v>9599.99999</v>
      </c>
      <c r="F10" s="61"/>
      <c r="G10" s="61"/>
      <c r="H10" s="61"/>
      <c r="I10" s="61"/>
      <c r="J10" s="61"/>
      <c r="K10" s="61"/>
      <c r="L10" s="61"/>
      <c r="M10" s="61"/>
      <c r="N10" s="61"/>
      <c r="O10" s="2"/>
      <c r="P10" s="2"/>
      <c r="Q10" s="2"/>
      <c r="R10" s="2"/>
      <c r="S10" s="2"/>
      <c r="T10" s="2"/>
      <c r="U10" s="2"/>
      <c r="V10" s="2"/>
      <c r="W10" s="2"/>
      <c r="X10" s="2"/>
      <c r="Y10" s="2"/>
      <c r="Z10" s="2"/>
    </row>
    <row r="11" spans="1:26" ht="12.75">
      <c r="A11" s="58" t="s">
        <v>0</v>
      </c>
      <c r="B11" s="175" t="s">
        <v>1</v>
      </c>
      <c r="C11" s="1" t="s">
        <v>7</v>
      </c>
      <c r="D11" s="61">
        <f>+'IPR Data'!C12/1000</f>
        <v>1368.48401</v>
      </c>
      <c r="E11" s="61">
        <f>+'IPR Data'!D12/1000</f>
        <v>1410.431</v>
      </c>
      <c r="F11" s="61"/>
      <c r="G11" s="61"/>
      <c r="H11" s="61"/>
      <c r="I11" s="61"/>
      <c r="J11" s="61"/>
      <c r="K11" s="61"/>
      <c r="L11" s="61"/>
      <c r="M11" s="61"/>
      <c r="N11" s="61"/>
      <c r="O11" s="2"/>
      <c r="P11" s="2"/>
      <c r="Q11" s="2"/>
      <c r="R11" s="2"/>
      <c r="S11" s="2"/>
      <c r="T11" s="2"/>
      <c r="U11" s="2"/>
      <c r="V11" s="2"/>
      <c r="W11" s="2"/>
      <c r="X11" s="2"/>
      <c r="Y11" s="2"/>
      <c r="Z11" s="2"/>
    </row>
    <row r="12" spans="1:26" ht="12.75">
      <c r="A12" s="58" t="s">
        <v>0</v>
      </c>
      <c r="B12" s="175" t="s">
        <v>1</v>
      </c>
      <c r="C12" s="1" t="s">
        <v>73</v>
      </c>
      <c r="D12" s="61">
        <f>+'IPR Data'!C11/1000</f>
        <v>767.82703</v>
      </c>
      <c r="E12" s="61">
        <f>+'IPR Data'!D11/1000</f>
        <v>812.82602</v>
      </c>
      <c r="F12" s="61"/>
      <c r="G12" s="61"/>
      <c r="H12" s="61"/>
      <c r="I12" s="61"/>
      <c r="J12" s="61"/>
      <c r="K12" s="61"/>
      <c r="L12" s="61"/>
      <c r="M12" s="61"/>
      <c r="N12" s="61"/>
      <c r="O12" s="2"/>
      <c r="P12" s="2"/>
      <c r="Q12" s="2"/>
      <c r="R12" s="2"/>
      <c r="S12" s="2"/>
      <c r="T12" s="2"/>
      <c r="U12" s="2"/>
      <c r="V12" s="2"/>
      <c r="W12" s="2"/>
      <c r="X12" s="2"/>
      <c r="Y12" s="2"/>
      <c r="Z12" s="2"/>
    </row>
    <row r="13" spans="1:26" ht="12.75">
      <c r="A13" s="58" t="s">
        <v>0</v>
      </c>
      <c r="B13" s="175" t="s">
        <v>8</v>
      </c>
      <c r="C13" s="281" t="s">
        <v>820</v>
      </c>
      <c r="D13" s="61">
        <f>+'IPR Data'!C14/1000</f>
        <v>22000</v>
      </c>
      <c r="E13" s="61">
        <f>+'IPR Data'!D14/1000</f>
        <v>22000.000009999996</v>
      </c>
      <c r="F13" s="61"/>
      <c r="G13" s="61"/>
      <c r="H13" s="61"/>
      <c r="I13" s="61"/>
      <c r="J13" s="61"/>
      <c r="K13" s="61"/>
      <c r="L13" s="61"/>
      <c r="M13" s="61"/>
      <c r="N13" s="61"/>
      <c r="O13" s="2"/>
      <c r="P13" s="2"/>
      <c r="Q13" s="2"/>
      <c r="R13" s="2"/>
      <c r="S13" s="2"/>
      <c r="T13" s="2"/>
      <c r="U13" s="2"/>
      <c r="V13" s="2"/>
      <c r="W13" s="2"/>
      <c r="X13" s="2"/>
      <c r="Y13" s="2"/>
      <c r="Z13" s="2"/>
    </row>
    <row r="14" spans="1:26" ht="12.75">
      <c r="A14" s="58" t="s">
        <v>0</v>
      </c>
      <c r="B14" s="175" t="s">
        <v>8</v>
      </c>
      <c r="C14" s="396" t="s">
        <v>821</v>
      </c>
      <c r="D14" s="61">
        <f>+'IPR Data'!C15/1000</f>
        <v>5749.25004</v>
      </c>
      <c r="E14" s="61">
        <f>+'IPR Data'!D15/1000</f>
        <v>5500</v>
      </c>
      <c r="F14" s="61"/>
      <c r="G14" s="61"/>
      <c r="H14" s="61"/>
      <c r="I14" s="61"/>
      <c r="J14" s="61"/>
      <c r="K14" s="61"/>
      <c r="L14" s="61"/>
      <c r="M14" s="61"/>
      <c r="N14" s="61"/>
      <c r="O14" s="2"/>
      <c r="P14" s="2"/>
      <c r="Q14" s="2"/>
      <c r="R14" s="2"/>
      <c r="S14" s="2"/>
      <c r="T14" s="2"/>
      <c r="U14" s="2"/>
      <c r="V14" s="2"/>
      <c r="W14" s="2"/>
      <c r="X14" s="2"/>
      <c r="Y14" s="2"/>
      <c r="Z14" s="2"/>
    </row>
    <row r="15" spans="1:26" ht="12.75">
      <c r="A15" s="58" t="s">
        <v>0</v>
      </c>
      <c r="B15" s="175" t="s">
        <v>9</v>
      </c>
      <c r="C15" s="1" t="s">
        <v>10</v>
      </c>
      <c r="D15" s="61">
        <f>+'IPR Data'!C17/1000</f>
        <v>1199.9999599999999</v>
      </c>
      <c r="E15" s="61">
        <f>+'IPR Data'!D17/1000</f>
        <v>1199.99999</v>
      </c>
      <c r="F15" s="61"/>
      <c r="G15" s="61"/>
      <c r="H15" s="61"/>
      <c r="I15" s="61"/>
      <c r="J15" s="61"/>
      <c r="K15" s="61"/>
      <c r="L15" s="61"/>
      <c r="M15" s="61"/>
      <c r="N15" s="61"/>
      <c r="O15" s="2"/>
      <c r="P15" s="2"/>
      <c r="Q15" s="2"/>
      <c r="R15" s="2"/>
      <c r="S15" s="2"/>
      <c r="T15" s="2"/>
      <c r="U15" s="2"/>
      <c r="V15" s="2"/>
      <c r="W15" s="2"/>
      <c r="X15" s="2"/>
      <c r="Y15" s="2"/>
      <c r="Z15" s="2"/>
    </row>
    <row r="16" spans="1:26" ht="12.75">
      <c r="A16" s="58" t="s">
        <v>0</v>
      </c>
      <c r="B16" s="175" t="s">
        <v>9</v>
      </c>
      <c r="C16" s="1" t="s">
        <v>11</v>
      </c>
      <c r="D16" s="61">
        <f>+'IPR Data'!C18/1000</f>
        <v>1140.99997</v>
      </c>
      <c r="E16" s="61">
        <f>+'IPR Data'!D18/1000</f>
        <v>1175.0000399999997</v>
      </c>
      <c r="F16" s="61"/>
      <c r="G16" s="61"/>
      <c r="H16" s="61"/>
      <c r="I16" s="61"/>
      <c r="J16" s="61"/>
      <c r="K16" s="61"/>
      <c r="L16" s="61"/>
      <c r="M16" s="61"/>
      <c r="N16" s="61"/>
      <c r="O16" s="2"/>
      <c r="P16" s="2"/>
      <c r="Q16" s="2"/>
      <c r="R16" s="2"/>
      <c r="S16" s="2"/>
      <c r="T16" s="2"/>
      <c r="U16" s="2"/>
      <c r="V16" s="2"/>
      <c r="W16" s="2"/>
      <c r="X16" s="2"/>
      <c r="Y16" s="2"/>
      <c r="Z16" s="2"/>
    </row>
    <row r="17" spans="1:26" ht="12.75">
      <c r="A17" s="58" t="s">
        <v>0</v>
      </c>
      <c r="B17" s="175" t="s">
        <v>12</v>
      </c>
      <c r="C17" s="1" t="s">
        <v>74</v>
      </c>
      <c r="D17" s="61">
        <f>+'IPR Data'!C22/1000</f>
        <v>3099.9999799999996</v>
      </c>
      <c r="E17" s="61">
        <f>+'IPR Data'!D22/1000</f>
        <v>3099.9999900000003</v>
      </c>
      <c r="F17" s="61"/>
      <c r="G17" s="61"/>
      <c r="H17" s="61"/>
      <c r="I17" s="61"/>
      <c r="J17" s="61"/>
      <c r="K17" s="61"/>
      <c r="L17" s="61"/>
      <c r="M17" s="61"/>
      <c r="N17" s="61"/>
      <c r="O17" s="2"/>
      <c r="P17" s="2"/>
      <c r="Q17" s="2"/>
      <c r="R17" s="2"/>
      <c r="S17" s="2"/>
      <c r="T17" s="2"/>
      <c r="U17" s="2"/>
      <c r="V17" s="2"/>
      <c r="W17" s="2"/>
      <c r="X17" s="2"/>
      <c r="Y17" s="2"/>
      <c r="Z17" s="2"/>
    </row>
    <row r="18" spans="1:26" ht="12.75">
      <c r="A18" s="58" t="s">
        <v>0</v>
      </c>
      <c r="B18" s="175" t="s">
        <v>12</v>
      </c>
      <c r="C18" s="1" t="s">
        <v>75</v>
      </c>
      <c r="D18" s="61">
        <f>+'Modeling results'!B22</f>
        <v>8804</v>
      </c>
      <c r="E18" s="61">
        <f>+'Modeling results'!C22</f>
        <v>8929</v>
      </c>
      <c r="F18" s="61"/>
      <c r="G18" s="61"/>
      <c r="H18" s="61"/>
      <c r="I18" s="61"/>
      <c r="J18" s="61"/>
      <c r="K18" s="61"/>
      <c r="L18" s="61"/>
      <c r="M18" s="61"/>
      <c r="N18" s="61"/>
      <c r="O18" s="2"/>
      <c r="P18" s="2"/>
      <c r="Q18" s="2"/>
      <c r="R18" s="2"/>
      <c r="S18" s="2"/>
      <c r="T18" s="2"/>
      <c r="U18" s="2"/>
      <c r="V18" s="2"/>
      <c r="W18" s="2"/>
      <c r="X18" s="2"/>
      <c r="Y18" s="2"/>
      <c r="Z18" s="2"/>
    </row>
    <row r="19" spans="1:26" ht="12.75">
      <c r="A19" s="58" t="s">
        <v>0</v>
      </c>
      <c r="B19" s="175" t="s">
        <v>12</v>
      </c>
      <c r="C19" s="1" t="s">
        <v>13</v>
      </c>
      <c r="D19" s="61">
        <f>+'Modeling results'!B13</f>
        <v>0</v>
      </c>
      <c r="E19" s="61">
        <f>+'Modeling results'!C13</f>
        <v>0</v>
      </c>
      <c r="F19" s="61"/>
      <c r="G19" s="61"/>
      <c r="H19" s="61"/>
      <c r="I19" s="61"/>
      <c r="J19" s="61"/>
      <c r="K19" s="61"/>
      <c r="L19" s="61"/>
      <c r="M19" s="61"/>
      <c r="N19" s="61"/>
      <c r="O19" s="2"/>
      <c r="P19" s="2"/>
      <c r="Q19" s="2"/>
      <c r="R19" s="2"/>
      <c r="S19" s="2"/>
      <c r="T19" s="2"/>
      <c r="U19" s="2"/>
      <c r="V19" s="2"/>
      <c r="W19" s="2"/>
      <c r="X19" s="2"/>
      <c r="Y19" s="2"/>
      <c r="Z19" s="2"/>
    </row>
    <row r="20" spans="1:26" ht="12.75">
      <c r="A20" s="58" t="s">
        <v>0</v>
      </c>
      <c r="B20" s="175" t="s">
        <v>12</v>
      </c>
      <c r="C20" s="1" t="s">
        <v>76</v>
      </c>
      <c r="D20" s="61">
        <f>+'Modeling results'!B12+'Modeling results'!B14</f>
        <v>192471</v>
      </c>
      <c r="E20" s="61">
        <f>+'Modeling results'!C12+'Modeling results'!C14</f>
        <v>271216</v>
      </c>
      <c r="F20" s="61"/>
      <c r="G20" s="61"/>
      <c r="H20" s="61"/>
      <c r="I20" s="61"/>
      <c r="J20" s="61"/>
      <c r="K20" s="61"/>
      <c r="L20" s="61"/>
      <c r="M20" s="61"/>
      <c r="N20" s="61"/>
      <c r="O20" s="2"/>
      <c r="P20" s="2"/>
      <c r="Q20" s="2"/>
      <c r="R20" s="2"/>
      <c r="S20" s="2"/>
      <c r="T20" s="2"/>
      <c r="U20" s="2"/>
      <c r="V20" s="2"/>
      <c r="W20" s="2"/>
      <c r="X20" s="2"/>
      <c r="Y20" s="2"/>
      <c r="Z20" s="2"/>
    </row>
    <row r="21" spans="1:26" ht="12.75">
      <c r="A21" s="58" t="s">
        <v>0</v>
      </c>
      <c r="B21" s="175" t="s">
        <v>12</v>
      </c>
      <c r="C21" s="1" t="s">
        <v>14</v>
      </c>
      <c r="D21" s="177"/>
      <c r="E21" s="177"/>
      <c r="F21" s="177"/>
      <c r="G21" s="177"/>
      <c r="H21" s="177"/>
      <c r="I21" s="177"/>
      <c r="J21" s="177"/>
      <c r="K21" s="177"/>
      <c r="L21" s="177"/>
      <c r="M21" s="177"/>
      <c r="N21" s="177"/>
      <c r="O21" s="2"/>
      <c r="P21" s="2"/>
      <c r="Q21" s="2"/>
      <c r="R21" s="2"/>
      <c r="S21" s="2"/>
      <c r="T21" s="2"/>
      <c r="U21" s="2"/>
      <c r="V21" s="2"/>
      <c r="W21" s="2"/>
      <c r="X21" s="2"/>
      <c r="Y21" s="2"/>
      <c r="Z21" s="2"/>
    </row>
    <row r="22" spans="1:26" ht="12.75">
      <c r="A22" s="58" t="s">
        <v>0</v>
      </c>
      <c r="B22" s="175" t="s">
        <v>15</v>
      </c>
      <c r="C22" s="1" t="s">
        <v>77</v>
      </c>
      <c r="D22" s="61"/>
      <c r="E22" s="61"/>
      <c r="F22" s="61"/>
      <c r="G22" s="61"/>
      <c r="H22" s="61"/>
      <c r="I22" s="61"/>
      <c r="J22" s="61"/>
      <c r="K22" s="61"/>
      <c r="L22" s="61"/>
      <c r="M22" s="61"/>
      <c r="N22" s="61"/>
      <c r="O22" s="61"/>
      <c r="P22" s="61"/>
      <c r="Q22" s="61"/>
      <c r="R22" s="61"/>
      <c r="S22" s="61"/>
      <c r="T22" s="61"/>
      <c r="U22" s="61"/>
      <c r="V22" s="61"/>
      <c r="W22" s="61"/>
      <c r="X22" s="61"/>
      <c r="Y22" s="61"/>
      <c r="Z22" s="61"/>
    </row>
    <row r="23" spans="1:26" ht="12.75">
      <c r="A23" s="58" t="s">
        <v>0</v>
      </c>
      <c r="B23" s="175" t="s">
        <v>15</v>
      </c>
      <c r="C23" s="1" t="s">
        <v>78</v>
      </c>
      <c r="D23" s="61">
        <v>0</v>
      </c>
      <c r="E23" s="61">
        <v>0</v>
      </c>
      <c r="F23" s="61"/>
      <c r="G23" s="61"/>
      <c r="H23" s="61"/>
      <c r="I23" s="61"/>
      <c r="J23" s="61"/>
      <c r="K23" s="61"/>
      <c r="L23" s="61"/>
      <c r="M23" s="61"/>
      <c r="N23" s="61"/>
      <c r="O23" s="2"/>
      <c r="P23" s="2"/>
      <c r="Q23" s="2"/>
      <c r="R23" s="2"/>
      <c r="S23" s="2"/>
      <c r="T23" s="2"/>
      <c r="U23" s="2"/>
      <c r="V23" s="2"/>
      <c r="W23" s="2"/>
      <c r="X23" s="2"/>
      <c r="Y23" s="2"/>
      <c r="Z23" s="2"/>
    </row>
    <row r="24" spans="1:26" ht="12.75">
      <c r="A24" s="58" t="s">
        <v>0</v>
      </c>
      <c r="B24" s="175" t="s">
        <v>15</v>
      </c>
      <c r="C24" s="1" t="s">
        <v>79</v>
      </c>
      <c r="D24" s="61">
        <v>0</v>
      </c>
      <c r="E24" s="61">
        <v>0</v>
      </c>
      <c r="F24" s="61"/>
      <c r="G24" s="61"/>
      <c r="H24" s="61"/>
      <c r="I24" s="61"/>
      <c r="J24" s="61"/>
      <c r="K24" s="61"/>
      <c r="L24" s="61"/>
      <c r="M24" s="61"/>
      <c r="N24" s="61"/>
      <c r="O24" s="2"/>
      <c r="P24" s="2"/>
      <c r="Q24" s="2"/>
      <c r="R24" s="2"/>
      <c r="S24" s="2"/>
      <c r="T24" s="2"/>
      <c r="U24" s="2"/>
      <c r="V24" s="2"/>
      <c r="W24" s="2"/>
      <c r="X24" s="2"/>
      <c r="Y24" s="2"/>
      <c r="Z24" s="2"/>
    </row>
    <row r="25" spans="1:26" ht="12.75">
      <c r="A25" s="58" t="s">
        <v>0</v>
      </c>
      <c r="B25" s="175" t="s">
        <v>15</v>
      </c>
      <c r="C25" s="1" t="s">
        <v>16</v>
      </c>
      <c r="D25" s="61">
        <f>+'REP staff costs'!F10/1000</f>
        <v>554.3685795648</v>
      </c>
      <c r="E25" s="61">
        <f>+'REP staff costs'!G10/1000</f>
        <v>601.8985015679999</v>
      </c>
      <c r="F25" s="61"/>
      <c r="G25" s="61"/>
      <c r="H25" s="61"/>
      <c r="I25" s="61"/>
      <c r="J25" s="61"/>
      <c r="K25" s="61"/>
      <c r="L25" s="61"/>
      <c r="M25" s="61"/>
      <c r="N25" s="61"/>
      <c r="O25" s="2"/>
      <c r="P25" s="2"/>
      <c r="Q25" s="2"/>
      <c r="R25" s="2"/>
      <c r="S25" s="2"/>
      <c r="T25" s="2"/>
      <c r="U25" s="2"/>
      <c r="V25" s="2"/>
      <c r="W25" s="2"/>
      <c r="X25" s="2"/>
      <c r="Y25" s="2"/>
      <c r="Z25" s="2"/>
    </row>
    <row r="26" spans="1:26" s="182" customFormat="1" ht="12.75">
      <c r="A26" s="62" t="s">
        <v>0</v>
      </c>
      <c r="B26" s="397" t="s">
        <v>15</v>
      </c>
      <c r="C26" s="63" t="s">
        <v>127</v>
      </c>
      <c r="D26" s="61">
        <v>0</v>
      </c>
      <c r="E26" s="61"/>
      <c r="F26" s="61"/>
      <c r="G26" s="61"/>
      <c r="H26" s="61"/>
      <c r="I26" s="61"/>
      <c r="J26" s="61"/>
      <c r="K26" s="61"/>
      <c r="L26" s="61"/>
      <c r="M26" s="61"/>
      <c r="N26" s="61"/>
      <c r="O26" s="2"/>
      <c r="P26" s="2"/>
      <c r="Q26" s="2"/>
      <c r="R26" s="2"/>
      <c r="S26" s="2"/>
      <c r="T26" s="2"/>
      <c r="U26" s="2"/>
      <c r="V26" s="2"/>
      <c r="W26" s="2"/>
      <c r="X26" s="2"/>
      <c r="Y26" s="2"/>
      <c r="Z26" s="2"/>
    </row>
    <row r="27" spans="1:26" ht="12.75">
      <c r="A27" s="58" t="s">
        <v>0</v>
      </c>
      <c r="B27" s="175" t="s">
        <v>17</v>
      </c>
      <c r="C27" s="1" t="s">
        <v>80</v>
      </c>
      <c r="D27" s="61">
        <f>+'IPR Data'!C51/1000*'R&amp;D split'!D6</f>
        <v>1010.6499840000002</v>
      </c>
      <c r="E27" s="61">
        <f>+'IPR Data'!D51/1000*'R&amp;D split'!E6</f>
        <v>1010.6499840000001</v>
      </c>
      <c r="F27" s="61"/>
      <c r="G27" s="61"/>
      <c r="H27" s="61"/>
      <c r="I27" s="61"/>
      <c r="J27" s="61"/>
      <c r="K27" s="61"/>
      <c r="L27" s="61"/>
      <c r="M27" s="61"/>
      <c r="N27" s="61"/>
      <c r="O27" s="2"/>
      <c r="P27" s="2"/>
      <c r="Q27" s="2"/>
      <c r="R27" s="2"/>
      <c r="S27" s="2"/>
      <c r="T27" s="2"/>
      <c r="U27" s="2"/>
      <c r="V27" s="2"/>
      <c r="W27" s="2"/>
      <c r="X27" s="2"/>
      <c r="Y27" s="2"/>
      <c r="Z27" s="2"/>
    </row>
    <row r="28" spans="1:26" ht="12.75">
      <c r="A28" s="58" t="s">
        <v>0</v>
      </c>
      <c r="B28" s="175" t="s">
        <v>17</v>
      </c>
      <c r="C28" s="1" t="s">
        <v>81</v>
      </c>
      <c r="D28" s="61">
        <f>+'IPR Data'!C26/1000-'Modeling results'!B22</f>
        <v>17163</v>
      </c>
      <c r="E28" s="61">
        <f>+'IPR Data'!D26/1000-'Modeling results'!C22</f>
        <v>17838.000010000003</v>
      </c>
      <c r="F28" s="266"/>
      <c r="G28" s="266"/>
      <c r="H28" s="266"/>
      <c r="I28" s="266"/>
      <c r="J28" s="266"/>
      <c r="K28" s="266"/>
      <c r="L28" s="266"/>
      <c r="M28" s="266"/>
      <c r="N28" s="61"/>
      <c r="O28" s="2"/>
      <c r="P28" s="2"/>
      <c r="Q28" s="2"/>
      <c r="R28" s="2"/>
      <c r="S28" s="2"/>
      <c r="T28" s="2"/>
      <c r="U28" s="2"/>
      <c r="V28" s="2"/>
      <c r="W28" s="2"/>
      <c r="X28" s="2"/>
      <c r="Y28" s="2"/>
      <c r="Z28" s="2"/>
    </row>
    <row r="29" spans="1:26" ht="12.75">
      <c r="A29" s="58" t="s">
        <v>0</v>
      </c>
      <c r="B29" s="175" t="s">
        <v>17</v>
      </c>
      <c r="C29" s="398" t="s">
        <v>631</v>
      </c>
      <c r="D29" s="61">
        <f>+'IPR Data'!C27/1000</f>
        <v>26044.06397</v>
      </c>
      <c r="E29" s="61">
        <f>+'IPR Data'!D27/1000</f>
        <v>26106.368990000003</v>
      </c>
      <c r="F29" s="61"/>
      <c r="G29" s="61"/>
      <c r="H29" s="61"/>
      <c r="I29" s="61"/>
      <c r="J29" s="61"/>
      <c r="K29" s="61"/>
      <c r="L29" s="61"/>
      <c r="M29" s="61"/>
      <c r="N29" s="61"/>
      <c r="O29" s="2"/>
      <c r="P29" s="2"/>
      <c r="Q29" s="2"/>
      <c r="R29" s="2"/>
      <c r="S29" s="2"/>
      <c r="T29" s="2"/>
      <c r="U29" s="2"/>
      <c r="V29" s="2"/>
      <c r="W29" s="2"/>
      <c r="X29" s="2"/>
      <c r="Y29" s="2"/>
      <c r="Z29" s="2"/>
    </row>
    <row r="30" spans="1:26" ht="12.75">
      <c r="A30" s="58" t="s">
        <v>0</v>
      </c>
      <c r="B30" s="175" t="s">
        <v>17</v>
      </c>
      <c r="C30" s="1" t="s">
        <v>18</v>
      </c>
      <c r="D30" s="61">
        <f>+'IPR Data'!C51/1000*'R&amp;D split'!$D$7</f>
        <v>656.9224896000002</v>
      </c>
      <c r="E30" s="61">
        <f>+'IPR Data'!D51/1000*'R&amp;D split'!$D$7</f>
        <v>656.9224896000001</v>
      </c>
      <c r="F30" s="61"/>
      <c r="G30" s="61"/>
      <c r="H30" s="61"/>
      <c r="I30" s="61"/>
      <c r="J30" s="61"/>
      <c r="K30" s="61"/>
      <c r="L30" s="61"/>
      <c r="M30" s="61"/>
      <c r="N30" s="61"/>
      <c r="O30" s="2"/>
      <c r="P30" s="2"/>
      <c r="Q30" s="2"/>
      <c r="R30" s="2"/>
      <c r="S30" s="2"/>
      <c r="T30" s="2"/>
      <c r="U30" s="2"/>
      <c r="V30" s="2"/>
      <c r="W30" s="2"/>
      <c r="X30" s="2"/>
      <c r="Y30" s="2"/>
      <c r="Z30" s="2"/>
    </row>
    <row r="31" spans="1:26" ht="12.75">
      <c r="A31" s="58" t="s">
        <v>0</v>
      </c>
      <c r="B31" s="175" t="s">
        <v>17</v>
      </c>
      <c r="C31" s="1" t="s">
        <v>485</v>
      </c>
      <c r="D31" s="61">
        <f>+'IPR Data'!C33/1000</f>
        <v>215.00003999999993</v>
      </c>
      <c r="E31" s="61">
        <f>+'IPR Data'!D33/1000</f>
        <v>215.00003999999993</v>
      </c>
      <c r="F31" s="61"/>
      <c r="G31" s="61"/>
      <c r="H31" s="61"/>
      <c r="I31" s="61"/>
      <c r="J31" s="61"/>
      <c r="K31" s="61"/>
      <c r="L31" s="61"/>
      <c r="M31" s="61"/>
      <c r="N31" s="61"/>
      <c r="O31" s="2"/>
      <c r="P31" s="2"/>
      <c r="Q31" s="2"/>
      <c r="R31" s="2"/>
      <c r="S31" s="2"/>
      <c r="T31" s="2"/>
      <c r="U31" s="2"/>
      <c r="V31" s="2"/>
      <c r="W31" s="2"/>
      <c r="X31" s="2"/>
      <c r="Y31" s="2"/>
      <c r="Z31" s="2"/>
    </row>
    <row r="32" spans="1:26" ht="12.75">
      <c r="A32" s="58" t="s">
        <v>0</v>
      </c>
      <c r="B32" s="175" t="s">
        <v>17</v>
      </c>
      <c r="C32" s="1" t="s">
        <v>19</v>
      </c>
      <c r="D32" s="61">
        <f>+'IPR Data'!C32/1000</f>
        <v>69027.249</v>
      </c>
      <c r="E32" s="61">
        <f>+'IPR Data'!D32/1000</f>
        <v>69027.24899000001</v>
      </c>
      <c r="F32" s="61"/>
      <c r="G32" s="61"/>
      <c r="H32" s="61"/>
      <c r="I32" s="61"/>
      <c r="J32" s="61"/>
      <c r="K32" s="61"/>
      <c r="L32" s="61"/>
      <c r="M32" s="61"/>
      <c r="N32" s="61"/>
      <c r="O32" s="2"/>
      <c r="P32" s="2"/>
      <c r="Q32" s="2"/>
      <c r="R32" s="2"/>
      <c r="S32" s="2"/>
      <c r="T32" s="2"/>
      <c r="U32" s="2"/>
      <c r="V32" s="2"/>
      <c r="W32" s="2"/>
      <c r="X32" s="2"/>
      <c r="Y32" s="2"/>
      <c r="Z32" s="2"/>
    </row>
    <row r="33" spans="1:26" ht="12.75">
      <c r="A33" s="58" t="s">
        <v>0</v>
      </c>
      <c r="B33" s="175" t="s">
        <v>17</v>
      </c>
      <c r="C33" s="1" t="s">
        <v>82</v>
      </c>
      <c r="D33" s="61">
        <f>+'IPR Data'!C31/1000</f>
        <v>6005</v>
      </c>
      <c r="E33" s="61">
        <f>+'IPR Data'!D31/1000</f>
        <v>6005.0000199999995</v>
      </c>
      <c r="F33" s="61"/>
      <c r="G33" s="61"/>
      <c r="H33" s="61"/>
      <c r="I33" s="61"/>
      <c r="J33" s="61"/>
      <c r="K33" s="61"/>
      <c r="L33" s="61"/>
      <c r="M33" s="61"/>
      <c r="N33" s="61"/>
      <c r="O33" s="2"/>
      <c r="P33" s="2"/>
      <c r="Q33" s="2"/>
      <c r="R33" s="2"/>
      <c r="S33" s="2"/>
      <c r="T33" s="2"/>
      <c r="U33" s="2"/>
      <c r="V33" s="2"/>
      <c r="W33" s="2"/>
      <c r="X33" s="2"/>
      <c r="Y33" s="2"/>
      <c r="Z33" s="2"/>
    </row>
    <row r="34" spans="1:26" ht="12.75">
      <c r="A34" s="58" t="s">
        <v>0</v>
      </c>
      <c r="B34" s="175" t="s">
        <v>17</v>
      </c>
      <c r="C34" s="1" t="s">
        <v>83</v>
      </c>
      <c r="D34" s="61">
        <f>+'IPR Data'!C30/1000</f>
        <v>0</v>
      </c>
      <c r="E34" s="61">
        <f>+'IPR Data'!D30/1000</f>
        <v>0</v>
      </c>
      <c r="F34" s="61"/>
      <c r="G34" s="61"/>
      <c r="H34" s="61"/>
      <c r="I34" s="61"/>
      <c r="J34" s="61"/>
      <c r="K34" s="61"/>
      <c r="L34" s="61"/>
      <c r="M34" s="61"/>
      <c r="N34" s="61"/>
      <c r="O34" s="2"/>
      <c r="P34" s="2"/>
      <c r="Q34" s="2"/>
      <c r="R34" s="2"/>
      <c r="S34" s="2"/>
      <c r="T34" s="2"/>
      <c r="U34" s="2"/>
      <c r="V34" s="2"/>
      <c r="W34" s="2"/>
      <c r="X34" s="2"/>
      <c r="Y34" s="2"/>
      <c r="Z34" s="2"/>
    </row>
    <row r="35" spans="1:26" ht="12.75">
      <c r="A35" s="58" t="s">
        <v>0</v>
      </c>
      <c r="B35" s="175" t="s">
        <v>17</v>
      </c>
      <c r="C35" s="1" t="s">
        <v>20</v>
      </c>
      <c r="D35" s="61">
        <f>+'IPR Data'!C28/1000</f>
        <v>589.9999899999999</v>
      </c>
      <c r="E35" s="61">
        <f>+'IPR Data'!D28/1000</f>
        <v>590</v>
      </c>
      <c r="F35" s="61"/>
      <c r="G35" s="61"/>
      <c r="H35" s="61"/>
      <c r="I35" s="61"/>
      <c r="J35" s="61"/>
      <c r="K35" s="61"/>
      <c r="L35" s="61"/>
      <c r="M35" s="61"/>
      <c r="N35" s="61"/>
      <c r="O35" s="2"/>
      <c r="P35" s="2"/>
      <c r="Q35" s="2"/>
      <c r="R35" s="2"/>
      <c r="S35" s="2"/>
      <c r="T35" s="2"/>
      <c r="U35" s="2"/>
      <c r="V35" s="2"/>
      <c r="W35" s="2"/>
      <c r="X35" s="2"/>
      <c r="Y35" s="2"/>
      <c r="Z35" s="2"/>
    </row>
    <row r="36" spans="1:26" ht="12.75">
      <c r="A36" s="58" t="s">
        <v>0</v>
      </c>
      <c r="B36" s="175" t="s">
        <v>17</v>
      </c>
      <c r="C36" s="1" t="s">
        <v>21</v>
      </c>
      <c r="D36" s="61">
        <f>+'IPR Data'!C29/1000</f>
        <v>11800.00001</v>
      </c>
      <c r="E36" s="61">
        <f>+'IPR Data'!D29/1000</f>
        <v>11800.000020000001</v>
      </c>
      <c r="F36" s="61"/>
      <c r="G36" s="61"/>
      <c r="H36" s="61"/>
      <c r="I36" s="61"/>
      <c r="J36" s="61"/>
      <c r="K36" s="61"/>
      <c r="L36" s="61"/>
      <c r="M36" s="61"/>
      <c r="N36" s="61"/>
      <c r="O36" s="2"/>
      <c r="P36" s="2"/>
      <c r="Q36" s="2"/>
      <c r="R36" s="2"/>
      <c r="S36" s="2"/>
      <c r="T36" s="2"/>
      <c r="U36" s="2"/>
      <c r="V36" s="2"/>
      <c r="W36" s="2"/>
      <c r="X36" s="2"/>
      <c r="Y36" s="2"/>
      <c r="Z36" s="2"/>
    </row>
    <row r="37" spans="1:26" ht="12.75">
      <c r="A37" s="58" t="s">
        <v>0</v>
      </c>
      <c r="B37" s="175" t="s">
        <v>22</v>
      </c>
      <c r="C37" s="1" t="s">
        <v>84</v>
      </c>
      <c r="D37" s="61">
        <f>+'Modeling results'!B17</f>
        <v>62920.517</v>
      </c>
      <c r="E37" s="61">
        <f>+'Modeling results'!C17</f>
        <v>62005.517</v>
      </c>
      <c r="F37" s="61"/>
      <c r="G37" s="61"/>
      <c r="H37" s="61"/>
      <c r="I37" s="61"/>
      <c r="J37" s="61"/>
      <c r="K37" s="61"/>
      <c r="L37" s="61"/>
      <c r="M37" s="61"/>
      <c r="N37" s="61"/>
      <c r="O37" s="2"/>
      <c r="P37" s="2"/>
      <c r="Q37" s="2"/>
      <c r="R37" s="2"/>
      <c r="S37" s="2"/>
      <c r="T37" s="2"/>
      <c r="U37" s="2"/>
      <c r="V37" s="2"/>
      <c r="W37" s="2"/>
      <c r="X37" s="2"/>
      <c r="Y37" s="2"/>
      <c r="Z37" s="2"/>
    </row>
    <row r="38" spans="1:26" ht="12.75">
      <c r="A38" s="58" t="s">
        <v>0</v>
      </c>
      <c r="B38" s="175" t="s">
        <v>22</v>
      </c>
      <c r="C38" s="1" t="s">
        <v>85</v>
      </c>
      <c r="D38" s="61">
        <f>+'Modeling results'!B18</f>
        <v>32028.483</v>
      </c>
      <c r="E38" s="61">
        <f>+'Modeling results'!C18</f>
        <v>32028.483</v>
      </c>
      <c r="F38" s="61"/>
      <c r="G38" s="61"/>
      <c r="H38" s="61"/>
      <c r="I38" s="61"/>
      <c r="J38" s="61"/>
      <c r="K38" s="61"/>
      <c r="L38" s="61"/>
      <c r="M38" s="61"/>
      <c r="N38" s="61"/>
      <c r="O38" s="2"/>
      <c r="P38" s="2"/>
      <c r="Q38" s="2"/>
      <c r="R38" s="2"/>
      <c r="S38" s="2"/>
      <c r="T38" s="2"/>
      <c r="U38" s="2"/>
      <c r="V38" s="2"/>
      <c r="W38" s="2"/>
      <c r="X38" s="2"/>
      <c r="Y38" s="2"/>
      <c r="Z38" s="2"/>
    </row>
    <row r="39" spans="1:26" ht="12.75">
      <c r="A39" s="58" t="s">
        <v>0</v>
      </c>
      <c r="B39" s="175" t="s">
        <v>22</v>
      </c>
      <c r="C39" s="1" t="s">
        <v>23</v>
      </c>
      <c r="D39" s="61">
        <f>+'IPR Data'!C37/1000</f>
        <v>91278.282</v>
      </c>
      <c r="E39" s="61">
        <f>+'IPR Data'!D37/1000</f>
        <v>92597.799</v>
      </c>
      <c r="F39" s="61"/>
      <c r="G39" s="61"/>
      <c r="H39" s="61"/>
      <c r="I39" s="61"/>
      <c r="J39" s="61"/>
      <c r="K39" s="61"/>
      <c r="L39" s="61"/>
      <c r="M39" s="61"/>
      <c r="N39" s="61"/>
      <c r="O39" s="2"/>
      <c r="P39" s="2"/>
      <c r="Q39" s="2"/>
      <c r="R39" s="2"/>
      <c r="S39" s="2"/>
      <c r="T39" s="2"/>
      <c r="U39" s="2"/>
      <c r="V39" s="2"/>
      <c r="W39" s="2"/>
      <c r="X39" s="2"/>
      <c r="Y39" s="2"/>
      <c r="Z39" s="2"/>
    </row>
    <row r="40" spans="1:26" ht="12.75">
      <c r="A40" s="58" t="s">
        <v>0</v>
      </c>
      <c r="B40" s="175" t="s">
        <v>22</v>
      </c>
      <c r="C40" s="1" t="s">
        <v>86</v>
      </c>
      <c r="D40" s="61">
        <f>+'IPR Data'!C40/1000</f>
        <v>3299.99999</v>
      </c>
      <c r="E40" s="61">
        <f>+'IPR Data'!D40/1000</f>
        <v>3299.99998</v>
      </c>
      <c r="F40" s="61"/>
      <c r="G40" s="61"/>
      <c r="H40" s="61"/>
      <c r="I40" s="61"/>
      <c r="J40" s="61"/>
      <c r="K40" s="61"/>
      <c r="L40" s="61"/>
      <c r="M40" s="61"/>
      <c r="N40" s="61"/>
      <c r="O40" s="2"/>
      <c r="P40" s="2"/>
      <c r="Q40" s="2"/>
      <c r="R40" s="2"/>
      <c r="S40" s="2"/>
      <c r="T40" s="2"/>
      <c r="U40" s="2"/>
      <c r="V40" s="2"/>
      <c r="W40" s="2"/>
      <c r="X40" s="2"/>
      <c r="Y40" s="2"/>
      <c r="Z40" s="2"/>
    </row>
    <row r="41" spans="1:26" ht="12.75">
      <c r="A41" s="58" t="s">
        <v>0</v>
      </c>
      <c r="B41" s="175" t="s">
        <v>22</v>
      </c>
      <c r="C41" s="1" t="s">
        <v>87</v>
      </c>
      <c r="D41" s="177">
        <f>+'Modeling results'!B28</f>
        <v>19894</v>
      </c>
      <c r="E41" s="177">
        <f>+'Modeling results'!C28</f>
        <v>20194</v>
      </c>
      <c r="F41" s="61"/>
      <c r="G41" s="61"/>
      <c r="H41" s="61"/>
      <c r="I41" s="61"/>
      <c r="J41" s="61"/>
      <c r="K41" s="61"/>
      <c r="L41" s="61"/>
      <c r="M41" s="61"/>
      <c r="N41" s="61"/>
      <c r="O41" s="2"/>
      <c r="P41" s="2"/>
      <c r="Q41" s="2"/>
      <c r="R41" s="2"/>
      <c r="S41" s="2"/>
      <c r="T41" s="2"/>
      <c r="U41" s="2"/>
      <c r="V41" s="2"/>
      <c r="W41" s="2"/>
      <c r="X41" s="2"/>
      <c r="Y41" s="2"/>
      <c r="Z41" s="2"/>
    </row>
    <row r="42" spans="1:26" ht="12.75">
      <c r="A42" s="58" t="s">
        <v>0</v>
      </c>
      <c r="B42" s="175" t="s">
        <v>22</v>
      </c>
      <c r="C42" s="1" t="s">
        <v>88</v>
      </c>
      <c r="D42" s="61">
        <v>0</v>
      </c>
      <c r="E42" s="61">
        <v>0</v>
      </c>
      <c r="F42" s="61"/>
      <c r="G42" s="61"/>
      <c r="H42" s="61"/>
      <c r="I42" s="61"/>
      <c r="J42" s="61"/>
      <c r="K42" s="61"/>
      <c r="L42" s="61"/>
      <c r="M42" s="61"/>
      <c r="N42" s="61"/>
      <c r="O42" s="2"/>
      <c r="P42" s="2"/>
      <c r="Q42" s="2"/>
      <c r="R42" s="2"/>
      <c r="S42" s="2"/>
      <c r="T42" s="2"/>
      <c r="U42" s="2"/>
      <c r="V42" s="2"/>
      <c r="W42" s="2"/>
      <c r="X42" s="2"/>
      <c r="Y42" s="2"/>
      <c r="Z42" s="2"/>
    </row>
    <row r="43" spans="1:26" ht="12.75">
      <c r="A43" s="58" t="s">
        <v>0</v>
      </c>
      <c r="B43" s="175" t="s">
        <v>22</v>
      </c>
      <c r="C43" s="175" t="s">
        <v>819</v>
      </c>
      <c r="D43" s="61">
        <v>0</v>
      </c>
      <c r="E43" s="61">
        <v>0</v>
      </c>
      <c r="F43" s="61"/>
      <c r="G43" s="61"/>
      <c r="H43" s="61"/>
      <c r="I43" s="61"/>
      <c r="J43" s="61"/>
      <c r="K43" s="61"/>
      <c r="L43" s="61"/>
      <c r="M43" s="61"/>
      <c r="N43" s="61"/>
      <c r="O43" s="2"/>
      <c r="P43" s="2"/>
      <c r="Q43" s="2"/>
      <c r="R43" s="2"/>
      <c r="S43" s="2"/>
      <c r="T43" s="2"/>
      <c r="U43" s="2"/>
      <c r="V43" s="2"/>
      <c r="W43" s="2"/>
      <c r="X43" s="2"/>
      <c r="Y43" s="2"/>
      <c r="Z43" s="2"/>
    </row>
    <row r="44" spans="1:26" ht="12.75">
      <c r="A44" s="58" t="s">
        <v>0</v>
      </c>
      <c r="B44" s="175" t="s">
        <v>22</v>
      </c>
      <c r="C44" s="175" t="s">
        <v>818</v>
      </c>
      <c r="D44" s="61">
        <v>0</v>
      </c>
      <c r="E44" s="61">
        <v>0</v>
      </c>
      <c r="F44" s="61"/>
      <c r="G44" s="61"/>
      <c r="H44" s="61"/>
      <c r="I44" s="61"/>
      <c r="J44" s="61"/>
      <c r="K44" s="61"/>
      <c r="L44" s="61"/>
      <c r="M44" s="61"/>
      <c r="N44" s="61"/>
      <c r="O44" s="2"/>
      <c r="P44" s="2"/>
      <c r="Q44" s="2"/>
      <c r="R44" s="2"/>
      <c r="S44" s="2"/>
      <c r="T44" s="2"/>
      <c r="U44" s="2"/>
      <c r="V44" s="2"/>
      <c r="W44" s="2"/>
      <c r="X44" s="2"/>
      <c r="Y44" s="2"/>
      <c r="Z44" s="2"/>
    </row>
    <row r="45" spans="1:26" ht="12.75">
      <c r="A45" s="58" t="s">
        <v>24</v>
      </c>
      <c r="B45" s="175" t="s">
        <v>25</v>
      </c>
      <c r="C45" s="1" t="s">
        <v>26</v>
      </c>
      <c r="D45" s="61">
        <v>0</v>
      </c>
      <c r="E45" s="61">
        <v>0</v>
      </c>
      <c r="F45" s="61"/>
      <c r="G45" s="61"/>
      <c r="H45" s="61"/>
      <c r="I45" s="61"/>
      <c r="J45" s="61"/>
      <c r="K45" s="61"/>
      <c r="L45" s="61"/>
      <c r="M45" s="61"/>
      <c r="N45" s="61"/>
      <c r="O45" s="2"/>
      <c r="P45" s="2"/>
      <c r="Q45" s="2"/>
      <c r="R45" s="2"/>
      <c r="S45" s="2"/>
      <c r="T45" s="2"/>
      <c r="U45" s="2"/>
      <c r="V45" s="2"/>
      <c r="W45" s="2"/>
      <c r="X45" s="2"/>
      <c r="Y45" s="2"/>
      <c r="Z45" s="2"/>
    </row>
    <row r="46" spans="1:26" ht="12.75">
      <c r="A46" s="58" t="s">
        <v>24</v>
      </c>
      <c r="B46" s="175" t="s">
        <v>25</v>
      </c>
      <c r="C46" s="1" t="s">
        <v>27</v>
      </c>
      <c r="D46" s="61">
        <f>+'IPR Data'!C50/1000</f>
        <v>2376.1299599999998</v>
      </c>
      <c r="E46" s="61">
        <f>+'IPR Data'!D50/1000</f>
        <v>2473.11504</v>
      </c>
      <c r="F46" s="61"/>
      <c r="G46" s="61"/>
      <c r="H46" s="61"/>
      <c r="I46" s="61"/>
      <c r="J46" s="61"/>
      <c r="K46" s="61"/>
      <c r="L46" s="61"/>
      <c r="M46" s="61"/>
      <c r="N46" s="61"/>
      <c r="O46" s="2"/>
      <c r="P46" s="2"/>
      <c r="Q46" s="2"/>
      <c r="R46" s="2"/>
      <c r="S46" s="2"/>
      <c r="T46" s="2"/>
      <c r="U46" s="2"/>
      <c r="V46" s="2"/>
      <c r="W46" s="2"/>
      <c r="X46" s="2"/>
      <c r="Y46" s="2"/>
      <c r="Z46" s="2"/>
    </row>
    <row r="47" spans="1:26" ht="12.75">
      <c r="A47" s="58" t="s">
        <v>24</v>
      </c>
      <c r="B47" s="175" t="s">
        <v>25</v>
      </c>
      <c r="C47" s="1" t="s">
        <v>89</v>
      </c>
      <c r="D47" s="61">
        <f>+'IPR Data'!C43/1000</f>
        <v>4443.390159999999</v>
      </c>
      <c r="E47" s="61">
        <f>+'IPR Data'!D43/1000</f>
        <v>4571.242359999999</v>
      </c>
      <c r="F47" s="61"/>
      <c r="G47" s="61"/>
      <c r="H47" s="61"/>
      <c r="I47" s="61"/>
      <c r="J47" s="61"/>
      <c r="K47" s="61"/>
      <c r="L47" s="61"/>
      <c r="M47" s="61"/>
      <c r="N47" s="61"/>
      <c r="O47" s="2"/>
      <c r="P47" s="2"/>
      <c r="Q47" s="2"/>
      <c r="R47" s="2"/>
      <c r="S47" s="2"/>
      <c r="T47" s="2"/>
      <c r="U47" s="2"/>
      <c r="V47" s="2"/>
      <c r="W47" s="2"/>
      <c r="X47" s="2"/>
      <c r="Y47" s="2"/>
      <c r="Z47" s="2"/>
    </row>
    <row r="48" spans="1:26" ht="12.75">
      <c r="A48" s="58" t="s">
        <v>24</v>
      </c>
      <c r="B48" s="175" t="s">
        <v>25</v>
      </c>
      <c r="C48" s="1" t="s">
        <v>90</v>
      </c>
      <c r="D48" s="61">
        <v>0</v>
      </c>
      <c r="E48" s="61">
        <v>0</v>
      </c>
      <c r="F48" s="61"/>
      <c r="G48" s="61"/>
      <c r="H48" s="61"/>
      <c r="I48" s="61"/>
      <c r="J48" s="61"/>
      <c r="K48" s="61"/>
      <c r="L48" s="61"/>
      <c r="M48" s="61"/>
      <c r="N48" s="61"/>
      <c r="O48" s="2"/>
      <c r="P48" s="2"/>
      <c r="Q48" s="2"/>
      <c r="R48" s="2"/>
      <c r="S48" s="2"/>
      <c r="T48" s="2"/>
      <c r="U48" s="2"/>
      <c r="V48" s="2"/>
      <c r="W48" s="2"/>
      <c r="X48" s="2"/>
      <c r="Y48" s="2"/>
      <c r="Z48" s="2"/>
    </row>
    <row r="49" spans="1:26" ht="12.75">
      <c r="A49" s="58" t="s">
        <v>24</v>
      </c>
      <c r="B49" s="175" t="s">
        <v>25</v>
      </c>
      <c r="C49" s="1" t="s">
        <v>28</v>
      </c>
      <c r="D49" s="61">
        <f>+'IPR Data'!C46/1000</f>
        <v>608.14326</v>
      </c>
      <c r="E49" s="61">
        <f>+'IPR Data'!D46/1000</f>
        <v>632.18487</v>
      </c>
      <c r="F49" s="61"/>
      <c r="G49" s="61"/>
      <c r="H49" s="61"/>
      <c r="I49" s="61"/>
      <c r="J49" s="61"/>
      <c r="K49" s="61"/>
      <c r="L49" s="61"/>
      <c r="M49" s="61"/>
      <c r="N49" s="61"/>
      <c r="O49" s="2"/>
      <c r="P49" s="2"/>
      <c r="Q49" s="2"/>
      <c r="R49" s="2"/>
      <c r="S49" s="2"/>
      <c r="T49" s="2"/>
      <c r="U49" s="2"/>
      <c r="V49" s="2"/>
      <c r="W49" s="2"/>
      <c r="X49" s="2"/>
      <c r="Y49" s="2"/>
      <c r="Z49" s="2"/>
    </row>
    <row r="50" spans="1:26" ht="12.75">
      <c r="A50" s="58" t="s">
        <v>24</v>
      </c>
      <c r="B50" s="175" t="s">
        <v>29</v>
      </c>
      <c r="C50" s="1" t="s">
        <v>30</v>
      </c>
      <c r="D50" s="61">
        <f>+'IPR Data'!C44/1000</f>
        <v>9504.70152</v>
      </c>
      <c r="E50" s="61">
        <f>+'IPR Data'!D44/1000</f>
        <v>9945.29451</v>
      </c>
      <c r="F50" s="61"/>
      <c r="G50" s="61"/>
      <c r="H50" s="61"/>
      <c r="I50" s="61"/>
      <c r="J50" s="61"/>
      <c r="K50" s="61"/>
      <c r="L50" s="61"/>
      <c r="M50" s="61"/>
      <c r="N50" s="61"/>
      <c r="O50" s="2"/>
      <c r="P50" s="2"/>
      <c r="Q50" s="2"/>
      <c r="R50" s="2"/>
      <c r="S50" s="2"/>
      <c r="T50" s="2"/>
      <c r="U50" s="2"/>
      <c r="V50" s="2"/>
      <c r="W50" s="2"/>
      <c r="X50" s="2"/>
      <c r="Y50" s="2"/>
      <c r="Z50" s="2"/>
    </row>
    <row r="51" spans="1:26" ht="12.75">
      <c r="A51" s="58" t="s">
        <v>24</v>
      </c>
      <c r="B51" s="175" t="s">
        <v>29</v>
      </c>
      <c r="C51" s="1" t="s">
        <v>31</v>
      </c>
      <c r="D51" s="61">
        <f>+'IPR Data'!C45/1000</f>
        <v>9739.172359999999</v>
      </c>
      <c r="E51" s="61">
        <f>+'IPR Data'!D45/1000</f>
        <v>10101.943770000002</v>
      </c>
      <c r="F51" s="61"/>
      <c r="G51" s="61"/>
      <c r="H51" s="61"/>
      <c r="I51" s="61"/>
      <c r="J51" s="61"/>
      <c r="K51" s="61"/>
      <c r="L51" s="61"/>
      <c r="M51" s="61"/>
      <c r="N51" s="61"/>
      <c r="O51" s="2"/>
      <c r="P51" s="2"/>
      <c r="Q51" s="2"/>
      <c r="R51" s="2"/>
      <c r="S51" s="2"/>
      <c r="T51" s="2"/>
      <c r="U51" s="2"/>
      <c r="V51" s="2"/>
      <c r="W51" s="2"/>
      <c r="X51" s="2"/>
      <c r="Y51" s="2"/>
      <c r="Z51" s="2"/>
    </row>
    <row r="52" spans="1:26" ht="12.75">
      <c r="A52" s="58" t="s">
        <v>24</v>
      </c>
      <c r="B52" s="175" t="s">
        <v>32</v>
      </c>
      <c r="C52" s="1" t="s">
        <v>91</v>
      </c>
      <c r="D52" s="61">
        <f>(+'IPR Data'!C47+'IPR Data'!C57+'IPR Data'!C58)/1000</f>
        <v>17870.54847</v>
      </c>
      <c r="E52" s="61">
        <f>(+'IPR Data'!D47+'IPR Data'!D57+'IPR Data'!D58)/1000</f>
        <v>18429.28539</v>
      </c>
      <c r="F52" s="61"/>
      <c r="G52" s="61"/>
      <c r="H52" s="61"/>
      <c r="I52" s="61"/>
      <c r="J52" s="61"/>
      <c r="K52" s="61"/>
      <c r="L52" s="61"/>
      <c r="M52" s="61"/>
      <c r="N52" s="61"/>
      <c r="O52" s="2"/>
      <c r="P52" s="2"/>
      <c r="Q52" s="2"/>
      <c r="R52" s="2"/>
      <c r="S52" s="2"/>
      <c r="T52" s="2"/>
      <c r="U52" s="2"/>
      <c r="V52" s="2"/>
      <c r="W52" s="2"/>
      <c r="X52" s="2"/>
      <c r="Y52" s="2"/>
      <c r="Z52" s="2"/>
    </row>
    <row r="53" spans="1:26" ht="12.75">
      <c r="A53" s="58" t="s">
        <v>24</v>
      </c>
      <c r="B53" s="175" t="s">
        <v>32</v>
      </c>
      <c r="C53" s="1" t="s">
        <v>33</v>
      </c>
      <c r="D53" s="61">
        <f>+'IPR Data'!C48/1000</f>
        <v>0</v>
      </c>
      <c r="E53" s="61">
        <f>+'IPR Data'!D48/1000</f>
        <v>0</v>
      </c>
      <c r="F53" s="61"/>
      <c r="G53" s="61"/>
      <c r="H53" s="61"/>
      <c r="I53" s="61"/>
      <c r="J53" s="61"/>
      <c r="K53" s="61"/>
      <c r="L53" s="61"/>
      <c r="M53" s="61"/>
      <c r="N53" s="61"/>
      <c r="O53" s="2"/>
      <c r="P53" s="2"/>
      <c r="Q53" s="2"/>
      <c r="R53" s="2"/>
      <c r="S53" s="2"/>
      <c r="T53" s="2"/>
      <c r="U53" s="2"/>
      <c r="V53" s="2"/>
      <c r="W53" s="2"/>
      <c r="X53" s="2"/>
      <c r="Y53" s="2"/>
      <c r="Z53" s="2"/>
    </row>
    <row r="54" spans="1:26" ht="12.75">
      <c r="A54" s="58" t="s">
        <v>24</v>
      </c>
      <c r="B54" s="175" t="s">
        <v>32</v>
      </c>
      <c r="C54" s="1" t="s">
        <v>92</v>
      </c>
      <c r="D54" s="61">
        <f>+'IPR Data'!C49/1000</f>
        <v>0</v>
      </c>
      <c r="E54" s="61">
        <f>+'IPR Data'!D49/1000</f>
        <v>0</v>
      </c>
      <c r="F54" s="61"/>
      <c r="G54" s="61"/>
      <c r="H54" s="61"/>
      <c r="I54" s="61"/>
      <c r="J54" s="61"/>
      <c r="K54" s="61"/>
      <c r="L54" s="61"/>
      <c r="M54" s="61"/>
      <c r="N54" s="61"/>
      <c r="O54" s="2"/>
      <c r="P54" s="2"/>
      <c r="Q54" s="2"/>
      <c r="R54" s="2"/>
      <c r="S54" s="2"/>
      <c r="T54" s="2"/>
      <c r="U54" s="2"/>
      <c r="V54" s="2"/>
      <c r="W54" s="2"/>
      <c r="X54" s="2"/>
      <c r="Y54" s="2"/>
      <c r="Z54" s="2"/>
    </row>
    <row r="55" spans="1:26" ht="12.75">
      <c r="A55" s="58" t="s">
        <v>24</v>
      </c>
      <c r="B55" s="175" t="s">
        <v>32</v>
      </c>
      <c r="C55" s="1" t="s">
        <v>34</v>
      </c>
      <c r="D55" s="61">
        <f>(+'IPR Data'!C42+'IPR Data'!C59)/1000</f>
        <v>7044.5378599999995</v>
      </c>
      <c r="E55" s="61">
        <f>(+'IPR Data'!D42+'IPR Data'!D59)/1000</f>
        <v>7309.196069999999</v>
      </c>
      <c r="F55" s="61"/>
      <c r="G55" s="61"/>
      <c r="H55" s="61"/>
      <c r="I55" s="61"/>
      <c r="J55" s="61"/>
      <c r="K55" s="61"/>
      <c r="L55" s="61"/>
      <c r="M55" s="61"/>
      <c r="N55" s="61"/>
      <c r="O55" s="2"/>
      <c r="P55" s="2"/>
      <c r="Q55" s="2"/>
      <c r="R55" s="2"/>
      <c r="S55" s="2"/>
      <c r="T55" s="2"/>
      <c r="U55" s="2"/>
      <c r="V55" s="2"/>
      <c r="W55" s="2"/>
      <c r="X55" s="2"/>
      <c r="Y55" s="2"/>
      <c r="Z55" s="2"/>
    </row>
    <row r="56" spans="1:26" ht="12.75">
      <c r="A56" s="58" t="s">
        <v>24</v>
      </c>
      <c r="B56" s="175" t="s">
        <v>32</v>
      </c>
      <c r="C56" s="1" t="s">
        <v>638</v>
      </c>
      <c r="D56" s="61">
        <f>+'IPR Data'!C51/1000-'cost table'!D30-D27</f>
        <v>859.0524864000002</v>
      </c>
      <c r="E56" s="61">
        <f>+'IPR Data'!D51/1000-'cost table'!E30-E27</f>
        <v>859.0524863999999</v>
      </c>
      <c r="F56" s="61"/>
      <c r="G56" s="61"/>
      <c r="H56" s="61"/>
      <c r="I56" s="61"/>
      <c r="J56" s="61"/>
      <c r="K56" s="61"/>
      <c r="L56" s="61"/>
      <c r="M56" s="61"/>
      <c r="N56" s="61"/>
      <c r="O56" s="2"/>
      <c r="P56" s="2"/>
      <c r="Q56" s="2"/>
      <c r="R56" s="2"/>
      <c r="S56" s="2"/>
      <c r="T56" s="2"/>
      <c r="U56" s="2"/>
      <c r="V56" s="2"/>
      <c r="W56" s="2"/>
      <c r="X56" s="2"/>
      <c r="Y56" s="2"/>
      <c r="Z56" s="2"/>
    </row>
    <row r="57" spans="1:26" ht="12.75">
      <c r="A57" s="58" t="s">
        <v>24</v>
      </c>
      <c r="B57" s="175" t="s">
        <v>32</v>
      </c>
      <c r="C57" s="175" t="s">
        <v>795</v>
      </c>
      <c r="D57" s="61">
        <f>SUM('IPR Data'!C52:C53)/1000</f>
        <v>0</v>
      </c>
      <c r="E57" s="61">
        <f>SUM('IPR Data'!D52:D53)/1000</f>
        <v>0</v>
      </c>
      <c r="F57" s="61"/>
      <c r="G57" s="61"/>
      <c r="H57" s="61"/>
      <c r="I57" s="61"/>
      <c r="J57" s="61"/>
      <c r="K57" s="61"/>
      <c r="L57" s="61"/>
      <c r="M57" s="61"/>
      <c r="N57" s="61"/>
      <c r="O57" s="2"/>
      <c r="P57" s="2"/>
      <c r="Q57" s="2"/>
      <c r="R57" s="2"/>
      <c r="S57" s="2"/>
      <c r="T57" s="2"/>
      <c r="U57" s="2"/>
      <c r="V57" s="2"/>
      <c r="W57" s="2"/>
      <c r="X57" s="2"/>
      <c r="Y57" s="2"/>
      <c r="Z57" s="2"/>
    </row>
    <row r="58" spans="1:26" ht="12.75">
      <c r="A58" s="58" t="s">
        <v>24</v>
      </c>
      <c r="B58" s="175" t="s">
        <v>32</v>
      </c>
      <c r="C58" s="175" t="s">
        <v>796</v>
      </c>
      <c r="D58" s="266">
        <f>SUM('IPR Data'!C54:C56)/1000-D25</f>
        <v>27855.879460435197</v>
      </c>
      <c r="E58" s="61">
        <f>SUM('IPR Data'!D54:D56)/1000-E25</f>
        <v>27210.042628432006</v>
      </c>
      <c r="F58" s="61"/>
      <c r="G58" s="61"/>
      <c r="H58" s="61"/>
      <c r="I58" s="61"/>
      <c r="J58" s="61"/>
      <c r="K58" s="61"/>
      <c r="L58" s="61"/>
      <c r="M58" s="61"/>
      <c r="N58" s="61"/>
      <c r="O58" s="2"/>
      <c r="P58" s="2"/>
      <c r="Q58" s="2"/>
      <c r="R58" s="2"/>
      <c r="S58" s="2"/>
      <c r="T58" s="2"/>
      <c r="U58" s="2"/>
      <c r="V58" s="2"/>
      <c r="W58" s="2"/>
      <c r="X58" s="2"/>
      <c r="Y58" s="2"/>
      <c r="Z58" s="2"/>
    </row>
    <row r="59" spans="1:26" ht="12.75">
      <c r="A59" s="58" t="s">
        <v>24</v>
      </c>
      <c r="B59" s="175" t="s">
        <v>32</v>
      </c>
      <c r="C59" s="175" t="s">
        <v>817</v>
      </c>
      <c r="D59" s="61">
        <v>0</v>
      </c>
      <c r="E59" s="61">
        <v>0</v>
      </c>
      <c r="F59" s="61"/>
      <c r="G59" s="61"/>
      <c r="H59" s="61"/>
      <c r="I59" s="61"/>
      <c r="J59" s="61"/>
      <c r="K59" s="61"/>
      <c r="L59" s="61"/>
      <c r="M59" s="61"/>
      <c r="N59" s="61"/>
      <c r="O59" s="2"/>
      <c r="P59" s="2"/>
      <c r="Q59" s="2"/>
      <c r="R59" s="2"/>
      <c r="S59" s="2"/>
      <c r="T59" s="2"/>
      <c r="U59" s="2"/>
      <c r="V59" s="2"/>
      <c r="W59" s="2"/>
      <c r="X59" s="2"/>
      <c r="Y59" s="2"/>
      <c r="Z59" s="2"/>
    </row>
    <row r="60" spans="1:26" ht="12.75">
      <c r="A60" s="58" t="s">
        <v>24</v>
      </c>
      <c r="B60" s="175" t="s">
        <v>35</v>
      </c>
      <c r="C60" s="1" t="s">
        <v>93</v>
      </c>
      <c r="D60" s="61">
        <f>+'IPR Data'!C63/1000</f>
        <v>269234.6472800001</v>
      </c>
      <c r="E60" s="61">
        <f>+'IPR Data'!D63/1000</f>
        <v>268865.20195</v>
      </c>
      <c r="F60" s="61"/>
      <c r="G60" s="61"/>
      <c r="H60" s="61"/>
      <c r="I60" s="61"/>
      <c r="J60" s="61"/>
      <c r="K60" s="61"/>
      <c r="L60" s="61"/>
      <c r="M60" s="61"/>
      <c r="N60" s="61"/>
      <c r="O60" s="2"/>
      <c r="P60" s="2"/>
      <c r="Q60" s="2"/>
      <c r="R60" s="2"/>
      <c r="S60" s="2"/>
      <c r="T60" s="2"/>
      <c r="U60" s="2"/>
      <c r="V60" s="2"/>
      <c r="W60" s="2"/>
      <c r="X60" s="2"/>
      <c r="Y60" s="2"/>
      <c r="Z60" s="2"/>
    </row>
    <row r="61" spans="1:26" ht="12.75">
      <c r="A61" s="58" t="s">
        <v>24</v>
      </c>
      <c r="B61" s="175" t="s">
        <v>35</v>
      </c>
      <c r="C61" s="1" t="s">
        <v>36</v>
      </c>
      <c r="D61" s="61">
        <f>+'IPR Data'!C61/1000</f>
        <v>32765.000010000003</v>
      </c>
      <c r="E61" s="61">
        <f>+'IPR Data'!D61/1000</f>
        <v>32764.99998</v>
      </c>
      <c r="F61" s="61"/>
      <c r="G61" s="61"/>
      <c r="H61" s="61"/>
      <c r="I61" s="61"/>
      <c r="J61" s="61"/>
      <c r="K61" s="61"/>
      <c r="L61" s="61"/>
      <c r="M61" s="61"/>
      <c r="N61" s="61"/>
      <c r="O61" s="2"/>
      <c r="P61" s="2"/>
      <c r="Q61" s="2"/>
      <c r="R61" s="2"/>
      <c r="S61" s="2"/>
      <c r="T61" s="2"/>
      <c r="U61" s="2"/>
      <c r="V61" s="2"/>
      <c r="W61" s="2"/>
      <c r="X61" s="2"/>
      <c r="Y61" s="2"/>
      <c r="Z61" s="2"/>
    </row>
    <row r="62" spans="1:26" ht="12.75">
      <c r="A62" s="58" t="s">
        <v>24</v>
      </c>
      <c r="B62" s="175" t="s">
        <v>35</v>
      </c>
      <c r="C62" s="1" t="s">
        <v>37</v>
      </c>
      <c r="D62" s="61">
        <f>+'IPR Data'!C62/1000</f>
        <v>11942</v>
      </c>
      <c r="E62" s="61">
        <f>+'IPR Data'!D62/1000</f>
        <v>11941.999989999998</v>
      </c>
      <c r="F62" s="61"/>
      <c r="G62" s="61"/>
      <c r="H62" s="61"/>
      <c r="I62" s="61"/>
      <c r="J62" s="61"/>
      <c r="K62" s="61"/>
      <c r="L62" s="61"/>
      <c r="M62" s="61"/>
      <c r="N62" s="61"/>
      <c r="O62" s="2"/>
      <c r="P62" s="2"/>
      <c r="Q62" s="2"/>
      <c r="R62" s="2"/>
      <c r="S62" s="2"/>
      <c r="T62" s="2"/>
      <c r="U62" s="2"/>
      <c r="V62" s="2"/>
      <c r="W62" s="2"/>
      <c r="X62" s="2"/>
      <c r="Y62" s="2"/>
      <c r="Z62" s="2"/>
    </row>
    <row r="63" spans="1:26" ht="12.75">
      <c r="A63" s="58" t="s">
        <v>24</v>
      </c>
      <c r="B63" s="175" t="s">
        <v>38</v>
      </c>
      <c r="C63" s="1" t="s">
        <v>39</v>
      </c>
      <c r="D63" s="61">
        <f>+'IPR Data'!C65/1000</f>
        <v>19309.92302</v>
      </c>
      <c r="E63" s="61">
        <f>+'IPR Data'!D65/1000</f>
        <v>19843.87101</v>
      </c>
      <c r="F63" s="61"/>
      <c r="G63" s="61"/>
      <c r="H63" s="61"/>
      <c r="I63" s="61"/>
      <c r="J63" s="61"/>
      <c r="K63" s="61"/>
      <c r="L63" s="61"/>
      <c r="M63" s="61"/>
      <c r="N63" s="61"/>
      <c r="O63" s="2"/>
      <c r="P63" s="2"/>
      <c r="Q63" s="2"/>
      <c r="R63" s="2"/>
      <c r="S63" s="2"/>
      <c r="T63" s="2"/>
      <c r="U63" s="2"/>
      <c r="V63" s="2"/>
      <c r="W63" s="2"/>
      <c r="X63" s="2"/>
      <c r="Y63" s="2"/>
      <c r="Z63" s="2"/>
    </row>
    <row r="64" spans="1:26" s="398" customFormat="1" ht="12.75">
      <c r="A64" s="64" t="s">
        <v>24</v>
      </c>
      <c r="B64" s="175" t="s">
        <v>38</v>
      </c>
      <c r="C64" s="1" t="s">
        <v>94</v>
      </c>
      <c r="D64" s="61">
        <f>(+'IPR Data'!C66+'IPR Data'!C67+'IPR Data'!C68+'IPR Data'!C69+'IPR Data'!C70)/1000-'cost table'!D66</f>
        <v>62517.50255391898</v>
      </c>
      <c r="E64" s="61">
        <f>(+'IPR Data'!D66+'IPR Data'!D67+'IPR Data'!D68+'IPR Data'!D69+'IPR Data'!D70)/1000-'cost table'!E66</f>
        <v>64556.78243294837</v>
      </c>
      <c r="F64" s="61"/>
      <c r="G64" s="61"/>
      <c r="H64" s="61"/>
      <c r="I64" s="61"/>
      <c r="J64" s="61"/>
      <c r="K64" s="61"/>
      <c r="L64" s="61"/>
      <c r="M64" s="61"/>
      <c r="N64" s="61"/>
      <c r="O64" s="2"/>
      <c r="P64" s="2"/>
      <c r="Q64" s="2"/>
      <c r="R64" s="2"/>
      <c r="S64" s="2"/>
      <c r="T64" s="2"/>
      <c r="U64" s="2"/>
      <c r="V64" s="2"/>
      <c r="W64" s="2"/>
      <c r="X64" s="2"/>
      <c r="Y64" s="2"/>
      <c r="Z64" s="2"/>
    </row>
    <row r="65" spans="1:26" s="398" customFormat="1" ht="12.75">
      <c r="A65" s="64" t="s">
        <v>24</v>
      </c>
      <c r="B65" s="175" t="s">
        <v>38</v>
      </c>
      <c r="C65" s="1" t="s">
        <v>635</v>
      </c>
      <c r="D65" s="61">
        <f>+'IPR Data'!C71/1000</f>
        <v>16085.76529</v>
      </c>
      <c r="E65" s="61">
        <f>+'IPR Data'!D71/1000</f>
        <v>16577.098650000004</v>
      </c>
      <c r="F65" s="61"/>
      <c r="G65" s="61"/>
      <c r="H65" s="61"/>
      <c r="I65" s="61"/>
      <c r="J65" s="61"/>
      <c r="K65" s="61"/>
      <c r="L65" s="61"/>
      <c r="M65" s="61"/>
      <c r="N65" s="61"/>
      <c r="O65" s="2"/>
      <c r="P65" s="2"/>
      <c r="Q65" s="2"/>
      <c r="R65" s="2"/>
      <c r="S65" s="2"/>
      <c r="T65" s="2"/>
      <c r="U65" s="2"/>
      <c r="V65" s="2"/>
      <c r="W65" s="2"/>
      <c r="X65" s="2"/>
      <c r="Y65" s="2"/>
      <c r="Z65" s="2"/>
    </row>
    <row r="66" spans="1:26" ht="12.75">
      <c r="A66" s="58" t="s">
        <v>24</v>
      </c>
      <c r="B66" s="175" t="s">
        <v>38</v>
      </c>
      <c r="C66" s="1" t="s">
        <v>95</v>
      </c>
      <c r="D66" s="61">
        <f>+'IPR Data'!C72/1000*'EE staffing split'!B17</f>
        <v>14979.764656081035</v>
      </c>
      <c r="E66" s="61">
        <f>+'IPR Data'!D72/1000*'EE staffing split'!C17</f>
        <v>15355.674767051634</v>
      </c>
      <c r="F66" s="61"/>
      <c r="G66" s="61"/>
      <c r="H66" s="61"/>
      <c r="I66" s="61"/>
      <c r="J66" s="61"/>
      <c r="K66" s="61"/>
      <c r="L66" s="61"/>
      <c r="M66" s="61"/>
      <c r="N66" s="61"/>
      <c r="O66" s="2"/>
      <c r="P66" s="2"/>
      <c r="Q66" s="2"/>
      <c r="R66" s="2"/>
      <c r="S66" s="2"/>
      <c r="T66" s="2"/>
      <c r="U66" s="2"/>
      <c r="V66" s="2"/>
      <c r="W66" s="2"/>
      <c r="X66" s="2"/>
      <c r="Y66" s="2"/>
      <c r="Z66" s="2"/>
    </row>
    <row r="67" spans="1:26" ht="12.75">
      <c r="A67" s="58" t="s">
        <v>24</v>
      </c>
      <c r="B67" s="175" t="s">
        <v>40</v>
      </c>
      <c r="C67" s="1" t="s">
        <v>41</v>
      </c>
      <c r="D67" s="178"/>
      <c r="E67" s="61"/>
      <c r="F67" s="61"/>
      <c r="G67" s="61"/>
      <c r="H67" s="61"/>
      <c r="I67" s="61"/>
      <c r="J67" s="61"/>
      <c r="K67" s="61"/>
      <c r="L67" s="61"/>
      <c r="M67" s="61"/>
      <c r="N67" s="61"/>
      <c r="O67" s="2"/>
      <c r="P67" s="2"/>
      <c r="Q67" s="2"/>
      <c r="R67" s="2"/>
      <c r="S67" s="2"/>
      <c r="T67" s="2"/>
      <c r="U67" s="2"/>
      <c r="V67" s="2"/>
      <c r="W67" s="2"/>
      <c r="X67" s="2"/>
      <c r="Y67" s="2"/>
      <c r="Z67" s="2"/>
    </row>
    <row r="68" spans="1:26" ht="12.75">
      <c r="A68" s="58" t="s">
        <v>24</v>
      </c>
      <c r="B68" s="175" t="s">
        <v>40</v>
      </c>
      <c r="C68" s="1" t="s">
        <v>42</v>
      </c>
      <c r="D68" s="178"/>
      <c r="E68" s="61"/>
      <c r="F68" s="61"/>
      <c r="G68" s="61"/>
      <c r="H68" s="61"/>
      <c r="I68" s="61"/>
      <c r="J68" s="61"/>
      <c r="K68" s="61"/>
      <c r="L68" s="61"/>
      <c r="M68" s="61"/>
      <c r="N68" s="61"/>
      <c r="O68" s="2"/>
      <c r="P68" s="2"/>
      <c r="Q68" s="2"/>
      <c r="R68" s="2"/>
      <c r="S68" s="2"/>
      <c r="T68" s="2"/>
      <c r="U68" s="2"/>
      <c r="V68" s="2"/>
      <c r="W68" s="2"/>
      <c r="X68" s="2"/>
      <c r="Y68" s="2"/>
      <c r="Z68" s="2"/>
    </row>
    <row r="69" spans="1:26" ht="12.75">
      <c r="A69" s="58" t="s">
        <v>24</v>
      </c>
      <c r="B69" s="175" t="s">
        <v>40</v>
      </c>
      <c r="C69" s="176" t="s">
        <v>683</v>
      </c>
      <c r="D69" s="61">
        <v>0</v>
      </c>
      <c r="E69" s="61"/>
      <c r="F69" s="61"/>
      <c r="G69" s="61"/>
      <c r="H69" s="61"/>
      <c r="I69" s="61"/>
      <c r="J69" s="61"/>
      <c r="K69" s="61"/>
      <c r="L69" s="61"/>
      <c r="M69" s="61"/>
      <c r="N69" s="61"/>
      <c r="O69" s="2"/>
      <c r="P69" s="2"/>
      <c r="Q69" s="2"/>
      <c r="R69" s="2"/>
      <c r="S69" s="2"/>
      <c r="T69" s="2"/>
      <c r="U69" s="2"/>
      <c r="V69" s="2"/>
      <c r="W69" s="2"/>
      <c r="X69" s="2"/>
      <c r="Y69" s="2"/>
      <c r="Z69" s="2"/>
    </row>
    <row r="70" spans="1:27" ht="12.75">
      <c r="A70" s="58" t="s">
        <v>43</v>
      </c>
      <c r="B70" s="175" t="s">
        <v>44</v>
      </c>
      <c r="C70" s="1" t="s">
        <v>45</v>
      </c>
      <c r="D70" s="61">
        <f>+Depreciation!E5</f>
        <v>2573</v>
      </c>
      <c r="E70" s="61">
        <f>+Depreciation!F5</f>
        <v>2708</v>
      </c>
      <c r="F70" s="61"/>
      <c r="G70" s="61"/>
      <c r="H70" s="61"/>
      <c r="I70" s="61"/>
      <c r="J70" s="61"/>
      <c r="K70" s="61"/>
      <c r="L70" s="61"/>
      <c r="M70" s="61"/>
      <c r="N70" s="61"/>
      <c r="O70" s="61"/>
      <c r="P70" s="61"/>
      <c r="Q70" s="61"/>
      <c r="R70" s="61"/>
      <c r="S70" s="61"/>
      <c r="T70" s="61"/>
      <c r="U70" s="61"/>
      <c r="V70" s="61"/>
      <c r="W70" s="61"/>
      <c r="X70" s="61"/>
      <c r="Y70" s="61"/>
      <c r="Z70" s="61"/>
      <c r="AA70" s="2"/>
    </row>
    <row r="71" spans="1:27" ht="12.75">
      <c r="A71" s="58" t="s">
        <v>43</v>
      </c>
      <c r="B71" s="175" t="s">
        <v>44</v>
      </c>
      <c r="C71" s="1" t="s">
        <v>46</v>
      </c>
      <c r="D71" s="61">
        <f>+Depreciation!E6</f>
        <v>108009</v>
      </c>
      <c r="E71" s="61">
        <f>+Depreciation!F6</f>
        <v>110397</v>
      </c>
      <c r="F71" s="61"/>
      <c r="G71" s="61"/>
      <c r="H71" s="61"/>
      <c r="I71" s="61"/>
      <c r="J71" s="61"/>
      <c r="K71" s="61"/>
      <c r="L71" s="61"/>
      <c r="M71" s="61"/>
      <c r="N71" s="61"/>
      <c r="O71" s="61"/>
      <c r="P71" s="61"/>
      <c r="Q71" s="61"/>
      <c r="R71" s="61"/>
      <c r="S71" s="61"/>
      <c r="T71" s="61"/>
      <c r="U71" s="61"/>
      <c r="V71" s="61"/>
      <c r="W71" s="61"/>
      <c r="X71" s="61"/>
      <c r="Y71" s="61"/>
      <c r="Z71" s="61"/>
      <c r="AA71" s="2"/>
    </row>
    <row r="72" spans="1:27" ht="12.75">
      <c r="A72" s="58" t="s">
        <v>43</v>
      </c>
      <c r="B72" s="175" t="s">
        <v>44</v>
      </c>
      <c r="C72" s="1" t="s">
        <v>47</v>
      </c>
      <c r="D72" s="61">
        <f>+Depreciation!E7</f>
        <v>29121.213333333333</v>
      </c>
      <c r="E72" s="61">
        <f>+Depreciation!F7</f>
        <v>30495.213333333333</v>
      </c>
      <c r="F72" s="61"/>
      <c r="G72" s="61"/>
      <c r="H72" s="61"/>
      <c r="I72" s="61"/>
      <c r="J72" s="61"/>
      <c r="K72" s="61"/>
      <c r="L72" s="61"/>
      <c r="M72" s="61"/>
      <c r="N72" s="61"/>
      <c r="O72" s="61"/>
      <c r="P72" s="61"/>
      <c r="Q72" s="61"/>
      <c r="R72" s="61"/>
      <c r="S72" s="61"/>
      <c r="T72" s="61"/>
      <c r="U72" s="61"/>
      <c r="V72" s="61"/>
      <c r="W72" s="61"/>
      <c r="X72" s="61"/>
      <c r="Y72" s="61"/>
      <c r="Z72" s="61"/>
      <c r="AA72" s="2"/>
    </row>
    <row r="73" spans="1:27" ht="12.75">
      <c r="A73" s="58" t="s">
        <v>43</v>
      </c>
      <c r="B73" s="175" t="s">
        <v>48</v>
      </c>
      <c r="C73" s="1" t="s">
        <v>49</v>
      </c>
      <c r="D73" s="61">
        <f>+Depreciation!E9</f>
        <v>0</v>
      </c>
      <c r="E73" s="61">
        <f>+Depreciation!F9</f>
        <v>0</v>
      </c>
      <c r="F73" s="61"/>
      <c r="G73" s="61"/>
      <c r="H73" s="61"/>
      <c r="I73" s="61"/>
      <c r="J73" s="61"/>
      <c r="K73" s="61"/>
      <c r="L73" s="61"/>
      <c r="M73" s="61"/>
      <c r="N73" s="61"/>
      <c r="O73" s="61"/>
      <c r="P73" s="61"/>
      <c r="Q73" s="61"/>
      <c r="R73" s="61"/>
      <c r="S73" s="61"/>
      <c r="T73" s="61"/>
      <c r="U73" s="61"/>
      <c r="V73" s="61"/>
      <c r="W73" s="61"/>
      <c r="X73" s="61"/>
      <c r="Y73" s="61"/>
      <c r="Z73" s="61"/>
      <c r="AA73" s="2"/>
    </row>
    <row r="74" spans="1:27" ht="12.75">
      <c r="A74" s="58" t="s">
        <v>43</v>
      </c>
      <c r="B74" s="175" t="s">
        <v>48</v>
      </c>
      <c r="C74" s="1" t="s">
        <v>50</v>
      </c>
      <c r="D74" s="61">
        <f>+Depreciation!E11</f>
        <v>22254.913000000004</v>
      </c>
      <c r="E74" s="61">
        <f>+Depreciation!F11</f>
        <v>16422.105310000003</v>
      </c>
      <c r="F74" s="61"/>
      <c r="G74" s="61"/>
      <c r="H74" s="61"/>
      <c r="I74" s="61"/>
      <c r="J74" s="61"/>
      <c r="K74" s="61"/>
      <c r="L74" s="61"/>
      <c r="M74" s="61"/>
      <c r="N74" s="61"/>
      <c r="O74" s="61"/>
      <c r="P74" s="61"/>
      <c r="Q74" s="61"/>
      <c r="R74" s="61"/>
      <c r="S74" s="61"/>
      <c r="T74" s="61"/>
      <c r="U74" s="61"/>
      <c r="V74" s="61"/>
      <c r="W74" s="61"/>
      <c r="X74" s="61"/>
      <c r="Y74" s="61"/>
      <c r="Z74" s="61"/>
      <c r="AA74" s="2"/>
    </row>
    <row r="75" spans="1:27" ht="12.75">
      <c r="A75" s="58" t="s">
        <v>43</v>
      </c>
      <c r="B75" s="175" t="s">
        <v>48</v>
      </c>
      <c r="C75" s="1" t="s">
        <v>96</v>
      </c>
      <c r="D75" s="61">
        <f>+Depreciation!E12</f>
        <v>19890.533484039664</v>
      </c>
      <c r="E75" s="61">
        <f>+Depreciation!F12</f>
        <v>19890.533484039664</v>
      </c>
      <c r="F75" s="61"/>
      <c r="G75" s="61"/>
      <c r="H75" s="61"/>
      <c r="I75" s="61"/>
      <c r="J75" s="61"/>
      <c r="K75" s="61"/>
      <c r="L75" s="61"/>
      <c r="M75" s="61"/>
      <c r="N75" s="61"/>
      <c r="O75" s="61"/>
      <c r="P75" s="61"/>
      <c r="Q75" s="61"/>
      <c r="R75" s="61"/>
      <c r="S75" s="61"/>
      <c r="T75" s="61"/>
      <c r="U75" s="61"/>
      <c r="V75" s="61"/>
      <c r="W75" s="61"/>
      <c r="X75" s="61"/>
      <c r="Y75" s="61"/>
      <c r="Z75" s="61"/>
      <c r="AA75" s="2"/>
    </row>
    <row r="76" spans="1:27" ht="12.75">
      <c r="A76" s="58" t="s">
        <v>43</v>
      </c>
      <c r="B76" s="175" t="s">
        <v>48</v>
      </c>
      <c r="C76" s="1" t="s">
        <v>637</v>
      </c>
      <c r="D76" s="61">
        <f>+Depreciation!E13</f>
        <v>36802.315790666675</v>
      </c>
      <c r="E76" s="61">
        <f>+Depreciation!F13</f>
        <v>37612.649124</v>
      </c>
      <c r="F76" s="61"/>
      <c r="G76" s="61"/>
      <c r="H76" s="61"/>
      <c r="I76" s="61"/>
      <c r="J76" s="61"/>
      <c r="K76" s="61"/>
      <c r="L76" s="61"/>
      <c r="M76" s="61"/>
      <c r="N76" s="61"/>
      <c r="O76" s="61"/>
      <c r="P76" s="61"/>
      <c r="Q76" s="61"/>
      <c r="R76" s="61"/>
      <c r="S76" s="61"/>
      <c r="T76" s="61"/>
      <c r="U76" s="61"/>
      <c r="V76" s="61"/>
      <c r="W76" s="61"/>
      <c r="X76" s="61"/>
      <c r="Y76" s="61"/>
      <c r="Z76" s="61"/>
      <c r="AA76" s="2"/>
    </row>
    <row r="77" spans="1:27" ht="12.75">
      <c r="A77" s="58" t="s">
        <v>43</v>
      </c>
      <c r="B77" s="175" t="s">
        <v>48</v>
      </c>
      <c r="C77" s="1" t="s">
        <v>684</v>
      </c>
      <c r="D77" s="61">
        <f>+Depreciation!E23</f>
        <v>155454.27054940257</v>
      </c>
      <c r="E77" s="61">
        <f>+Depreciation!F23</f>
        <v>164055.9865887491</v>
      </c>
      <c r="F77" s="61"/>
      <c r="G77" s="61"/>
      <c r="H77" s="61"/>
      <c r="I77" s="61"/>
      <c r="J77" s="61"/>
      <c r="K77" s="61"/>
      <c r="L77" s="61"/>
      <c r="M77" s="61"/>
      <c r="N77" s="61"/>
      <c r="O77" s="61"/>
      <c r="P77" s="61"/>
      <c r="Q77" s="61"/>
      <c r="R77" s="61"/>
      <c r="S77" s="61"/>
      <c r="T77" s="61"/>
      <c r="U77" s="61"/>
      <c r="V77" s="61"/>
      <c r="W77" s="61"/>
      <c r="X77" s="61"/>
      <c r="Y77" s="61"/>
      <c r="Z77" s="61"/>
      <c r="AA77" s="2"/>
    </row>
    <row r="78" spans="1:27" ht="12.75">
      <c r="A78" s="58" t="s">
        <v>43</v>
      </c>
      <c r="B78" s="175" t="s">
        <v>48</v>
      </c>
      <c r="C78" s="1" t="s">
        <v>731</v>
      </c>
      <c r="D78" s="61">
        <f>+Depreciation!E24</f>
        <v>32754.639175257733</v>
      </c>
      <c r="E78" s="61">
        <f>+Depreciation!F24</f>
        <v>32754.639175257733</v>
      </c>
      <c r="F78" s="61"/>
      <c r="G78" s="61"/>
      <c r="H78" s="61"/>
      <c r="I78" s="61"/>
      <c r="J78" s="61"/>
      <c r="K78" s="61"/>
      <c r="L78" s="61"/>
      <c r="M78" s="61"/>
      <c r="N78" s="61"/>
      <c r="O78" s="61"/>
      <c r="P78" s="61"/>
      <c r="Q78" s="61"/>
      <c r="R78" s="61"/>
      <c r="S78" s="61"/>
      <c r="T78" s="61"/>
      <c r="U78" s="61"/>
      <c r="V78" s="61"/>
      <c r="W78" s="61"/>
      <c r="X78" s="61"/>
      <c r="Y78" s="61"/>
      <c r="Z78" s="61"/>
      <c r="AA78" s="2"/>
    </row>
    <row r="79" spans="1:27" ht="12.75">
      <c r="A79" s="58" t="s">
        <v>43</v>
      </c>
      <c r="B79" s="175" t="s">
        <v>48</v>
      </c>
      <c r="C79" s="1" t="s">
        <v>732</v>
      </c>
      <c r="D79" s="61">
        <f>+Depreciation!E25</f>
        <v>37637.31958762887</v>
      </c>
      <c r="E79" s="61">
        <f>+Depreciation!F25</f>
        <v>37637.31958762887</v>
      </c>
      <c r="F79" s="61"/>
      <c r="G79" s="61"/>
      <c r="H79" s="61"/>
      <c r="I79" s="61"/>
      <c r="J79" s="61"/>
      <c r="K79" s="61"/>
      <c r="L79" s="61"/>
      <c r="M79" s="61"/>
      <c r="N79" s="61"/>
      <c r="O79" s="61"/>
      <c r="P79" s="61"/>
      <c r="Q79" s="61"/>
      <c r="R79" s="61"/>
      <c r="S79" s="61"/>
      <c r="T79" s="61"/>
      <c r="U79" s="61"/>
      <c r="V79" s="61"/>
      <c r="W79" s="61"/>
      <c r="X79" s="61"/>
      <c r="Y79" s="61"/>
      <c r="Z79" s="61"/>
      <c r="AA79" s="2"/>
    </row>
    <row r="80" spans="1:27" ht="12.75">
      <c r="A80" s="58" t="s">
        <v>43</v>
      </c>
      <c r="B80" s="175" t="s">
        <v>48</v>
      </c>
      <c r="C80" s="1" t="s">
        <v>686</v>
      </c>
      <c r="D80" s="61">
        <f>+Depreciation!E26</f>
        <v>5705.833333333333</v>
      </c>
      <c r="E80" s="61">
        <f>+Depreciation!F26</f>
        <v>5705.833333333333</v>
      </c>
      <c r="F80" s="61"/>
      <c r="G80" s="61"/>
      <c r="H80" s="61"/>
      <c r="I80" s="61"/>
      <c r="J80" s="61"/>
      <c r="K80" s="61"/>
      <c r="L80" s="61"/>
      <c r="M80" s="61"/>
      <c r="N80" s="61"/>
      <c r="O80" s="61"/>
      <c r="P80" s="61"/>
      <c r="Q80" s="61"/>
      <c r="R80" s="61"/>
      <c r="S80" s="61"/>
      <c r="T80" s="61"/>
      <c r="U80" s="61"/>
      <c r="V80" s="61"/>
      <c r="W80" s="61"/>
      <c r="X80" s="61"/>
      <c r="Y80" s="61"/>
      <c r="Z80" s="61"/>
      <c r="AA80" s="2"/>
    </row>
    <row r="81" spans="1:27" ht="12.75">
      <c r="A81" s="58" t="s">
        <v>43</v>
      </c>
      <c r="B81" s="175" t="s">
        <v>48</v>
      </c>
      <c r="C81" s="1" t="s">
        <v>685</v>
      </c>
      <c r="D81" s="61">
        <f>+Depreciation!E27</f>
        <v>1987</v>
      </c>
      <c r="E81" s="61">
        <f>+Depreciation!F27</f>
        <v>1987</v>
      </c>
      <c r="F81" s="61"/>
      <c r="G81" s="61"/>
      <c r="H81" s="61"/>
      <c r="I81" s="61"/>
      <c r="J81" s="61"/>
      <c r="K81" s="61"/>
      <c r="L81" s="61"/>
      <c r="M81" s="61"/>
      <c r="N81" s="61"/>
      <c r="O81" s="61"/>
      <c r="P81" s="61"/>
      <c r="Q81" s="61"/>
      <c r="R81" s="61"/>
      <c r="S81" s="61"/>
      <c r="T81" s="61"/>
      <c r="U81" s="61"/>
      <c r="V81" s="61"/>
      <c r="W81" s="61"/>
      <c r="X81" s="61"/>
      <c r="Y81" s="61"/>
      <c r="Z81" s="61"/>
      <c r="AA81" s="2"/>
    </row>
    <row r="82" spans="1:27" ht="12.75">
      <c r="A82" s="58" t="s">
        <v>43</v>
      </c>
      <c r="B82" s="175" t="s">
        <v>48</v>
      </c>
      <c r="C82" s="1" t="s">
        <v>762</v>
      </c>
      <c r="D82" s="61">
        <f>+Depreciation!E29</f>
        <v>40043.17800442227</v>
      </c>
      <c r="E82" s="61">
        <f>+Depreciation!F29</f>
        <v>41798.317985356014</v>
      </c>
      <c r="F82" s="61"/>
      <c r="G82" s="61"/>
      <c r="H82" s="61"/>
      <c r="I82" s="61"/>
      <c r="J82" s="61"/>
      <c r="K82" s="61"/>
      <c r="L82" s="61"/>
      <c r="M82" s="61"/>
      <c r="N82" s="61"/>
      <c r="O82" s="61"/>
      <c r="P82" s="61"/>
      <c r="Q82" s="61"/>
      <c r="R82" s="61"/>
      <c r="S82" s="61"/>
      <c r="T82" s="61"/>
      <c r="U82" s="61"/>
      <c r="V82" s="61"/>
      <c r="W82" s="61"/>
      <c r="X82" s="61"/>
      <c r="Y82" s="61"/>
      <c r="Z82" s="61"/>
      <c r="AA82" s="2"/>
    </row>
    <row r="83" spans="1:27" ht="12.75">
      <c r="A83" s="58" t="s">
        <v>51</v>
      </c>
      <c r="B83" s="175" t="s">
        <v>52</v>
      </c>
      <c r="C83" s="1" t="s">
        <v>53</v>
      </c>
      <c r="D83" s="61">
        <f>+'Federal DS'!E5</f>
        <v>34236</v>
      </c>
      <c r="E83" s="61">
        <f>+'Federal DS'!F5</f>
        <v>23203</v>
      </c>
      <c r="F83" s="61"/>
      <c r="G83" s="61"/>
      <c r="H83" s="61"/>
      <c r="I83" s="61"/>
      <c r="J83" s="61"/>
      <c r="K83" s="61"/>
      <c r="L83" s="61"/>
      <c r="M83" s="61"/>
      <c r="N83" s="61"/>
      <c r="O83" s="61"/>
      <c r="P83" s="61"/>
      <c r="Q83" s="61"/>
      <c r="R83" s="61"/>
      <c r="S83" s="61"/>
      <c r="T83" s="61"/>
      <c r="U83" s="61"/>
      <c r="V83" s="61"/>
      <c r="W83" s="61"/>
      <c r="X83" s="61"/>
      <c r="Y83" s="61"/>
      <c r="Z83" s="61"/>
      <c r="AA83" s="2"/>
    </row>
    <row r="84" spans="1:27" ht="12.75">
      <c r="A84" s="58" t="s">
        <v>51</v>
      </c>
      <c r="B84" s="175" t="s">
        <v>52</v>
      </c>
      <c r="C84" s="1" t="s">
        <v>54</v>
      </c>
      <c r="D84" s="61">
        <v>-45937</v>
      </c>
      <c r="E84" s="61">
        <f>+D84</f>
        <v>-45937</v>
      </c>
      <c r="F84" s="2"/>
      <c r="G84" s="2"/>
      <c r="H84" s="2"/>
      <c r="I84" s="2"/>
      <c r="J84" s="2"/>
      <c r="K84" s="2"/>
      <c r="L84" s="2"/>
      <c r="M84" s="2"/>
      <c r="N84" s="2"/>
      <c r="O84" s="2"/>
      <c r="P84" s="61"/>
      <c r="Q84" s="2"/>
      <c r="R84" s="2"/>
      <c r="S84" s="2"/>
      <c r="T84" s="2"/>
      <c r="U84" s="2"/>
      <c r="V84" s="2"/>
      <c r="W84" s="2"/>
      <c r="X84" s="2"/>
      <c r="Y84" s="2"/>
      <c r="Z84" s="2"/>
      <c r="AA84" s="2"/>
    </row>
    <row r="85" spans="1:27" ht="12.75">
      <c r="A85" s="58" t="s">
        <v>51</v>
      </c>
      <c r="B85" s="175" t="s">
        <v>52</v>
      </c>
      <c r="C85" s="1" t="s">
        <v>55</v>
      </c>
      <c r="D85" s="61">
        <f>+'Federal DS'!E4+'Federal DS'!E47</f>
        <v>39728</v>
      </c>
      <c r="E85" s="61">
        <f>+'Federal DS'!F4+'Federal DS'!F47</f>
        <v>43660</v>
      </c>
      <c r="F85" s="61"/>
      <c r="G85" s="61"/>
      <c r="H85" s="61"/>
      <c r="I85" s="61"/>
      <c r="J85" s="61"/>
      <c r="K85" s="61"/>
      <c r="L85" s="61"/>
      <c r="M85" s="61"/>
      <c r="N85" s="61"/>
      <c r="O85" s="61"/>
      <c r="P85" s="61"/>
      <c r="Q85" s="61"/>
      <c r="R85" s="61"/>
      <c r="S85" s="61"/>
      <c r="T85" s="61"/>
      <c r="U85" s="61"/>
      <c r="V85" s="61"/>
      <c r="W85" s="61"/>
      <c r="X85" s="61"/>
      <c r="Y85" s="61"/>
      <c r="Z85" s="61"/>
      <c r="AA85" s="2"/>
    </row>
    <row r="86" spans="1:27" ht="12.75">
      <c r="A86" s="58" t="s">
        <v>51</v>
      </c>
      <c r="B86" s="175" t="s">
        <v>52</v>
      </c>
      <c r="C86" s="1" t="s">
        <v>198</v>
      </c>
      <c r="D86" s="61">
        <f>+'Federal DS'!E6</f>
        <v>5694.264395162258</v>
      </c>
      <c r="E86" s="61">
        <f>+'Federal DS'!F6</f>
        <v>4538.673773120818</v>
      </c>
      <c r="F86" s="61"/>
      <c r="G86" s="61"/>
      <c r="H86" s="61"/>
      <c r="I86" s="61"/>
      <c r="J86" s="61"/>
      <c r="K86" s="61"/>
      <c r="L86" s="61"/>
      <c r="M86" s="61"/>
      <c r="N86" s="61"/>
      <c r="O86" s="2"/>
      <c r="P86" s="2"/>
      <c r="Q86" s="2"/>
      <c r="R86" s="2"/>
      <c r="S86" s="2"/>
      <c r="T86" s="2"/>
      <c r="U86" s="2"/>
      <c r="V86" s="2"/>
      <c r="W86" s="2"/>
      <c r="X86" s="2"/>
      <c r="Y86" s="2"/>
      <c r="Z86" s="2"/>
      <c r="AA86" s="2"/>
    </row>
    <row r="87" spans="1:27" ht="12.75">
      <c r="A87" s="58" t="s">
        <v>51</v>
      </c>
      <c r="B87" s="175" t="s">
        <v>52</v>
      </c>
      <c r="C87" s="1" t="s">
        <v>687</v>
      </c>
      <c r="D87" s="61">
        <f>SUM('Non-Federal DS'!G8:G10)</f>
        <v>141095.32799999998</v>
      </c>
      <c r="E87" s="61">
        <f>SUM('Non-Federal DS'!H8:H10)</f>
        <v>140046.332</v>
      </c>
      <c r="F87" s="61"/>
      <c r="G87" s="61"/>
      <c r="H87" s="61"/>
      <c r="I87" s="61"/>
      <c r="J87" s="61"/>
      <c r="K87" s="61"/>
      <c r="L87" s="61"/>
      <c r="M87" s="61"/>
      <c r="N87" s="61"/>
      <c r="O87" s="61"/>
      <c r="P87" s="61"/>
      <c r="Q87" s="61"/>
      <c r="R87" s="61"/>
      <c r="S87" s="61"/>
      <c r="T87" s="61"/>
      <c r="U87" s="61"/>
      <c r="V87" s="61"/>
      <c r="W87" s="61"/>
      <c r="X87" s="61"/>
      <c r="Y87" s="61"/>
      <c r="Z87" s="61"/>
      <c r="AA87" s="2"/>
    </row>
    <row r="88" spans="1:27" ht="12.75">
      <c r="A88" s="58" t="s">
        <v>51</v>
      </c>
      <c r="B88" s="175" t="s">
        <v>52</v>
      </c>
      <c r="C88" s="1" t="s">
        <v>728</v>
      </c>
      <c r="D88" s="61">
        <f>+'Non-Federal DS'!G7</f>
        <v>39574.356</v>
      </c>
      <c r="E88" s="61">
        <f>+'Non-Federal DS'!H7</f>
        <v>39631.21399999999</v>
      </c>
      <c r="F88" s="61"/>
      <c r="G88" s="61"/>
      <c r="H88" s="61"/>
      <c r="I88" s="61"/>
      <c r="J88" s="61"/>
      <c r="K88" s="61"/>
      <c r="L88" s="61"/>
      <c r="M88" s="61"/>
      <c r="N88" s="61"/>
      <c r="O88" s="61"/>
      <c r="P88" s="61"/>
      <c r="Q88" s="61"/>
      <c r="R88" s="61"/>
      <c r="S88" s="61"/>
      <c r="T88" s="61"/>
      <c r="U88" s="61"/>
      <c r="V88" s="61"/>
      <c r="W88" s="61"/>
      <c r="X88" s="61"/>
      <c r="Y88" s="61"/>
      <c r="Z88" s="61"/>
      <c r="AA88" s="2"/>
    </row>
    <row r="89" spans="1:27" ht="12.75">
      <c r="A89" s="58" t="s">
        <v>51</v>
      </c>
      <c r="B89" s="175" t="s">
        <v>52</v>
      </c>
      <c r="C89" s="1" t="s">
        <v>727</v>
      </c>
      <c r="D89" s="61">
        <f>+'Non-Federal DS'!G13</f>
        <v>45426.39600000001</v>
      </c>
      <c r="E89" s="61">
        <f>+'Non-Federal DS'!H13</f>
        <v>43901.28</v>
      </c>
      <c r="F89" s="61"/>
      <c r="G89" s="61"/>
      <c r="H89" s="61"/>
      <c r="I89" s="61"/>
      <c r="J89" s="61"/>
      <c r="K89" s="61"/>
      <c r="L89" s="61"/>
      <c r="M89" s="61"/>
      <c r="N89" s="61"/>
      <c r="O89" s="61"/>
      <c r="P89" s="61"/>
      <c r="Q89" s="61"/>
      <c r="R89" s="61"/>
      <c r="S89" s="61"/>
      <c r="T89" s="61"/>
      <c r="U89" s="61"/>
      <c r="V89" s="61"/>
      <c r="W89" s="61"/>
      <c r="X89" s="61"/>
      <c r="Y89" s="61"/>
      <c r="Z89" s="61"/>
      <c r="AA89" s="2"/>
    </row>
    <row r="90" spans="1:27" ht="12.75">
      <c r="A90" s="58" t="s">
        <v>51</v>
      </c>
      <c r="B90" s="175" t="s">
        <v>52</v>
      </c>
      <c r="C90" s="1" t="s">
        <v>688</v>
      </c>
      <c r="D90" s="61">
        <f>+'Non-Federal DS'!G14</f>
        <v>107.753</v>
      </c>
      <c r="E90" s="61">
        <f>+'Non-Federal DS'!H14</f>
        <v>15.767</v>
      </c>
      <c r="F90" s="61"/>
      <c r="G90" s="61"/>
      <c r="H90" s="61"/>
      <c r="I90" s="61"/>
      <c r="J90" s="61"/>
      <c r="K90" s="61"/>
      <c r="L90" s="61"/>
      <c r="M90" s="61"/>
      <c r="N90" s="61"/>
      <c r="O90" s="61"/>
      <c r="P90" s="61"/>
      <c r="Q90" s="61"/>
      <c r="R90" s="61"/>
      <c r="S90" s="61"/>
      <c r="T90" s="61"/>
      <c r="U90" s="61"/>
      <c r="V90" s="61"/>
      <c r="W90" s="61"/>
      <c r="X90" s="61"/>
      <c r="Y90" s="61"/>
      <c r="Z90" s="61"/>
      <c r="AA90" s="2"/>
    </row>
    <row r="91" spans="1:27" ht="12.75">
      <c r="A91" s="58" t="s">
        <v>51</v>
      </c>
      <c r="B91" s="175" t="s">
        <v>52</v>
      </c>
      <c r="C91" s="1" t="s">
        <v>689</v>
      </c>
      <c r="D91" s="61">
        <f>+'Non-Federal DS'!G15</f>
        <v>2646.023</v>
      </c>
      <c r="E91" s="61">
        <f>+'Non-Federal DS'!H15</f>
        <v>2401.748</v>
      </c>
      <c r="F91" s="61"/>
      <c r="G91" s="61"/>
      <c r="H91" s="61"/>
      <c r="I91" s="61"/>
      <c r="J91" s="61"/>
      <c r="K91" s="61"/>
      <c r="L91" s="61"/>
      <c r="M91" s="61"/>
      <c r="N91" s="61"/>
      <c r="O91" s="61"/>
      <c r="P91" s="61"/>
      <c r="Q91" s="61"/>
      <c r="R91" s="61"/>
      <c r="S91" s="61"/>
      <c r="T91" s="61"/>
      <c r="U91" s="61"/>
      <c r="V91" s="61"/>
      <c r="W91" s="61"/>
      <c r="X91" s="61"/>
      <c r="Y91" s="61"/>
      <c r="Z91" s="61"/>
      <c r="AA91" s="2"/>
    </row>
    <row r="92" spans="1:27" ht="12.75">
      <c r="A92" s="58" t="s">
        <v>51</v>
      </c>
      <c r="B92" s="175" t="s">
        <v>52</v>
      </c>
      <c r="C92" s="1" t="s">
        <v>738</v>
      </c>
      <c r="D92" s="61">
        <f>+'Federal DS'!E8</f>
        <v>11090</v>
      </c>
      <c r="E92" s="61">
        <f>+'Federal DS'!F8</f>
        <v>605</v>
      </c>
      <c r="F92" s="61"/>
      <c r="G92" s="61"/>
      <c r="H92" s="61"/>
      <c r="I92" s="61"/>
      <c r="J92" s="61"/>
      <c r="K92" s="61"/>
      <c r="L92" s="61"/>
      <c r="M92" s="61"/>
      <c r="N92" s="61"/>
      <c r="O92" s="61"/>
      <c r="P92" s="61"/>
      <c r="Q92" s="61"/>
      <c r="R92" s="61"/>
      <c r="S92" s="61"/>
      <c r="T92" s="61"/>
      <c r="U92" s="61"/>
      <c r="V92" s="61"/>
      <c r="W92" s="61"/>
      <c r="X92" s="61"/>
      <c r="Y92" s="61"/>
      <c r="Z92" s="61"/>
      <c r="AA92" s="2"/>
    </row>
    <row r="93" spans="1:27" ht="12.75">
      <c r="A93" s="58" t="s">
        <v>51</v>
      </c>
      <c r="B93" s="175" t="s">
        <v>52</v>
      </c>
      <c r="C93" s="175" t="s">
        <v>800</v>
      </c>
      <c r="D93" s="61">
        <f>-D114</f>
        <v>-34766.96983530553</v>
      </c>
      <c r="E93" s="61">
        <f aca="true" t="shared" si="0" ref="E93">-E114</f>
        <v>-38005.50889684399</v>
      </c>
      <c r="F93" s="61"/>
      <c r="G93" s="61"/>
      <c r="H93" s="61"/>
      <c r="I93" s="61"/>
      <c r="J93" s="61"/>
      <c r="K93" s="61"/>
      <c r="L93" s="61"/>
      <c r="M93" s="61"/>
      <c r="N93" s="61"/>
      <c r="O93" s="61"/>
      <c r="P93" s="61"/>
      <c r="Q93" s="61"/>
      <c r="R93" s="61"/>
      <c r="S93" s="61"/>
      <c r="T93" s="61"/>
      <c r="U93" s="61"/>
      <c r="V93" s="61"/>
      <c r="W93" s="61"/>
      <c r="X93" s="61"/>
      <c r="Y93" s="61"/>
      <c r="Z93" s="61"/>
      <c r="AA93" s="2"/>
    </row>
    <row r="94" spans="1:27" ht="12.75">
      <c r="A94" s="58" t="s">
        <v>51</v>
      </c>
      <c r="B94" s="175" t="s">
        <v>52</v>
      </c>
      <c r="C94" s="175" t="s">
        <v>803</v>
      </c>
      <c r="D94" s="61">
        <f>-D115</f>
        <v>499.5126566666666</v>
      </c>
      <c r="E94" s="61">
        <f aca="true" t="shared" si="1" ref="E94">-E115</f>
        <v>499.5126566666666</v>
      </c>
      <c r="F94" s="61"/>
      <c r="G94" s="61"/>
      <c r="H94" s="61"/>
      <c r="I94" s="61"/>
      <c r="J94" s="61"/>
      <c r="K94" s="61"/>
      <c r="L94" s="61"/>
      <c r="M94" s="61"/>
      <c r="N94" s="61"/>
      <c r="O94" s="61"/>
      <c r="P94" s="61"/>
      <c r="Q94" s="61"/>
      <c r="R94" s="61"/>
      <c r="S94" s="61"/>
      <c r="T94" s="61"/>
      <c r="U94" s="61"/>
      <c r="V94" s="61"/>
      <c r="W94" s="61"/>
      <c r="X94" s="61"/>
      <c r="Y94" s="61"/>
      <c r="Z94" s="61"/>
      <c r="AA94" s="2"/>
    </row>
    <row r="95" spans="1:27" ht="12.75">
      <c r="A95" s="58" t="s">
        <v>51</v>
      </c>
      <c r="B95" s="175" t="s">
        <v>52</v>
      </c>
      <c r="C95" s="175" t="s">
        <v>816</v>
      </c>
      <c r="D95" s="61">
        <v>0</v>
      </c>
      <c r="E95" s="61">
        <v>0</v>
      </c>
      <c r="F95" s="61"/>
      <c r="G95" s="61"/>
      <c r="H95" s="61"/>
      <c r="I95" s="61"/>
      <c r="J95" s="61"/>
      <c r="K95" s="61"/>
      <c r="L95" s="61"/>
      <c r="M95" s="61"/>
      <c r="N95" s="61"/>
      <c r="O95" s="61"/>
      <c r="P95" s="61"/>
      <c r="Q95" s="61"/>
      <c r="R95" s="61"/>
      <c r="S95" s="61"/>
      <c r="T95" s="61"/>
      <c r="U95" s="61"/>
      <c r="V95" s="61"/>
      <c r="W95" s="61"/>
      <c r="X95" s="61"/>
      <c r="Y95" s="61"/>
      <c r="Z95" s="61"/>
      <c r="AA95" s="2"/>
    </row>
    <row r="96" spans="1:27" ht="12.75">
      <c r="A96" s="58" t="s">
        <v>51</v>
      </c>
      <c r="B96" s="175" t="s">
        <v>52</v>
      </c>
      <c r="C96" s="1" t="s">
        <v>115</v>
      </c>
      <c r="D96" s="61">
        <v>-17821.3925</v>
      </c>
      <c r="E96" s="61">
        <v>-18137.16688</v>
      </c>
      <c r="F96" s="61"/>
      <c r="G96" s="61"/>
      <c r="H96" s="61"/>
      <c r="I96" s="61"/>
      <c r="J96" s="61"/>
      <c r="K96" s="61"/>
      <c r="L96" s="61"/>
      <c r="M96" s="61"/>
      <c r="N96" s="61"/>
      <c r="O96" s="61"/>
      <c r="P96" s="61"/>
      <c r="Q96" s="61"/>
      <c r="R96" s="61"/>
      <c r="S96" s="61"/>
      <c r="T96" s="61"/>
      <c r="U96" s="61"/>
      <c r="V96" s="61"/>
      <c r="W96" s="61"/>
      <c r="X96" s="61"/>
      <c r="Y96" s="61"/>
      <c r="Z96" s="61"/>
      <c r="AA96" s="2"/>
    </row>
    <row r="97" spans="1:29" ht="12.75">
      <c r="A97" s="58" t="s">
        <v>51</v>
      </c>
      <c r="B97" s="175" t="s">
        <v>52</v>
      </c>
      <c r="C97" s="1" t="s">
        <v>56</v>
      </c>
      <c r="D97" s="61">
        <f>+'interest credit calculations'!C9</f>
        <v>-2274.2131950369703</v>
      </c>
      <c r="E97" s="61">
        <f>+'interest credit calculations'!D9</f>
        <v>-3199.483131962513</v>
      </c>
      <c r="F97" s="2"/>
      <c r="G97" s="2"/>
      <c r="H97" s="2"/>
      <c r="I97" s="2"/>
      <c r="J97" s="2"/>
      <c r="K97" s="2"/>
      <c r="L97" s="2"/>
      <c r="M97" s="2"/>
      <c r="N97" s="2"/>
      <c r="O97" s="2"/>
      <c r="P97" s="2"/>
      <c r="Q97" s="2"/>
      <c r="R97" s="2"/>
      <c r="S97" s="2"/>
      <c r="T97" s="2"/>
      <c r="U97" s="2"/>
      <c r="V97" s="2"/>
      <c r="W97" s="2"/>
      <c r="X97" s="2"/>
      <c r="Y97" s="2"/>
      <c r="Z97" s="2"/>
      <c r="AA97" s="2"/>
      <c r="AB97" s="2"/>
      <c r="AC97" s="2"/>
    </row>
    <row r="98" spans="1:29" ht="12.75">
      <c r="A98" s="58" t="s">
        <v>51</v>
      </c>
      <c r="B98" s="175" t="s">
        <v>52</v>
      </c>
      <c r="C98" s="1" t="s">
        <v>57</v>
      </c>
      <c r="D98" s="61">
        <f>+'interest credit calculations'!C11</f>
        <v>-1143.5835596542188</v>
      </c>
      <c r="E98" s="61">
        <f>+'interest credit calculations'!D11</f>
        <v>-2575.1757638755503</v>
      </c>
      <c r="F98" s="2"/>
      <c r="G98" s="2"/>
      <c r="H98" s="2"/>
      <c r="I98" s="2"/>
      <c r="J98" s="2"/>
      <c r="K98" s="2"/>
      <c r="L98" s="2"/>
      <c r="M98" s="2"/>
      <c r="N98" s="2"/>
      <c r="O98" s="2"/>
      <c r="P98" s="2"/>
      <c r="Q98" s="2"/>
      <c r="R98" s="2"/>
      <c r="S98" s="2"/>
      <c r="T98" s="2"/>
      <c r="U98" s="2"/>
      <c r="V98" s="2"/>
      <c r="W98" s="2"/>
      <c r="X98" s="2"/>
      <c r="Y98" s="2"/>
      <c r="Z98" s="2"/>
      <c r="AA98" s="2"/>
      <c r="AB98" s="2"/>
      <c r="AC98" s="2"/>
    </row>
    <row r="99" spans="1:29" ht="12.75">
      <c r="A99" s="58" t="s">
        <v>51</v>
      </c>
      <c r="B99" s="175" t="s">
        <v>52</v>
      </c>
      <c r="C99" s="1" t="s">
        <v>764</v>
      </c>
      <c r="D99" s="61">
        <f>+'Income Statement Cash Flows'!E38</f>
        <v>-11469.375955208217</v>
      </c>
      <c r="E99" s="61">
        <f>+'Income Statement Cash Flows'!F38</f>
        <v>-12191.081595996058</v>
      </c>
      <c r="F99" s="61"/>
      <c r="G99" s="61"/>
      <c r="H99" s="61"/>
      <c r="I99" s="61"/>
      <c r="J99" s="61"/>
      <c r="K99" s="61"/>
      <c r="L99" s="61"/>
      <c r="M99" s="61"/>
      <c r="N99" s="61"/>
      <c r="O99" s="61"/>
      <c r="P99" s="61"/>
      <c r="Q99" s="61"/>
      <c r="R99" s="61"/>
      <c r="S99" s="61"/>
      <c r="T99" s="61"/>
      <c r="U99" s="61"/>
      <c r="V99" s="61"/>
      <c r="W99" s="61"/>
      <c r="X99" s="61"/>
      <c r="Y99" s="61"/>
      <c r="Z99" s="61"/>
      <c r="AA99" s="2"/>
      <c r="AB99" s="2"/>
      <c r="AC99" s="2"/>
    </row>
    <row r="100" spans="1:29" ht="12.75">
      <c r="A100" s="58" t="s">
        <v>51</v>
      </c>
      <c r="B100" s="175" t="s">
        <v>52</v>
      </c>
      <c r="C100" s="1" t="s">
        <v>799</v>
      </c>
      <c r="D100" s="61">
        <f>+'Income Statement Cash Flows'!E39</f>
        <v>-4335.0951722724485</v>
      </c>
      <c r="E100" s="61">
        <f>+'Income Statement Cash Flows'!F39</f>
        <v>-4607.879206155341</v>
      </c>
      <c r="F100" s="61"/>
      <c r="G100" s="61"/>
      <c r="H100" s="61"/>
      <c r="I100" s="61"/>
      <c r="J100" s="61"/>
      <c r="K100" s="61"/>
      <c r="L100" s="61"/>
      <c r="M100" s="61"/>
      <c r="N100" s="61"/>
      <c r="O100" s="61"/>
      <c r="P100" s="61"/>
      <c r="Q100" s="61"/>
      <c r="R100" s="61"/>
      <c r="S100" s="61"/>
      <c r="T100" s="61"/>
      <c r="U100" s="61"/>
      <c r="V100" s="61"/>
      <c r="W100" s="61"/>
      <c r="X100" s="61"/>
      <c r="Y100" s="61"/>
      <c r="Z100" s="61"/>
      <c r="AA100" s="2"/>
      <c r="AB100" s="2"/>
      <c r="AC100" s="2"/>
    </row>
    <row r="101" spans="1:27" ht="12.75">
      <c r="A101" s="58" t="s">
        <v>51</v>
      </c>
      <c r="B101" s="175" t="s">
        <v>58</v>
      </c>
      <c r="C101" s="1" t="s">
        <v>97</v>
      </c>
      <c r="D101" s="61">
        <f>+COSA!C12</f>
        <v>18935.075140471068</v>
      </c>
      <c r="E101" s="61">
        <f>+COSA!C58</f>
        <v>1843.8479972827918</v>
      </c>
      <c r="F101" s="2"/>
      <c r="G101" s="2"/>
      <c r="H101" s="2"/>
      <c r="I101" s="2"/>
      <c r="J101" s="2"/>
      <c r="K101" s="2"/>
      <c r="L101" s="2"/>
      <c r="M101" s="2"/>
      <c r="N101" s="2"/>
      <c r="O101" s="2"/>
      <c r="P101" s="2"/>
      <c r="Q101" s="2"/>
      <c r="R101" s="2"/>
      <c r="S101" s="2"/>
      <c r="T101" s="2"/>
      <c r="U101" s="2"/>
      <c r="V101" s="2"/>
      <c r="W101" s="2"/>
      <c r="X101" s="2"/>
      <c r="Y101" s="2"/>
      <c r="Z101" s="2"/>
      <c r="AA101" s="2"/>
    </row>
    <row r="102" spans="1:27" ht="12.75">
      <c r="A102" s="58" t="s">
        <v>51</v>
      </c>
      <c r="B102" s="175" t="s">
        <v>58</v>
      </c>
      <c r="C102" s="1" t="s">
        <v>98</v>
      </c>
      <c r="D102" s="61">
        <f>+COSA!C13</f>
        <v>3846</v>
      </c>
      <c r="E102" s="61">
        <f>+COSA!C59</f>
        <v>273</v>
      </c>
      <c r="F102" s="2"/>
      <c r="G102" s="2"/>
      <c r="H102" s="2"/>
      <c r="I102" s="2"/>
      <c r="J102" s="2"/>
      <c r="K102" s="2"/>
      <c r="L102" s="2"/>
      <c r="M102" s="2"/>
      <c r="N102" s="2"/>
      <c r="O102" s="2"/>
      <c r="P102" s="2"/>
      <c r="Q102" s="2"/>
      <c r="R102" s="2"/>
      <c r="S102" s="2"/>
      <c r="T102" s="2"/>
      <c r="U102" s="2"/>
      <c r="V102" s="2"/>
      <c r="W102" s="2"/>
      <c r="X102" s="2"/>
      <c r="Y102" s="2"/>
      <c r="Z102" s="2"/>
      <c r="AA102" s="2"/>
    </row>
    <row r="103" spans="1:27" ht="12.75">
      <c r="A103" s="58" t="s">
        <v>51</v>
      </c>
      <c r="B103" s="175" t="s">
        <v>58</v>
      </c>
      <c r="C103" s="1" t="s">
        <v>99</v>
      </c>
      <c r="D103" s="61">
        <f>+COSA!C30</f>
        <v>389</v>
      </c>
      <c r="E103" s="61">
        <f>+COSA!C76</f>
        <v>10</v>
      </c>
      <c r="F103" s="2"/>
      <c r="G103" s="2"/>
      <c r="H103" s="2"/>
      <c r="I103" s="2"/>
      <c r="J103" s="2"/>
      <c r="K103" s="2"/>
      <c r="L103" s="2"/>
      <c r="M103" s="2"/>
      <c r="N103" s="2"/>
      <c r="O103" s="2"/>
      <c r="P103" s="2"/>
      <c r="Q103" s="2"/>
      <c r="R103" s="2"/>
      <c r="S103" s="2"/>
      <c r="T103" s="2"/>
      <c r="U103" s="2"/>
      <c r="V103" s="2"/>
      <c r="W103" s="2"/>
      <c r="X103" s="2"/>
      <c r="Y103" s="2"/>
      <c r="Z103" s="2"/>
      <c r="AA103" s="2"/>
    </row>
    <row r="104" spans="1:27" ht="12.75">
      <c r="A104" s="58" t="s">
        <v>51</v>
      </c>
      <c r="B104" s="175" t="s">
        <v>58</v>
      </c>
      <c r="C104" s="1" t="s">
        <v>100</v>
      </c>
      <c r="D104" s="61">
        <f>+COSA!C33</f>
        <v>402</v>
      </c>
      <c r="E104" s="61">
        <f>+COSA!C79</f>
        <v>31</v>
      </c>
      <c r="F104" s="2"/>
      <c r="G104" s="2"/>
      <c r="H104" s="2"/>
      <c r="I104" s="2"/>
      <c r="J104" s="2"/>
      <c r="K104" s="2"/>
      <c r="L104" s="2"/>
      <c r="M104" s="2"/>
      <c r="N104" s="2"/>
      <c r="O104" s="2"/>
      <c r="P104" s="2"/>
      <c r="Q104" s="2"/>
      <c r="R104" s="2"/>
      <c r="S104" s="2"/>
      <c r="T104" s="2"/>
      <c r="U104" s="2"/>
      <c r="V104" s="2"/>
      <c r="W104" s="2"/>
      <c r="X104" s="2"/>
      <c r="Y104" s="2"/>
      <c r="Z104" s="2"/>
      <c r="AA104" s="2"/>
    </row>
    <row r="105" spans="1:27" ht="12.75">
      <c r="A105" s="58" t="s">
        <v>51</v>
      </c>
      <c r="B105" s="175" t="s">
        <v>59</v>
      </c>
      <c r="C105" s="1" t="s">
        <v>101</v>
      </c>
      <c r="D105" s="61">
        <f aca="true" t="shared" si="2" ref="D105:E106">+D101</f>
        <v>18935.075140471068</v>
      </c>
      <c r="E105" s="61">
        <f t="shared" si="2"/>
        <v>1843.8479972827918</v>
      </c>
      <c r="F105" s="2"/>
      <c r="G105" s="2"/>
      <c r="H105" s="2"/>
      <c r="I105" s="2"/>
      <c r="J105" s="2"/>
      <c r="K105" s="2"/>
      <c r="L105" s="2"/>
      <c r="M105" s="2"/>
      <c r="N105" s="2"/>
      <c r="O105" s="2"/>
      <c r="P105" s="2"/>
      <c r="Q105" s="2"/>
      <c r="R105" s="2"/>
      <c r="S105" s="2"/>
      <c r="T105" s="2"/>
      <c r="U105" s="2"/>
      <c r="V105" s="2"/>
      <c r="W105" s="2"/>
      <c r="X105" s="2"/>
      <c r="Y105" s="2"/>
      <c r="Z105" s="2"/>
      <c r="AA105" s="2"/>
    </row>
    <row r="106" spans="1:27" ht="12.75">
      <c r="A106" s="58" t="s">
        <v>51</v>
      </c>
      <c r="B106" s="175" t="s">
        <v>59</v>
      </c>
      <c r="C106" s="1" t="s">
        <v>102</v>
      </c>
      <c r="D106" s="61">
        <f t="shared" si="2"/>
        <v>3846</v>
      </c>
      <c r="E106" s="61">
        <f t="shared" si="2"/>
        <v>273</v>
      </c>
      <c r="F106" s="2"/>
      <c r="G106" s="2"/>
      <c r="H106" s="2"/>
      <c r="I106" s="2"/>
      <c r="J106" s="2"/>
      <c r="K106" s="2"/>
      <c r="L106" s="2"/>
      <c r="M106" s="2"/>
      <c r="N106" s="2"/>
      <c r="O106" s="2"/>
      <c r="P106" s="2"/>
      <c r="Q106" s="2"/>
      <c r="R106" s="2"/>
      <c r="S106" s="2"/>
      <c r="T106" s="2"/>
      <c r="U106" s="2"/>
      <c r="V106" s="2"/>
      <c r="W106" s="2"/>
      <c r="X106" s="2"/>
      <c r="Y106" s="2"/>
      <c r="Z106" s="2"/>
      <c r="AA106" s="2"/>
    </row>
    <row r="107" spans="1:27" ht="12.75">
      <c r="A107" s="58" t="s">
        <v>51</v>
      </c>
      <c r="B107" s="175" t="s">
        <v>59</v>
      </c>
      <c r="C107" s="1" t="s">
        <v>103</v>
      </c>
      <c r="D107" s="61">
        <f aca="true" t="shared" si="3" ref="D107:E107">+D103+D104</f>
        <v>791</v>
      </c>
      <c r="E107" s="61">
        <f t="shared" si="3"/>
        <v>41</v>
      </c>
      <c r="F107" s="2"/>
      <c r="G107" s="2"/>
      <c r="H107" s="2"/>
      <c r="I107" s="2"/>
      <c r="J107" s="2"/>
      <c r="K107" s="2"/>
      <c r="L107" s="2"/>
      <c r="M107" s="2"/>
      <c r="N107" s="2"/>
      <c r="O107" s="2"/>
      <c r="P107" s="2"/>
      <c r="Q107" s="2"/>
      <c r="R107" s="2"/>
      <c r="S107" s="2"/>
      <c r="T107" s="2"/>
      <c r="U107" s="2"/>
      <c r="V107" s="2"/>
      <c r="W107" s="2"/>
      <c r="X107" s="2"/>
      <c r="Y107" s="2"/>
      <c r="Z107" s="2"/>
      <c r="AA107" s="2"/>
    </row>
    <row r="108" spans="1:26" ht="12.75">
      <c r="A108" s="58" t="s">
        <v>60</v>
      </c>
      <c r="B108" s="175" t="s">
        <v>61</v>
      </c>
      <c r="C108" s="1" t="s">
        <v>104</v>
      </c>
      <c r="D108" s="61">
        <f>+'Federal DS'!E14</f>
        <v>181200</v>
      </c>
      <c r="E108" s="61">
        <f>+'Federal DS'!F14</f>
        <v>236863</v>
      </c>
      <c r="F108" s="61"/>
      <c r="G108" s="61"/>
      <c r="H108" s="61"/>
      <c r="I108" s="61"/>
      <c r="J108" s="61"/>
      <c r="K108" s="61"/>
      <c r="L108" s="61"/>
      <c r="M108" s="61"/>
      <c r="N108" s="61"/>
      <c r="O108" s="61"/>
      <c r="P108" s="61"/>
      <c r="Q108" s="61"/>
      <c r="R108" s="61"/>
      <c r="S108" s="61"/>
      <c r="T108" s="61"/>
      <c r="U108" s="61"/>
      <c r="V108" s="61"/>
      <c r="W108" s="61"/>
      <c r="X108" s="61"/>
      <c r="Y108" s="61"/>
      <c r="Z108" s="61"/>
    </row>
    <row r="109" spans="1:26" ht="12.75">
      <c r="A109" s="58" t="s">
        <v>60</v>
      </c>
      <c r="B109" s="175" t="s">
        <v>61</v>
      </c>
      <c r="C109" s="1" t="s">
        <v>62</v>
      </c>
      <c r="D109" s="61">
        <f>+'Federal DS'!E15</f>
        <v>8067</v>
      </c>
      <c r="E109" s="61">
        <f>+'Federal DS'!F15</f>
        <v>14006</v>
      </c>
      <c r="F109" s="61"/>
      <c r="G109" s="61"/>
      <c r="H109" s="61"/>
      <c r="I109" s="61"/>
      <c r="J109" s="61"/>
      <c r="K109" s="61"/>
      <c r="L109" s="61"/>
      <c r="M109" s="61"/>
      <c r="N109" s="61"/>
      <c r="O109" s="61"/>
      <c r="P109" s="61"/>
      <c r="Q109" s="61"/>
      <c r="R109" s="61"/>
      <c r="S109" s="61"/>
      <c r="T109" s="61"/>
      <c r="U109" s="61"/>
      <c r="V109" s="61"/>
      <c r="W109" s="61"/>
      <c r="X109" s="61"/>
      <c r="Y109" s="61"/>
      <c r="Z109" s="61"/>
    </row>
    <row r="110" spans="1:26" ht="12.75">
      <c r="A110" s="58" t="s">
        <v>60</v>
      </c>
      <c r="B110" s="175" t="s">
        <v>61</v>
      </c>
      <c r="C110" s="1" t="s">
        <v>105</v>
      </c>
      <c r="D110" s="61">
        <f aca="true" t="shared" si="4" ref="D110:E110">-SUM(D70:D72)</f>
        <v>-139703.21333333332</v>
      </c>
      <c r="E110" s="61">
        <f t="shared" si="4"/>
        <v>-143600.21333333332</v>
      </c>
      <c r="F110" s="61"/>
      <c r="G110" s="61"/>
      <c r="H110" s="61"/>
      <c r="I110" s="61"/>
      <c r="J110" s="61"/>
      <c r="K110" s="61"/>
      <c r="L110" s="61"/>
      <c r="M110" s="61"/>
      <c r="N110" s="61"/>
      <c r="O110" s="61"/>
      <c r="P110" s="61"/>
      <c r="Q110" s="61"/>
      <c r="R110" s="61"/>
      <c r="S110" s="61"/>
      <c r="T110" s="61"/>
      <c r="U110" s="61"/>
      <c r="V110" s="61"/>
      <c r="W110" s="61"/>
      <c r="X110" s="61"/>
      <c r="Y110" s="61"/>
      <c r="Z110" s="61"/>
    </row>
    <row r="111" spans="1:26" ht="12.75">
      <c r="A111" s="58" t="s">
        <v>60</v>
      </c>
      <c r="B111" s="175" t="s">
        <v>61</v>
      </c>
      <c r="C111" s="1" t="s">
        <v>861</v>
      </c>
      <c r="D111" s="61">
        <f aca="true" t="shared" si="5" ref="D111:E111">-SUM(D73:D82)</f>
        <v>-352530.0029247511</v>
      </c>
      <c r="E111" s="61">
        <f t="shared" si="5"/>
        <v>-357864.3845883647</v>
      </c>
      <c r="F111" s="61"/>
      <c r="G111" s="61"/>
      <c r="H111" s="61"/>
      <c r="I111" s="61"/>
      <c r="J111" s="61"/>
      <c r="K111" s="61"/>
      <c r="L111" s="61"/>
      <c r="M111" s="61"/>
      <c r="N111" s="61"/>
      <c r="O111" s="61"/>
      <c r="P111" s="61"/>
      <c r="Q111" s="61"/>
      <c r="R111" s="61"/>
      <c r="S111" s="61"/>
      <c r="T111" s="61"/>
      <c r="U111" s="61"/>
      <c r="V111" s="61"/>
      <c r="W111" s="61"/>
      <c r="X111" s="61"/>
      <c r="Y111" s="61"/>
      <c r="Z111" s="61"/>
    </row>
    <row r="112" spans="1:26" ht="12.75">
      <c r="A112" s="58" t="s">
        <v>60</v>
      </c>
      <c r="B112" s="175" t="s">
        <v>61</v>
      </c>
      <c r="C112" s="1" t="s">
        <v>200</v>
      </c>
      <c r="D112" s="61">
        <f aca="true" t="shared" si="6" ref="D112:E112">-D86</f>
        <v>-5694.264395162258</v>
      </c>
      <c r="E112" s="61">
        <f t="shared" si="6"/>
        <v>-4538.673773120818</v>
      </c>
      <c r="F112" s="61"/>
      <c r="G112" s="61"/>
      <c r="H112" s="61"/>
      <c r="I112" s="61"/>
      <c r="J112" s="61"/>
      <c r="K112" s="61"/>
      <c r="L112" s="61"/>
      <c r="M112" s="61"/>
      <c r="N112" s="61"/>
      <c r="O112" s="61"/>
      <c r="P112" s="61"/>
      <c r="Q112" s="61"/>
      <c r="R112" s="61"/>
      <c r="S112" s="61"/>
      <c r="T112" s="61"/>
      <c r="U112" s="61"/>
      <c r="V112" s="61"/>
      <c r="W112" s="61"/>
      <c r="X112" s="61"/>
      <c r="Y112" s="61"/>
      <c r="Z112" s="61"/>
    </row>
    <row r="113" spans="1:26" ht="12.75">
      <c r="A113" s="58" t="s">
        <v>60</v>
      </c>
      <c r="B113" s="175" t="s">
        <v>61</v>
      </c>
      <c r="C113" s="1" t="s">
        <v>106</v>
      </c>
      <c r="D113" s="61">
        <f aca="true" t="shared" si="7" ref="D113:E113">-D84</f>
        <v>45937</v>
      </c>
      <c r="E113" s="61">
        <f t="shared" si="7"/>
        <v>45937</v>
      </c>
      <c r="F113" s="61"/>
      <c r="G113" s="61"/>
      <c r="H113" s="61"/>
      <c r="I113" s="61"/>
      <c r="J113" s="61"/>
      <c r="K113" s="61"/>
      <c r="L113" s="61"/>
      <c r="M113" s="61"/>
      <c r="N113" s="61"/>
      <c r="O113" s="61"/>
      <c r="P113" s="61"/>
      <c r="Q113" s="61"/>
      <c r="R113" s="61"/>
      <c r="S113" s="61"/>
      <c r="T113" s="61"/>
      <c r="U113" s="61"/>
      <c r="V113" s="61"/>
      <c r="W113" s="61"/>
      <c r="X113" s="61"/>
      <c r="Y113" s="61"/>
      <c r="Z113" s="61"/>
    </row>
    <row r="114" spans="1:26" ht="12.75">
      <c r="A114" s="58" t="s">
        <v>60</v>
      </c>
      <c r="B114" s="175" t="s">
        <v>61</v>
      </c>
      <c r="C114" s="1" t="s">
        <v>801</v>
      </c>
      <c r="D114" s="61">
        <f>-'Income Statement Cash Flows'!E34</f>
        <v>34766.96983530553</v>
      </c>
      <c r="E114" s="61">
        <f>-'Income Statement Cash Flows'!F34</f>
        <v>38005.50889684399</v>
      </c>
      <c r="F114" s="61"/>
      <c r="G114" s="61"/>
      <c r="H114" s="61"/>
      <c r="I114" s="61"/>
      <c r="J114" s="61"/>
      <c r="K114" s="61"/>
      <c r="L114" s="61"/>
      <c r="M114" s="61"/>
      <c r="N114" s="61"/>
      <c r="O114" s="61"/>
      <c r="P114" s="61"/>
      <c r="Q114" s="61"/>
      <c r="R114" s="61"/>
      <c r="S114" s="61"/>
      <c r="T114" s="61"/>
      <c r="U114" s="61"/>
      <c r="V114" s="61"/>
      <c r="W114" s="61"/>
      <c r="X114" s="61"/>
      <c r="Y114" s="61"/>
      <c r="Z114" s="61"/>
    </row>
    <row r="115" spans="1:26" ht="12.75">
      <c r="A115" s="58" t="s">
        <v>60</v>
      </c>
      <c r="B115" s="175" t="s">
        <v>61</v>
      </c>
      <c r="C115" s="175" t="s">
        <v>804</v>
      </c>
      <c r="D115" s="61">
        <f>-'Income Statement Cash Flows'!E35</f>
        <v>-499.5126566666666</v>
      </c>
      <c r="E115" s="61">
        <f>-'Income Statement Cash Flows'!F35</f>
        <v>-499.5126566666666</v>
      </c>
      <c r="F115" s="61"/>
      <c r="G115" s="61"/>
      <c r="H115" s="61"/>
      <c r="I115" s="61"/>
      <c r="J115" s="61"/>
      <c r="K115" s="61"/>
      <c r="L115" s="61"/>
      <c r="M115" s="61"/>
      <c r="N115" s="61"/>
      <c r="O115" s="61"/>
      <c r="P115" s="61"/>
      <c r="Q115" s="61"/>
      <c r="R115" s="61"/>
      <c r="S115" s="61"/>
      <c r="T115" s="61"/>
      <c r="U115" s="61"/>
      <c r="V115" s="61"/>
      <c r="W115" s="61"/>
      <c r="X115" s="61"/>
      <c r="Y115" s="61"/>
      <c r="Z115" s="61"/>
    </row>
    <row r="116" spans="1:27" ht="12.75">
      <c r="A116" s="58" t="s">
        <v>60</v>
      </c>
      <c r="B116" s="175" t="s">
        <v>61</v>
      </c>
      <c r="C116" s="175" t="s">
        <v>816</v>
      </c>
      <c r="D116" s="61">
        <v>0</v>
      </c>
      <c r="E116" s="61">
        <v>0</v>
      </c>
      <c r="F116" s="61"/>
      <c r="G116" s="61"/>
      <c r="H116" s="61"/>
      <c r="I116" s="61"/>
      <c r="J116" s="61"/>
      <c r="K116" s="61"/>
      <c r="L116" s="61"/>
      <c r="M116" s="61"/>
      <c r="N116" s="61"/>
      <c r="O116" s="61"/>
      <c r="P116" s="61"/>
      <c r="Q116" s="61"/>
      <c r="R116" s="61"/>
      <c r="S116" s="61"/>
      <c r="T116" s="61"/>
      <c r="U116" s="61"/>
      <c r="V116" s="61"/>
      <c r="W116" s="61"/>
      <c r="X116" s="61"/>
      <c r="Y116" s="61"/>
      <c r="Z116" s="61"/>
      <c r="AA116" s="2"/>
    </row>
    <row r="117" spans="1:26" ht="12.75">
      <c r="A117" s="58" t="s">
        <v>60</v>
      </c>
      <c r="B117" s="175" t="s">
        <v>61</v>
      </c>
      <c r="C117" s="1" t="s">
        <v>107</v>
      </c>
      <c r="D117" s="61">
        <v>0</v>
      </c>
      <c r="E117" s="61">
        <v>0</v>
      </c>
      <c r="F117" s="61"/>
      <c r="G117" s="61"/>
      <c r="H117" s="61"/>
      <c r="I117" s="61"/>
      <c r="J117" s="61"/>
      <c r="K117" s="61"/>
      <c r="L117" s="61"/>
      <c r="M117" s="61"/>
      <c r="N117" s="61"/>
      <c r="O117" s="61"/>
      <c r="P117" s="61"/>
      <c r="Q117" s="61"/>
      <c r="R117" s="61"/>
      <c r="S117" s="61"/>
      <c r="T117" s="61"/>
      <c r="U117" s="61"/>
      <c r="V117" s="61"/>
      <c r="W117" s="61"/>
      <c r="X117" s="61"/>
      <c r="Y117" s="61"/>
      <c r="Z117" s="61"/>
    </row>
    <row r="118" spans="1:26" ht="12.75">
      <c r="A118" s="58" t="s">
        <v>60</v>
      </c>
      <c r="B118" s="175" t="s">
        <v>61</v>
      </c>
      <c r="C118" s="1" t="s">
        <v>108</v>
      </c>
      <c r="D118" s="61">
        <f>+'Federal DS'!E13</f>
        <v>278799</v>
      </c>
      <c r="E118" s="61">
        <f>+'Federal DS'!F13</f>
        <v>209137</v>
      </c>
      <c r="F118" s="61"/>
      <c r="G118" s="61"/>
      <c r="H118" s="61"/>
      <c r="I118" s="61"/>
      <c r="J118" s="61"/>
      <c r="K118" s="61"/>
      <c r="L118" s="61"/>
      <c r="M118" s="61"/>
      <c r="N118" s="61"/>
      <c r="O118" s="61"/>
      <c r="P118" s="61"/>
      <c r="Q118" s="61"/>
      <c r="R118" s="61"/>
      <c r="S118" s="61"/>
      <c r="T118" s="61"/>
      <c r="U118" s="61"/>
      <c r="V118" s="61"/>
      <c r="W118" s="61"/>
      <c r="X118" s="61"/>
      <c r="Y118" s="61"/>
      <c r="Z118" s="61"/>
    </row>
    <row r="119" spans="1:26" ht="12.75">
      <c r="A119" s="58" t="s">
        <v>60</v>
      </c>
      <c r="B119" s="175" t="s">
        <v>61</v>
      </c>
      <c r="C119" s="1" t="s">
        <v>109</v>
      </c>
      <c r="D119" s="61">
        <v>0</v>
      </c>
      <c r="E119" s="61">
        <v>0</v>
      </c>
      <c r="F119" s="61"/>
      <c r="G119" s="61"/>
      <c r="H119" s="61"/>
      <c r="I119" s="61"/>
      <c r="J119" s="61"/>
      <c r="K119" s="61"/>
      <c r="L119" s="61"/>
      <c r="M119" s="61"/>
      <c r="N119" s="61"/>
      <c r="O119" s="61"/>
      <c r="P119" s="61"/>
      <c r="Q119" s="61"/>
      <c r="R119" s="61"/>
      <c r="S119" s="61"/>
      <c r="T119" s="61"/>
      <c r="U119" s="61"/>
      <c r="V119" s="61"/>
      <c r="W119" s="61"/>
      <c r="X119" s="61"/>
      <c r="Y119" s="61"/>
      <c r="Z119" s="61"/>
    </row>
    <row r="120" spans="1:26" ht="12.75">
      <c r="A120" s="58" t="s">
        <v>60</v>
      </c>
      <c r="B120" s="175" t="s">
        <v>61</v>
      </c>
      <c r="C120" s="1" t="s">
        <v>199</v>
      </c>
      <c r="D120" s="61">
        <f>+'Federal DS'!D16</f>
        <v>30600</v>
      </c>
      <c r="E120" s="61">
        <f>+'Federal DS'!E16</f>
        <v>30600</v>
      </c>
      <c r="F120" s="61"/>
      <c r="G120" s="61"/>
      <c r="H120" s="61"/>
      <c r="I120" s="61"/>
      <c r="J120" s="61"/>
      <c r="K120" s="61"/>
      <c r="L120" s="61"/>
      <c r="M120" s="61"/>
      <c r="N120" s="61"/>
      <c r="O120" s="61"/>
      <c r="P120" s="61"/>
      <c r="Q120" s="61"/>
      <c r="R120" s="61"/>
      <c r="S120" s="61"/>
      <c r="T120" s="61"/>
      <c r="U120" s="61"/>
      <c r="V120" s="61"/>
      <c r="W120" s="61"/>
      <c r="X120" s="61"/>
      <c r="Y120" s="61"/>
      <c r="Z120" s="61"/>
    </row>
    <row r="121" spans="1:26" ht="12.75">
      <c r="A121" s="58" t="s">
        <v>60</v>
      </c>
      <c r="B121" s="175" t="s">
        <v>61</v>
      </c>
      <c r="C121" s="1" t="s">
        <v>630</v>
      </c>
      <c r="D121" s="61">
        <f>-'Non-Federal DS'!G87/1000</f>
        <v>0</v>
      </c>
      <c r="E121" s="61">
        <f>-'Non-Federal DS'!H87/1000</f>
        <v>0</v>
      </c>
      <c r="F121" s="61"/>
      <c r="G121" s="61"/>
      <c r="H121" s="61"/>
      <c r="I121" s="61"/>
      <c r="J121" s="61"/>
      <c r="K121" s="61"/>
      <c r="L121" s="61"/>
      <c r="M121" s="61"/>
      <c r="N121" s="61"/>
      <c r="O121" s="61"/>
      <c r="P121" s="61"/>
      <c r="Q121" s="61"/>
      <c r="R121" s="61"/>
      <c r="S121" s="61"/>
      <c r="T121" s="61"/>
      <c r="U121" s="61"/>
      <c r="V121" s="61"/>
      <c r="W121" s="61"/>
      <c r="X121" s="61"/>
      <c r="Y121" s="61"/>
      <c r="Z121" s="61"/>
    </row>
    <row r="122" spans="1:26" ht="12.75">
      <c r="A122" s="58" t="s">
        <v>60</v>
      </c>
      <c r="B122" s="175" t="s">
        <v>61</v>
      </c>
      <c r="C122" s="1" t="s">
        <v>743</v>
      </c>
      <c r="D122" s="61">
        <v>0</v>
      </c>
      <c r="E122" s="61">
        <v>0</v>
      </c>
      <c r="F122" s="61"/>
      <c r="G122" s="61"/>
      <c r="H122" s="61"/>
      <c r="I122" s="61"/>
      <c r="J122" s="61"/>
      <c r="K122" s="61"/>
      <c r="L122" s="61"/>
      <c r="M122" s="61"/>
      <c r="N122" s="61"/>
      <c r="O122" s="61"/>
      <c r="P122" s="61"/>
      <c r="Q122" s="61"/>
      <c r="R122" s="61"/>
      <c r="S122" s="61"/>
      <c r="T122" s="61"/>
      <c r="U122" s="61"/>
      <c r="V122" s="61"/>
      <c r="W122" s="61"/>
      <c r="X122" s="61"/>
      <c r="Y122" s="61"/>
      <c r="Z122" s="61"/>
    </row>
    <row r="123" spans="1:26" ht="12.75">
      <c r="A123" s="58" t="s">
        <v>60</v>
      </c>
      <c r="B123" s="175" t="s">
        <v>61</v>
      </c>
      <c r="C123" s="1" t="s">
        <v>690</v>
      </c>
      <c r="D123" s="61">
        <f>'Non-Federal DS'!G40+'Non-Federal DS'!G41</f>
        <v>20081.250000000007</v>
      </c>
      <c r="E123" s="61">
        <f>'Non-Federal DS'!H40+'Non-Federal DS'!H41</f>
        <v>18160</v>
      </c>
      <c r="F123" s="61"/>
      <c r="G123" s="61"/>
      <c r="H123" s="61"/>
      <c r="I123" s="61"/>
      <c r="J123" s="61"/>
      <c r="K123" s="61"/>
      <c r="L123" s="61"/>
      <c r="M123" s="61"/>
      <c r="N123" s="61"/>
      <c r="O123" s="61"/>
      <c r="P123" s="61"/>
      <c r="Q123" s="61"/>
      <c r="R123" s="61"/>
      <c r="S123" s="61"/>
      <c r="T123" s="61"/>
      <c r="U123" s="61"/>
      <c r="V123" s="61"/>
      <c r="W123" s="61"/>
      <c r="X123" s="61"/>
      <c r="Y123" s="61"/>
      <c r="Z123" s="61"/>
    </row>
    <row r="124" spans="1:26" ht="12.75">
      <c r="A124" s="58" t="s">
        <v>60</v>
      </c>
      <c r="B124" s="175" t="s">
        <v>61</v>
      </c>
      <c r="C124" s="1" t="s">
        <v>729</v>
      </c>
      <c r="D124" s="61">
        <f>'Non-Federal DS'!G39</f>
        <v>365</v>
      </c>
      <c r="E124" s="61">
        <f>'Non-Federal DS'!H39</f>
        <v>-2961.25</v>
      </c>
      <c r="F124" s="61"/>
      <c r="G124" s="61"/>
      <c r="H124" s="61"/>
      <c r="I124" s="61"/>
      <c r="J124" s="61"/>
      <c r="K124" s="61"/>
      <c r="L124" s="61"/>
      <c r="M124" s="61"/>
      <c r="N124" s="61"/>
      <c r="O124" s="61"/>
      <c r="P124" s="61"/>
      <c r="Q124" s="61"/>
      <c r="R124" s="61"/>
      <c r="S124" s="61"/>
      <c r="T124" s="61"/>
      <c r="U124" s="61"/>
      <c r="V124" s="61"/>
      <c r="W124" s="61"/>
      <c r="X124" s="61"/>
      <c r="Y124" s="61"/>
      <c r="Z124" s="61"/>
    </row>
    <row r="125" spans="1:26" ht="12.75">
      <c r="A125" s="58" t="s">
        <v>60</v>
      </c>
      <c r="B125" s="175" t="s">
        <v>61</v>
      </c>
      <c r="C125" s="1" t="s">
        <v>730</v>
      </c>
      <c r="D125" s="61">
        <f>+'Non-Federal DS'!G43</f>
        <v>226.25</v>
      </c>
      <c r="E125" s="61">
        <f>+'Non-Federal DS'!H43</f>
        <v>678.75</v>
      </c>
      <c r="F125" s="61"/>
      <c r="G125" s="61"/>
      <c r="H125" s="61"/>
      <c r="I125" s="61"/>
      <c r="J125" s="61"/>
      <c r="K125" s="61"/>
      <c r="L125" s="61"/>
      <c r="M125" s="61"/>
      <c r="N125" s="61"/>
      <c r="O125" s="61"/>
      <c r="P125" s="61"/>
      <c r="Q125" s="61"/>
      <c r="R125" s="61"/>
      <c r="S125" s="61"/>
      <c r="T125" s="61"/>
      <c r="U125" s="61"/>
      <c r="V125" s="61"/>
      <c r="W125" s="61"/>
      <c r="X125" s="61"/>
      <c r="Y125" s="61"/>
      <c r="Z125" s="61"/>
    </row>
    <row r="126" spans="1:26" ht="12.75">
      <c r="A126" s="58" t="s">
        <v>60</v>
      </c>
      <c r="B126" s="175" t="s">
        <v>61</v>
      </c>
      <c r="C126" s="1" t="s">
        <v>691</v>
      </c>
      <c r="D126" s="61">
        <f>+'Non-Federal DS'!G44</f>
        <v>1839.7</v>
      </c>
      <c r="E126" s="61">
        <f>+'Non-Federal DS'!H44</f>
        <v>315.35</v>
      </c>
      <c r="F126" s="61"/>
      <c r="G126" s="61"/>
      <c r="H126" s="61"/>
      <c r="I126" s="61"/>
      <c r="J126" s="61"/>
      <c r="K126" s="61"/>
      <c r="L126" s="61"/>
      <c r="M126" s="61"/>
      <c r="N126" s="61"/>
      <c r="O126" s="61"/>
      <c r="P126" s="61"/>
      <c r="Q126" s="61"/>
      <c r="R126" s="61"/>
      <c r="S126" s="61"/>
      <c r="T126" s="61"/>
      <c r="U126" s="61"/>
      <c r="V126" s="61"/>
      <c r="W126" s="61"/>
      <c r="X126" s="61"/>
      <c r="Y126" s="61"/>
      <c r="Z126" s="61"/>
    </row>
    <row r="127" spans="1:26" ht="12.75">
      <c r="A127" s="58" t="s">
        <v>60</v>
      </c>
      <c r="B127" s="175" t="s">
        <v>61</v>
      </c>
      <c r="C127" s="1" t="s">
        <v>692</v>
      </c>
      <c r="D127" s="61">
        <f>'Non-Federal DS'!G45</f>
        <v>4655</v>
      </c>
      <c r="E127" s="61">
        <f>'Non-Federal DS'!H45</f>
        <v>4900</v>
      </c>
      <c r="F127" s="61"/>
      <c r="G127" s="61"/>
      <c r="H127" s="61"/>
      <c r="I127" s="61"/>
      <c r="J127" s="61"/>
      <c r="K127" s="61"/>
      <c r="L127" s="61"/>
      <c r="M127" s="61"/>
      <c r="N127" s="61"/>
      <c r="O127" s="61"/>
      <c r="P127" s="61"/>
      <c r="Q127" s="61"/>
      <c r="R127" s="61"/>
      <c r="S127" s="61"/>
      <c r="T127" s="61"/>
      <c r="U127" s="61"/>
      <c r="V127" s="61"/>
      <c r="W127" s="61"/>
      <c r="X127" s="61"/>
      <c r="Y127" s="61"/>
      <c r="Z127" s="61"/>
    </row>
    <row r="128" spans="1:26" ht="12.75">
      <c r="A128" s="58" t="s">
        <v>60</v>
      </c>
      <c r="B128" s="175" t="s">
        <v>61</v>
      </c>
      <c r="C128" s="176" t="s">
        <v>742</v>
      </c>
      <c r="D128" s="61">
        <f>-'Non-Federal DS'!G88/1000</f>
        <v>-17600</v>
      </c>
      <c r="E128" s="61">
        <f>-'Non-Federal DS'!H88/1000</f>
        <v>0</v>
      </c>
      <c r="F128" s="61"/>
      <c r="G128" s="61"/>
      <c r="H128" s="61"/>
      <c r="I128" s="61"/>
      <c r="J128" s="61"/>
      <c r="K128" s="61"/>
      <c r="L128" s="61"/>
      <c r="M128" s="61"/>
      <c r="N128" s="61"/>
      <c r="O128" s="61"/>
      <c r="P128" s="61"/>
      <c r="Q128" s="61"/>
      <c r="R128" s="61"/>
      <c r="S128" s="61"/>
      <c r="T128" s="61"/>
      <c r="U128" s="61"/>
      <c r="V128" s="61"/>
      <c r="W128" s="61"/>
      <c r="X128" s="61"/>
      <c r="Y128" s="61"/>
      <c r="Z128" s="61"/>
    </row>
    <row r="129" spans="1:26" ht="12.75">
      <c r="A129" s="58" t="s">
        <v>60</v>
      </c>
      <c r="B129" s="175" t="s">
        <v>61</v>
      </c>
      <c r="C129" s="175" t="s">
        <v>763</v>
      </c>
      <c r="D129" s="61">
        <f>'IPR Data'!C80/1000</f>
        <v>15100</v>
      </c>
      <c r="E129" s="61">
        <f>'IPR Data'!D80/1000</f>
        <v>15100</v>
      </c>
      <c r="F129" s="61"/>
      <c r="G129" s="61"/>
      <c r="H129" s="61"/>
      <c r="I129" s="61"/>
      <c r="J129" s="61"/>
      <c r="K129" s="61"/>
      <c r="L129" s="61"/>
      <c r="M129" s="61"/>
      <c r="N129" s="61"/>
      <c r="O129" s="61"/>
      <c r="P129" s="61"/>
      <c r="Q129" s="61"/>
      <c r="R129" s="61"/>
      <c r="S129" s="61"/>
      <c r="T129" s="61"/>
      <c r="U129" s="61"/>
      <c r="V129" s="61"/>
      <c r="W129" s="61"/>
      <c r="X129" s="61"/>
      <c r="Y129" s="61"/>
      <c r="Z129" s="61"/>
    </row>
    <row r="130" spans="1:26" ht="12.75">
      <c r="A130" s="58" t="s">
        <v>60</v>
      </c>
      <c r="B130" s="175" t="s">
        <v>61</v>
      </c>
      <c r="C130" s="1" t="s">
        <v>764</v>
      </c>
      <c r="D130" s="61">
        <f aca="true" t="shared" si="8" ref="D130:E130">-D99</f>
        <v>11469.375955208217</v>
      </c>
      <c r="E130" s="61">
        <f t="shared" si="8"/>
        <v>12191.081595996058</v>
      </c>
      <c r="F130" s="61"/>
      <c r="G130" s="61"/>
      <c r="H130" s="61"/>
      <c r="I130" s="61"/>
      <c r="J130" s="61"/>
      <c r="K130" s="61"/>
      <c r="L130" s="61"/>
      <c r="M130" s="61"/>
      <c r="N130" s="61"/>
      <c r="O130" s="61"/>
      <c r="P130" s="61"/>
      <c r="Q130" s="61"/>
      <c r="R130" s="61"/>
      <c r="S130" s="61"/>
      <c r="T130" s="61"/>
      <c r="U130" s="61"/>
      <c r="V130" s="61"/>
      <c r="W130" s="61"/>
      <c r="X130" s="61"/>
      <c r="Y130" s="61"/>
      <c r="Z130" s="61"/>
    </row>
    <row r="131" spans="1:26" ht="12.75">
      <c r="A131" s="58" t="s">
        <v>60</v>
      </c>
      <c r="B131" s="175" t="s">
        <v>61</v>
      </c>
      <c r="C131" s="1" t="s">
        <v>765</v>
      </c>
      <c r="D131" s="61">
        <f aca="true" t="shared" si="9" ref="D131:E131">-D100</f>
        <v>4335.0951722724485</v>
      </c>
      <c r="E131" s="61">
        <f t="shared" si="9"/>
        <v>4607.879206155341</v>
      </c>
      <c r="F131" s="61"/>
      <c r="G131" s="61"/>
      <c r="H131" s="61"/>
      <c r="I131" s="61"/>
      <c r="J131" s="61"/>
      <c r="K131" s="61"/>
      <c r="L131" s="61"/>
      <c r="M131" s="61"/>
      <c r="N131" s="61"/>
      <c r="O131" s="61"/>
      <c r="P131" s="61"/>
      <c r="Q131" s="61"/>
      <c r="R131" s="61"/>
      <c r="S131" s="61"/>
      <c r="T131" s="61"/>
      <c r="U131" s="61"/>
      <c r="V131" s="61"/>
      <c r="W131" s="61"/>
      <c r="X131" s="61"/>
      <c r="Y131" s="61"/>
      <c r="Z131" s="61"/>
    </row>
    <row r="132" spans="1:26" ht="12.75">
      <c r="A132" s="58" t="s">
        <v>60</v>
      </c>
      <c r="B132" s="175" t="s">
        <v>61</v>
      </c>
      <c r="C132" s="1" t="s">
        <v>110</v>
      </c>
      <c r="D132" s="61">
        <f>+'Federal DS'!E38</f>
        <v>33743.13925</v>
      </c>
      <c r="E132" s="61">
        <f>+'Federal DS'!F38</f>
        <v>34289.606688</v>
      </c>
      <c r="F132" s="61"/>
      <c r="G132" s="61"/>
      <c r="H132" s="61"/>
      <c r="I132" s="61"/>
      <c r="J132" s="61"/>
      <c r="K132" s="61"/>
      <c r="L132" s="61"/>
      <c r="M132" s="61"/>
      <c r="N132" s="61"/>
      <c r="O132" s="61"/>
      <c r="P132" s="61"/>
      <c r="Q132" s="61"/>
      <c r="R132" s="61"/>
      <c r="S132" s="61"/>
      <c r="T132" s="61"/>
      <c r="U132" s="61"/>
      <c r="V132" s="61"/>
      <c r="W132" s="61"/>
      <c r="X132" s="61"/>
      <c r="Y132" s="61"/>
      <c r="Z132" s="61"/>
    </row>
    <row r="133" spans="1:26" s="182" customFormat="1" ht="12.75">
      <c r="A133" s="62" t="s">
        <v>60</v>
      </c>
      <c r="B133" s="397" t="s">
        <v>61</v>
      </c>
      <c r="C133" s="61" t="s">
        <v>111</v>
      </c>
      <c r="D133" s="61">
        <f>-SUM(D108:D132)</f>
        <v>-155157.7869028729</v>
      </c>
      <c r="E133" s="61">
        <f aca="true" t="shared" si="10" ref="E133">-SUM(E108:E132)</f>
        <v>-155327.14203550993</v>
      </c>
      <c r="F133" s="61"/>
      <c r="G133" s="61"/>
      <c r="H133" s="61"/>
      <c r="I133" s="61"/>
      <c r="J133" s="61"/>
      <c r="K133" s="61"/>
      <c r="L133" s="61"/>
      <c r="M133" s="61"/>
      <c r="N133" s="61"/>
      <c r="O133" s="61"/>
      <c r="P133" s="61"/>
      <c r="Q133" s="61"/>
      <c r="R133" s="61"/>
      <c r="S133" s="61"/>
      <c r="T133" s="61"/>
      <c r="U133" s="61"/>
      <c r="V133" s="61"/>
      <c r="W133" s="61"/>
      <c r="X133" s="61"/>
      <c r="Y133" s="61"/>
      <c r="Z133" s="61"/>
    </row>
    <row r="134" spans="1:26" ht="12.75">
      <c r="A134" s="58" t="s">
        <v>60</v>
      </c>
      <c r="B134" s="175" t="s">
        <v>63</v>
      </c>
      <c r="C134" s="1" t="s">
        <v>116</v>
      </c>
      <c r="D134" s="61">
        <f>+COSA!D12*COSA!$M$22</f>
        <v>124635.4309096928</v>
      </c>
      <c r="E134" s="61">
        <f>+COSA!D58*COSA!M68</f>
        <v>132736.11094853672</v>
      </c>
      <c r="F134" s="2"/>
      <c r="G134" s="2"/>
      <c r="H134" s="2"/>
      <c r="I134" s="2"/>
      <c r="J134" s="2"/>
      <c r="K134" s="2"/>
      <c r="L134" s="2"/>
      <c r="M134" s="2"/>
      <c r="N134" s="2"/>
      <c r="O134" s="2"/>
      <c r="P134" s="2"/>
      <c r="Q134" s="2"/>
      <c r="R134" s="2"/>
      <c r="S134" s="2"/>
      <c r="T134" s="2"/>
      <c r="U134" s="2"/>
      <c r="V134" s="2"/>
      <c r="W134" s="2"/>
      <c r="X134" s="2"/>
      <c r="Y134" s="2"/>
      <c r="Z134" s="2"/>
    </row>
    <row r="135" spans="1:26" ht="12.75">
      <c r="A135" s="58" t="s">
        <v>60</v>
      </c>
      <c r="B135" s="175" t="s">
        <v>63</v>
      </c>
      <c r="C135" s="1" t="s">
        <v>117</v>
      </c>
      <c r="D135" s="61">
        <f>+COSA!D13*COSA!$M$22</f>
        <v>25319.811978027403</v>
      </c>
      <c r="E135" s="61">
        <f>+COSA!D59*COSA!M68</f>
        <v>19666.701790221607</v>
      </c>
      <c r="F135" s="2"/>
      <c r="G135" s="2"/>
      <c r="H135" s="2"/>
      <c r="I135" s="2"/>
      <c r="J135" s="2"/>
      <c r="K135" s="2"/>
      <c r="L135" s="2"/>
      <c r="M135" s="2"/>
      <c r="N135" s="2"/>
      <c r="O135" s="2"/>
      <c r="P135" s="2"/>
      <c r="Q135" s="2"/>
      <c r="R135" s="2"/>
      <c r="S135" s="2"/>
      <c r="T135" s="2"/>
      <c r="U135" s="2"/>
      <c r="V135" s="2"/>
      <c r="W135" s="2"/>
      <c r="X135" s="2"/>
      <c r="Y135" s="2"/>
      <c r="Z135" s="2"/>
    </row>
    <row r="136" spans="1:26" ht="12.75">
      <c r="A136" s="58" t="s">
        <v>60</v>
      </c>
      <c r="B136" s="175" t="s">
        <v>63</v>
      </c>
      <c r="C136" s="1" t="s">
        <v>118</v>
      </c>
      <c r="D136" s="61">
        <f>+COSA!D30*COSA!M22</f>
        <v>2559.7739654739485</v>
      </c>
      <c r="E136" s="61">
        <f>+COSA!D76*COSA!M68</f>
        <v>728.7605607821007</v>
      </c>
      <c r="F136" s="2"/>
      <c r="G136" s="2"/>
      <c r="H136" s="2"/>
      <c r="I136" s="2"/>
      <c r="J136" s="2"/>
      <c r="K136" s="2"/>
      <c r="L136" s="2"/>
      <c r="M136" s="2"/>
      <c r="N136" s="2"/>
      <c r="O136" s="2"/>
      <c r="P136" s="2"/>
      <c r="Q136" s="2"/>
      <c r="R136" s="2"/>
      <c r="S136" s="2"/>
      <c r="T136" s="2"/>
      <c r="U136" s="2"/>
      <c r="V136" s="2"/>
      <c r="W136" s="2"/>
      <c r="X136" s="2"/>
      <c r="Y136" s="2"/>
      <c r="Z136" s="2"/>
    </row>
    <row r="137" spans="1:26" ht="12.75">
      <c r="A137" s="58" t="s">
        <v>60</v>
      </c>
      <c r="B137" s="175" t="s">
        <v>63</v>
      </c>
      <c r="C137" s="1" t="s">
        <v>119</v>
      </c>
      <c r="D137" s="61">
        <f>+COSA!D33*COSA!M22</f>
        <v>2642.770049678735</v>
      </c>
      <c r="E137" s="61">
        <f>+COSA!D79*COSA!M68</f>
        <v>2195.568735969462</v>
      </c>
      <c r="F137" s="2"/>
      <c r="G137" s="2"/>
      <c r="H137" s="2"/>
      <c r="I137" s="2"/>
      <c r="J137" s="2"/>
      <c r="K137" s="2"/>
      <c r="L137" s="2"/>
      <c r="M137" s="2"/>
      <c r="N137" s="2"/>
      <c r="O137" s="2"/>
      <c r="P137" s="2"/>
      <c r="Q137" s="2"/>
      <c r="R137" s="2"/>
      <c r="S137" s="2"/>
      <c r="T137" s="2"/>
      <c r="U137" s="2"/>
      <c r="V137" s="2"/>
      <c r="W137" s="2"/>
      <c r="X137" s="2"/>
      <c r="Y137" s="2"/>
      <c r="Z137" s="2"/>
    </row>
    <row r="138" spans="1:26" ht="12.75">
      <c r="A138" s="58" t="s">
        <v>60</v>
      </c>
      <c r="B138" s="175" t="s">
        <v>64</v>
      </c>
      <c r="C138" s="1" t="s">
        <v>112</v>
      </c>
      <c r="D138" s="61">
        <f aca="true" t="shared" si="11" ref="D138:E138">+D134</f>
        <v>124635.4309096928</v>
      </c>
      <c r="E138" s="61">
        <f t="shared" si="11"/>
        <v>132736.11094853672</v>
      </c>
      <c r="F138" s="2"/>
      <c r="G138" s="2"/>
      <c r="H138" s="2"/>
      <c r="I138" s="2"/>
      <c r="J138" s="2"/>
      <c r="K138" s="2"/>
      <c r="L138" s="2"/>
      <c r="M138" s="2"/>
      <c r="N138" s="2"/>
      <c r="O138" s="2"/>
      <c r="P138" s="2"/>
      <c r="Q138" s="2"/>
      <c r="R138" s="2"/>
      <c r="S138" s="2"/>
      <c r="T138" s="2"/>
      <c r="U138" s="2"/>
      <c r="V138" s="2"/>
      <c r="W138" s="2"/>
      <c r="X138" s="2"/>
      <c r="Y138" s="2"/>
      <c r="Z138" s="2"/>
    </row>
    <row r="139" spans="1:26" ht="12.75">
      <c r="A139" s="58" t="s">
        <v>60</v>
      </c>
      <c r="B139" s="175" t="s">
        <v>64</v>
      </c>
      <c r="C139" s="1" t="s">
        <v>113</v>
      </c>
      <c r="D139" s="61">
        <f aca="true" t="shared" si="12" ref="D139:E139">+D135</f>
        <v>25319.811978027403</v>
      </c>
      <c r="E139" s="61">
        <f t="shared" si="12"/>
        <v>19666.701790221607</v>
      </c>
      <c r="F139" s="2"/>
      <c r="G139" s="2"/>
      <c r="H139" s="2"/>
      <c r="I139" s="2"/>
      <c r="J139" s="2"/>
      <c r="K139" s="2"/>
      <c r="L139" s="2"/>
      <c r="M139" s="2"/>
      <c r="N139" s="2"/>
      <c r="O139" s="2"/>
      <c r="P139" s="2"/>
      <c r="Q139" s="2"/>
      <c r="R139" s="2"/>
      <c r="S139" s="2"/>
      <c r="T139" s="2"/>
      <c r="U139" s="2"/>
      <c r="V139" s="2"/>
      <c r="W139" s="2"/>
      <c r="X139" s="2"/>
      <c r="Y139" s="2"/>
      <c r="Z139" s="2"/>
    </row>
    <row r="140" spans="1:26" ht="12.75">
      <c r="A140" s="58" t="s">
        <v>60</v>
      </c>
      <c r="B140" s="175" t="s">
        <v>64</v>
      </c>
      <c r="C140" s="1" t="s">
        <v>114</v>
      </c>
      <c r="D140" s="61">
        <f aca="true" t="shared" si="13" ref="D140:E140">+D136+D137</f>
        <v>5202.544015152684</v>
      </c>
      <c r="E140" s="61">
        <f t="shared" si="13"/>
        <v>2924.3292967515627</v>
      </c>
      <c r="F140" s="2"/>
      <c r="G140" s="2"/>
      <c r="H140" s="2"/>
      <c r="I140" s="2"/>
      <c r="J140" s="2"/>
      <c r="K140" s="2"/>
      <c r="L140" s="2"/>
      <c r="M140" s="2"/>
      <c r="N140" s="2"/>
      <c r="O140" s="2"/>
      <c r="P140" s="2"/>
      <c r="Q140" s="2"/>
      <c r="R140" s="2"/>
      <c r="S140" s="2"/>
      <c r="T140" s="2"/>
      <c r="U140" s="2"/>
      <c r="V140" s="2"/>
      <c r="W140" s="2"/>
      <c r="X140" s="2"/>
      <c r="Y140" s="2"/>
      <c r="Z140" s="2"/>
    </row>
    <row r="141" spans="1:26" ht="12.75">
      <c r="A141" s="58" t="s">
        <v>60</v>
      </c>
      <c r="B141" s="175" t="s">
        <v>65</v>
      </c>
      <c r="C141" s="1" t="s">
        <v>120</v>
      </c>
      <c r="D141" s="61">
        <f>+COSA!D12-'cost table'!D134</f>
        <v>103623.35599318007</v>
      </c>
      <c r="E141" s="61">
        <f>+COSA!D58-'cost table'!E134</f>
        <v>110238.03108697318</v>
      </c>
      <c r="F141" s="2"/>
      <c r="G141" s="2"/>
      <c r="H141" s="2"/>
      <c r="I141" s="2"/>
      <c r="J141" s="2"/>
      <c r="K141" s="2"/>
      <c r="L141" s="2"/>
      <c r="M141" s="2"/>
      <c r="N141" s="2"/>
      <c r="O141" s="2"/>
      <c r="P141" s="2"/>
      <c r="Q141" s="2"/>
      <c r="R141" s="2"/>
      <c r="S141" s="2"/>
      <c r="T141" s="2"/>
      <c r="U141" s="2"/>
      <c r="V141" s="2"/>
      <c r="W141" s="2"/>
      <c r="X141" s="2"/>
      <c r="Y141" s="2"/>
      <c r="Z141" s="2"/>
    </row>
    <row r="142" spans="1:26" ht="12.75">
      <c r="A142" s="58" t="s">
        <v>60</v>
      </c>
      <c r="B142" s="175" t="s">
        <v>65</v>
      </c>
      <c r="C142" s="1" t="s">
        <v>121</v>
      </c>
      <c r="D142" s="61">
        <f>+COSA!D13-'cost table'!D135</f>
        <v>21051.188021972597</v>
      </c>
      <c r="E142" s="61">
        <f>+COSA!D59-'cost table'!E135</f>
        <v>16333.298209778393</v>
      </c>
      <c r="F142" s="2"/>
      <c r="G142" s="2"/>
      <c r="H142" s="2"/>
      <c r="I142" s="2"/>
      <c r="J142" s="2"/>
      <c r="K142" s="2"/>
      <c r="L142" s="2"/>
      <c r="M142" s="2"/>
      <c r="N142" s="2"/>
      <c r="O142" s="2"/>
      <c r="P142" s="2"/>
      <c r="Q142" s="2"/>
      <c r="R142" s="2"/>
      <c r="S142" s="2"/>
      <c r="T142" s="2"/>
      <c r="U142" s="2"/>
      <c r="V142" s="2"/>
      <c r="W142" s="2"/>
      <c r="X142" s="2"/>
      <c r="Y142" s="2"/>
      <c r="Z142" s="2"/>
    </row>
    <row r="143" spans="1:27" ht="12.75">
      <c r="A143" s="58" t="s">
        <v>60</v>
      </c>
      <c r="B143" s="175" t="s">
        <v>65</v>
      </c>
      <c r="C143" s="1" t="s">
        <v>122</v>
      </c>
      <c r="D143" s="61">
        <f>+COSA!D30-'cost table'!D136</f>
        <v>2128.2260345260515</v>
      </c>
      <c r="E143" s="61">
        <f>+COSA!D76-'cost table'!E136</f>
        <v>605.2394392178993</v>
      </c>
      <c r="F143" s="2"/>
      <c r="G143" s="2"/>
      <c r="H143" s="2"/>
      <c r="I143" s="2"/>
      <c r="J143" s="2"/>
      <c r="K143" s="2"/>
      <c r="L143" s="2"/>
      <c r="M143" s="2"/>
      <c r="N143" s="2"/>
      <c r="O143" s="2"/>
      <c r="P143" s="2"/>
      <c r="Q143" s="2"/>
      <c r="R143" s="2"/>
      <c r="S143" s="2"/>
      <c r="T143" s="2"/>
      <c r="U143" s="2"/>
      <c r="V143" s="2"/>
      <c r="W143" s="2"/>
      <c r="X143" s="2"/>
      <c r="Y143" s="2"/>
      <c r="Z143" s="2"/>
      <c r="AA143" s="182"/>
    </row>
    <row r="144" spans="1:26" ht="12" customHeight="1">
      <c r="A144" s="58" t="s">
        <v>60</v>
      </c>
      <c r="B144" s="175" t="s">
        <v>65</v>
      </c>
      <c r="C144" s="1" t="s">
        <v>123</v>
      </c>
      <c r="D144" s="61">
        <f>+COSA!D35-'cost table'!D137</f>
        <v>2197.229950321265</v>
      </c>
      <c r="E144" s="61">
        <f>+COSA!D81-'cost table'!E137</f>
        <v>1823.431264030538</v>
      </c>
      <c r="F144" s="2"/>
      <c r="G144" s="2"/>
      <c r="H144" s="2"/>
      <c r="I144" s="2"/>
      <c r="J144" s="2"/>
      <c r="K144" s="2"/>
      <c r="L144" s="2"/>
      <c r="M144" s="2"/>
      <c r="N144" s="2"/>
      <c r="O144" s="2"/>
      <c r="P144" s="2"/>
      <c r="Q144" s="2"/>
      <c r="R144" s="2"/>
      <c r="S144" s="2"/>
      <c r="T144" s="2"/>
      <c r="U144" s="2"/>
      <c r="V144" s="2"/>
      <c r="W144" s="2"/>
      <c r="X144" s="2"/>
      <c r="Y144" s="2"/>
      <c r="Z144" s="2"/>
    </row>
    <row r="145" spans="1:26" ht="12" customHeight="1">
      <c r="A145" s="58" t="s">
        <v>60</v>
      </c>
      <c r="B145" s="175" t="s">
        <v>66</v>
      </c>
      <c r="C145" s="1" t="s">
        <v>124</v>
      </c>
      <c r="D145" s="61">
        <f aca="true" t="shared" si="14" ref="D145:E145">+D141</f>
        <v>103623.35599318007</v>
      </c>
      <c r="E145" s="61">
        <f t="shared" si="14"/>
        <v>110238.03108697318</v>
      </c>
      <c r="F145" s="2"/>
      <c r="G145" s="2"/>
      <c r="H145" s="2"/>
      <c r="I145" s="2"/>
      <c r="J145" s="2"/>
      <c r="K145" s="2"/>
      <c r="L145" s="2"/>
      <c r="M145" s="2"/>
      <c r="N145" s="2"/>
      <c r="O145" s="2"/>
      <c r="P145" s="2"/>
      <c r="Q145" s="2"/>
      <c r="R145" s="2"/>
      <c r="S145" s="2"/>
      <c r="T145" s="2"/>
      <c r="U145" s="2"/>
      <c r="V145" s="2"/>
      <c r="W145" s="2"/>
      <c r="X145" s="2"/>
      <c r="Y145" s="2"/>
      <c r="Z145" s="2"/>
    </row>
    <row r="146" spans="1:26" ht="12" customHeight="1">
      <c r="A146" s="58" t="s">
        <v>60</v>
      </c>
      <c r="B146" s="175" t="s">
        <v>66</v>
      </c>
      <c r="C146" s="1" t="s">
        <v>125</v>
      </c>
      <c r="D146" s="61">
        <f aca="true" t="shared" si="15" ref="D146:E146">+D142</f>
        <v>21051.188021972597</v>
      </c>
      <c r="E146" s="61">
        <f t="shared" si="15"/>
        <v>16333.298209778393</v>
      </c>
      <c r="F146" s="2"/>
      <c r="G146" s="2"/>
      <c r="H146" s="2"/>
      <c r="I146" s="2"/>
      <c r="J146" s="2"/>
      <c r="K146" s="2"/>
      <c r="L146" s="2"/>
      <c r="M146" s="2"/>
      <c r="N146" s="2"/>
      <c r="O146" s="2"/>
      <c r="P146" s="2"/>
      <c r="Q146" s="2"/>
      <c r="R146" s="2"/>
      <c r="S146" s="2"/>
      <c r="T146" s="2"/>
      <c r="U146" s="2"/>
      <c r="V146" s="2"/>
      <c r="W146" s="2"/>
      <c r="X146" s="2"/>
      <c r="Y146" s="2"/>
      <c r="Z146" s="2"/>
    </row>
    <row r="147" spans="1:26" ht="12" customHeight="1">
      <c r="A147" s="58" t="s">
        <v>60</v>
      </c>
      <c r="B147" s="175" t="s">
        <v>66</v>
      </c>
      <c r="C147" s="1" t="s">
        <v>126</v>
      </c>
      <c r="D147" s="61">
        <f aca="true" t="shared" si="16" ref="D147:E147">+D143+D144</f>
        <v>4325.455984847316</v>
      </c>
      <c r="E147" s="61">
        <f t="shared" si="16"/>
        <v>2428.6707032484373</v>
      </c>
      <c r="F147" s="2"/>
      <c r="G147" s="2"/>
      <c r="H147" s="2"/>
      <c r="I147" s="2"/>
      <c r="J147" s="2"/>
      <c r="K147" s="2"/>
      <c r="L147" s="2"/>
      <c r="M147" s="2"/>
      <c r="N147" s="2"/>
      <c r="O147" s="2"/>
      <c r="P147" s="2"/>
      <c r="Q147" s="2"/>
      <c r="R147" s="2"/>
      <c r="S147" s="2"/>
      <c r="T147" s="2"/>
      <c r="U147" s="2"/>
      <c r="V147" s="2"/>
      <c r="W147" s="2"/>
      <c r="X147" s="2"/>
      <c r="Y147" s="2"/>
      <c r="Z147" s="2"/>
    </row>
    <row r="148" spans="1:26" ht="12" customHeight="1">
      <c r="A148" s="64"/>
      <c r="B148" s="175"/>
      <c r="C148" s="1"/>
      <c r="D148" s="61"/>
      <c r="E148" s="61"/>
      <c r="F148" s="2"/>
      <c r="G148" s="2"/>
      <c r="H148" s="2"/>
      <c r="I148" s="2"/>
      <c r="J148" s="2"/>
      <c r="K148" s="2"/>
      <c r="L148" s="2"/>
      <c r="M148" s="2"/>
      <c r="N148" s="2"/>
      <c r="O148" s="2"/>
      <c r="P148" s="2"/>
      <c r="Q148" s="2"/>
      <c r="R148" s="2"/>
      <c r="S148" s="2"/>
      <c r="T148" s="2"/>
      <c r="U148" s="2"/>
      <c r="V148" s="2"/>
      <c r="W148" s="2"/>
      <c r="X148" s="2"/>
      <c r="Y148" s="2"/>
      <c r="Z148" s="2"/>
    </row>
    <row r="149" spans="1:26" ht="12" customHeight="1">
      <c r="A149" s="64"/>
      <c r="B149" s="175"/>
      <c r="C149" s="1"/>
      <c r="D149" s="61"/>
      <c r="E149" s="61"/>
      <c r="F149" s="2"/>
      <c r="G149" s="2"/>
      <c r="H149" s="2"/>
      <c r="I149" s="2"/>
      <c r="J149" s="2"/>
      <c r="K149" s="2"/>
      <c r="L149" s="2"/>
      <c r="M149" s="2"/>
      <c r="N149" s="2"/>
      <c r="O149" s="2"/>
      <c r="P149" s="2"/>
      <c r="Q149" s="2"/>
      <c r="R149" s="2"/>
      <c r="S149" s="2"/>
      <c r="T149" s="2"/>
      <c r="U149" s="2"/>
      <c r="V149" s="2"/>
      <c r="W149" s="2"/>
      <c r="X149" s="2"/>
      <c r="Y149" s="2"/>
      <c r="Z149" s="2"/>
    </row>
    <row r="150" spans="1:26" ht="12" customHeight="1">
      <c r="A150" s="64"/>
      <c r="B150" s="175"/>
      <c r="C150" s="1"/>
      <c r="D150" s="61"/>
      <c r="E150" s="61"/>
      <c r="F150" s="2"/>
      <c r="G150" s="2"/>
      <c r="H150" s="2"/>
      <c r="I150" s="2"/>
      <c r="J150" s="2"/>
      <c r="K150" s="2"/>
      <c r="L150" s="2"/>
      <c r="M150" s="2"/>
      <c r="N150" s="2"/>
      <c r="O150" s="2"/>
      <c r="P150" s="2"/>
      <c r="Q150" s="2"/>
      <c r="R150" s="2"/>
      <c r="S150" s="2"/>
      <c r="T150" s="2"/>
      <c r="U150" s="2"/>
      <c r="V150" s="2"/>
      <c r="W150" s="2"/>
      <c r="X150" s="2"/>
      <c r="Y150" s="2"/>
      <c r="Z150" s="2"/>
    </row>
    <row r="151" spans="1:26" ht="12" customHeight="1">
      <c r="A151" s="64"/>
      <c r="B151" s="175"/>
      <c r="C151" s="1"/>
      <c r="D151" s="61"/>
      <c r="E151" s="61"/>
      <c r="F151" s="2"/>
      <c r="G151" s="2"/>
      <c r="H151" s="2"/>
      <c r="I151" s="2"/>
      <c r="J151" s="2"/>
      <c r="K151" s="2"/>
      <c r="L151" s="2"/>
      <c r="M151" s="2"/>
      <c r="N151" s="2"/>
      <c r="O151" s="2"/>
      <c r="P151" s="2"/>
      <c r="Q151" s="2"/>
      <c r="R151" s="2"/>
      <c r="S151" s="2"/>
      <c r="T151" s="2"/>
      <c r="U151" s="2"/>
      <c r="V151" s="2"/>
      <c r="W151" s="2"/>
      <c r="X151" s="2"/>
      <c r="Y151" s="2"/>
      <c r="Z151" s="2"/>
    </row>
    <row r="152" spans="1:9" ht="12" customHeight="1">
      <c r="A152" s="399"/>
      <c r="B152" s="1"/>
      <c r="C152" s="1"/>
      <c r="D152" s="61"/>
      <c r="E152" s="61"/>
      <c r="F152" s="2"/>
      <c r="G152" s="2"/>
      <c r="H152" s="2"/>
      <c r="I152" s="2"/>
    </row>
    <row r="153" spans="1:9" ht="12" customHeight="1">
      <c r="A153" s="399"/>
      <c r="B153" s="1"/>
      <c r="C153" s="1"/>
      <c r="D153" s="61"/>
      <c r="E153" s="61"/>
      <c r="F153" s="2"/>
      <c r="G153" s="2"/>
      <c r="H153" s="2"/>
      <c r="I153" s="2"/>
    </row>
    <row r="154" spans="1:9" ht="12" customHeight="1">
      <c r="A154" s="399"/>
      <c r="B154" s="1"/>
      <c r="C154" s="1"/>
      <c r="D154" s="61"/>
      <c r="E154" s="61"/>
      <c r="F154" s="2"/>
      <c r="G154" s="2"/>
      <c r="H154" s="2"/>
      <c r="I154" s="2"/>
    </row>
    <row r="155" spans="1:9" ht="12" customHeight="1">
      <c r="A155" s="399"/>
      <c r="B155" s="1"/>
      <c r="C155" s="1"/>
      <c r="D155" s="61"/>
      <c r="E155" s="61"/>
      <c r="F155" s="2"/>
      <c r="G155" s="2"/>
      <c r="H155" s="2"/>
      <c r="I155" s="2"/>
    </row>
    <row r="156" spans="1:9" ht="12" customHeight="1">
      <c r="A156" s="399"/>
      <c r="B156" s="1"/>
      <c r="C156" s="1"/>
      <c r="D156" s="61"/>
      <c r="E156" s="61"/>
      <c r="F156" s="2"/>
      <c r="G156" s="2"/>
      <c r="H156" s="2"/>
      <c r="I156" s="2"/>
    </row>
    <row r="157" spans="1:9" ht="12" customHeight="1">
      <c r="A157" s="399"/>
      <c r="B157" s="1"/>
      <c r="C157" s="1"/>
      <c r="D157" s="61"/>
      <c r="E157" s="61"/>
      <c r="F157" s="2"/>
      <c r="G157" s="2"/>
      <c r="H157" s="2"/>
      <c r="I157" s="2"/>
    </row>
    <row r="158" spans="1:9" ht="12" customHeight="1">
      <c r="A158" s="399"/>
      <c r="B158" s="1"/>
      <c r="C158" s="1"/>
      <c r="D158" s="61"/>
      <c r="E158" s="61"/>
      <c r="F158" s="2"/>
      <c r="G158" s="2"/>
      <c r="H158" s="2"/>
      <c r="I158" s="2"/>
    </row>
    <row r="159" spans="1:9" ht="12" customHeight="1">
      <c r="A159" s="399"/>
      <c r="B159" s="1"/>
      <c r="C159" s="1"/>
      <c r="D159" s="61"/>
      <c r="E159" s="61"/>
      <c r="F159" s="2"/>
      <c r="G159" s="2"/>
      <c r="H159" s="2"/>
      <c r="I159" s="2"/>
    </row>
    <row r="160" spans="1:9" ht="12" customHeight="1">
      <c r="A160" s="399"/>
      <c r="B160" s="1"/>
      <c r="C160" s="1"/>
      <c r="D160" s="61"/>
      <c r="E160" s="61"/>
      <c r="F160" s="2"/>
      <c r="G160" s="2"/>
      <c r="H160" s="2"/>
      <c r="I160" s="2"/>
    </row>
    <row r="161" spans="1:9" ht="12" customHeight="1">
      <c r="A161" s="399"/>
      <c r="B161" s="1"/>
      <c r="C161" s="1"/>
      <c r="D161" s="61"/>
      <c r="E161" s="61"/>
      <c r="F161" s="2"/>
      <c r="G161" s="2"/>
      <c r="H161" s="2"/>
      <c r="I161" s="2"/>
    </row>
    <row r="162" spans="1:9" ht="12" customHeight="1">
      <c r="A162" s="399"/>
      <c r="B162" s="1"/>
      <c r="C162" s="1"/>
      <c r="D162" s="61"/>
      <c r="E162" s="61"/>
      <c r="F162" s="2"/>
      <c r="G162" s="2"/>
      <c r="H162" s="2"/>
      <c r="I162" s="2"/>
    </row>
    <row r="163" spans="1:9" ht="12" customHeight="1">
      <c r="A163" s="399"/>
      <c r="B163" s="1"/>
      <c r="C163" s="1"/>
      <c r="D163" s="61"/>
      <c r="E163" s="61"/>
      <c r="F163" s="2"/>
      <c r="G163" s="2"/>
      <c r="H163" s="2"/>
      <c r="I163" s="2"/>
    </row>
    <row r="164" spans="1:9" ht="12" customHeight="1">
      <c r="A164" s="399"/>
      <c r="B164" s="1"/>
      <c r="C164" s="1"/>
      <c r="D164" s="61"/>
      <c r="E164" s="61"/>
      <c r="F164" s="2"/>
      <c r="G164" s="2"/>
      <c r="H164" s="2"/>
      <c r="I164" s="2"/>
    </row>
    <row r="165" spans="1:9" ht="12" customHeight="1">
      <c r="A165" s="399"/>
      <c r="B165" s="1"/>
      <c r="C165" s="1"/>
      <c r="D165" s="61"/>
      <c r="E165" s="61"/>
      <c r="F165" s="2"/>
      <c r="G165" s="2"/>
      <c r="H165" s="2"/>
      <c r="I165" s="2"/>
    </row>
    <row r="166" spans="1:9" ht="12" customHeight="1">
      <c r="A166" s="399"/>
      <c r="B166" s="1"/>
      <c r="C166" s="1"/>
      <c r="D166" s="61"/>
      <c r="E166" s="61"/>
      <c r="F166" s="2"/>
      <c r="G166" s="2"/>
      <c r="H166" s="2"/>
      <c r="I166" s="2"/>
    </row>
    <row r="167" spans="1:9" ht="12" customHeight="1">
      <c r="A167" s="399"/>
      <c r="B167" s="1"/>
      <c r="C167" s="1"/>
      <c r="D167" s="61"/>
      <c r="E167" s="61"/>
      <c r="F167" s="2"/>
      <c r="G167" s="2"/>
      <c r="H167" s="2"/>
      <c r="I167" s="2"/>
    </row>
    <row r="168" spans="1:9" ht="12" customHeight="1">
      <c r="A168" s="399"/>
      <c r="B168" s="1"/>
      <c r="C168" s="1"/>
      <c r="D168" s="61"/>
      <c r="E168" s="61"/>
      <c r="F168" s="2"/>
      <c r="G168" s="2"/>
      <c r="H168" s="2"/>
      <c r="I168" s="2"/>
    </row>
    <row r="169" spans="1:9" ht="12" customHeight="1">
      <c r="A169" s="399"/>
      <c r="B169" s="1"/>
      <c r="C169" s="1"/>
      <c r="D169" s="61"/>
      <c r="E169" s="61"/>
      <c r="F169" s="2"/>
      <c r="G169" s="2"/>
      <c r="H169" s="2"/>
      <c r="I169" s="2"/>
    </row>
    <row r="170" spans="1:9" ht="12" customHeight="1">
      <c r="A170" s="399"/>
      <c r="B170" s="1"/>
      <c r="C170" s="1"/>
      <c r="D170" s="61"/>
      <c r="E170" s="61"/>
      <c r="F170" s="2"/>
      <c r="G170" s="2"/>
      <c r="H170" s="2"/>
      <c r="I170" s="2"/>
    </row>
    <row r="171" spans="1:9" ht="12" customHeight="1">
      <c r="A171" s="399"/>
      <c r="B171" s="1"/>
      <c r="C171" s="1"/>
      <c r="D171" s="61"/>
      <c r="E171" s="61"/>
      <c r="F171" s="2"/>
      <c r="G171" s="2"/>
      <c r="H171" s="2"/>
      <c r="I171" s="2"/>
    </row>
    <row r="172" spans="1:9" ht="12" customHeight="1">
      <c r="A172" s="399"/>
      <c r="B172" s="1"/>
      <c r="C172" s="1"/>
      <c r="D172" s="61"/>
      <c r="E172" s="61"/>
      <c r="F172" s="2"/>
      <c r="G172" s="2"/>
      <c r="H172" s="2"/>
      <c r="I172" s="2"/>
    </row>
    <row r="173" spans="1:9" ht="12" customHeight="1">
      <c r="A173" s="399"/>
      <c r="B173" s="1"/>
      <c r="C173" s="1"/>
      <c r="D173" s="61"/>
      <c r="E173" s="61"/>
      <c r="F173" s="2"/>
      <c r="G173" s="2"/>
      <c r="H173" s="2"/>
      <c r="I173" s="2"/>
    </row>
    <row r="174" spans="1:9" ht="12" customHeight="1">
      <c r="A174" s="399"/>
      <c r="B174" s="1"/>
      <c r="C174" s="1"/>
      <c r="D174" s="61"/>
      <c r="E174" s="61"/>
      <c r="F174" s="2"/>
      <c r="G174" s="2"/>
      <c r="H174" s="2"/>
      <c r="I174" s="2"/>
    </row>
    <row r="175" spans="1:9" ht="12" customHeight="1">
      <c r="A175" s="399"/>
      <c r="B175" s="1"/>
      <c r="C175" s="1"/>
      <c r="D175" s="61"/>
      <c r="E175" s="61"/>
      <c r="F175" s="2"/>
      <c r="G175" s="2"/>
      <c r="H175" s="2"/>
      <c r="I175" s="2"/>
    </row>
    <row r="176" spans="1:9" ht="12" customHeight="1">
      <c r="A176" s="399"/>
      <c r="B176" s="1"/>
      <c r="C176" s="1"/>
      <c r="D176" s="61"/>
      <c r="E176" s="61"/>
      <c r="F176" s="2"/>
      <c r="G176" s="2"/>
      <c r="H176" s="2"/>
      <c r="I176" s="2"/>
    </row>
    <row r="177" spans="1:9" ht="12" customHeight="1">
      <c r="A177" s="399"/>
      <c r="B177" s="1"/>
      <c r="C177" s="1"/>
      <c r="D177" s="61"/>
      <c r="E177" s="61"/>
      <c r="F177" s="2"/>
      <c r="G177" s="2"/>
      <c r="H177" s="2"/>
      <c r="I177" s="2"/>
    </row>
    <row r="178" spans="1:9" ht="12" customHeight="1">
      <c r="A178" s="399"/>
      <c r="B178" s="1"/>
      <c r="C178" s="1"/>
      <c r="D178" s="61"/>
      <c r="E178" s="61"/>
      <c r="F178" s="2"/>
      <c r="G178" s="2"/>
      <c r="H178" s="2"/>
      <c r="I178" s="2"/>
    </row>
    <row r="179" spans="1:9" ht="12" customHeight="1">
      <c r="A179" s="399"/>
      <c r="B179" s="1"/>
      <c r="C179" s="1"/>
      <c r="D179" s="61"/>
      <c r="E179" s="61"/>
      <c r="F179" s="2"/>
      <c r="G179" s="2"/>
      <c r="H179" s="2"/>
      <c r="I179" s="2"/>
    </row>
    <row r="180" spans="1:9" ht="12" customHeight="1">
      <c r="A180" s="399"/>
      <c r="B180" s="1"/>
      <c r="C180" s="1"/>
      <c r="D180" s="61"/>
      <c r="E180" s="61"/>
      <c r="F180" s="2"/>
      <c r="G180" s="2"/>
      <c r="H180" s="2"/>
      <c r="I180" s="2"/>
    </row>
    <row r="181" spans="1:9" ht="12" customHeight="1">
      <c r="A181" s="399"/>
      <c r="B181" s="1"/>
      <c r="C181" s="1"/>
      <c r="D181" s="61"/>
      <c r="E181" s="61"/>
      <c r="F181" s="2"/>
      <c r="G181" s="2"/>
      <c r="H181" s="2"/>
      <c r="I181" s="2"/>
    </row>
    <row r="182" spans="1:9" ht="12" customHeight="1">
      <c r="A182" s="399"/>
      <c r="B182" s="1"/>
      <c r="C182" s="1"/>
      <c r="D182" s="61"/>
      <c r="E182" s="61"/>
      <c r="F182" s="2"/>
      <c r="G182" s="2"/>
      <c r="H182" s="2"/>
      <c r="I182" s="2"/>
    </row>
    <row r="183" spans="1:9" ht="12" customHeight="1">
      <c r="A183" s="399"/>
      <c r="B183" s="1"/>
      <c r="C183" s="1"/>
      <c r="D183" s="61"/>
      <c r="E183" s="61"/>
      <c r="F183" s="2"/>
      <c r="G183" s="2"/>
      <c r="H183" s="2"/>
      <c r="I183" s="2"/>
    </row>
    <row r="184" spans="1:9" ht="12" customHeight="1">
      <c r="A184" s="399"/>
      <c r="B184" s="1"/>
      <c r="C184" s="1"/>
      <c r="D184" s="61"/>
      <c r="E184" s="61"/>
      <c r="F184" s="2"/>
      <c r="G184" s="2"/>
      <c r="H184" s="2"/>
      <c r="I184" s="2"/>
    </row>
    <row r="185" spans="1:9" ht="12" customHeight="1">
      <c r="A185" s="399"/>
      <c r="B185" s="1"/>
      <c r="C185" s="1"/>
      <c r="D185" s="61"/>
      <c r="E185" s="61"/>
      <c r="F185" s="2"/>
      <c r="G185" s="2"/>
      <c r="H185" s="2"/>
      <c r="I185" s="2"/>
    </row>
    <row r="186" spans="1:9" ht="12" customHeight="1">
      <c r="A186" s="399"/>
      <c r="B186" s="1"/>
      <c r="C186" s="1"/>
      <c r="D186" s="61"/>
      <c r="E186" s="61"/>
      <c r="F186" s="2"/>
      <c r="G186" s="2"/>
      <c r="H186" s="2"/>
      <c r="I186" s="2"/>
    </row>
    <row r="187" spans="1:9" ht="12" customHeight="1">
      <c r="A187" s="399"/>
      <c r="B187" s="1"/>
      <c r="C187" s="1"/>
      <c r="D187" s="61"/>
      <c r="E187" s="61"/>
      <c r="F187" s="2"/>
      <c r="G187" s="2"/>
      <c r="H187" s="2"/>
      <c r="I187" s="2"/>
    </row>
    <row r="188" spans="1:9" ht="12" customHeight="1">
      <c r="A188" s="399"/>
      <c r="B188" s="1"/>
      <c r="C188" s="1"/>
      <c r="D188" s="61"/>
      <c r="E188" s="61"/>
      <c r="F188" s="2"/>
      <c r="G188" s="2"/>
      <c r="H188" s="2"/>
      <c r="I188" s="2"/>
    </row>
    <row r="189" spans="1:9" ht="12" customHeight="1">
      <c r="A189" s="399"/>
      <c r="B189" s="1"/>
      <c r="C189" s="1"/>
      <c r="D189" s="61"/>
      <c r="E189" s="61"/>
      <c r="F189" s="2"/>
      <c r="G189" s="2"/>
      <c r="H189" s="2"/>
      <c r="I189" s="2"/>
    </row>
    <row r="190" spans="1:9" ht="12" customHeight="1">
      <c r="A190" s="399"/>
      <c r="B190" s="1"/>
      <c r="C190" s="1"/>
      <c r="D190" s="61"/>
      <c r="E190" s="61"/>
      <c r="F190" s="2"/>
      <c r="G190" s="2"/>
      <c r="H190" s="2"/>
      <c r="I190" s="2"/>
    </row>
    <row r="191" spans="1:9" ht="12" customHeight="1">
      <c r="A191" s="399"/>
      <c r="B191" s="1"/>
      <c r="C191" s="1"/>
      <c r="D191" s="61"/>
      <c r="E191" s="61"/>
      <c r="F191" s="2"/>
      <c r="G191" s="2"/>
      <c r="H191" s="2"/>
      <c r="I191" s="2"/>
    </row>
    <row r="192" spans="1:9" ht="12" customHeight="1">
      <c r="A192" s="399"/>
      <c r="B192" s="1"/>
      <c r="C192" s="1"/>
      <c r="D192" s="61"/>
      <c r="E192" s="61"/>
      <c r="F192" s="2"/>
      <c r="G192" s="2"/>
      <c r="H192" s="2"/>
      <c r="I192" s="2"/>
    </row>
    <row r="193" spans="1:9" ht="12" customHeight="1">
      <c r="A193" s="399"/>
      <c r="B193" s="1"/>
      <c r="C193" s="1"/>
      <c r="D193" s="61"/>
      <c r="E193" s="61"/>
      <c r="F193" s="2"/>
      <c r="G193" s="2"/>
      <c r="H193" s="2"/>
      <c r="I193" s="2"/>
    </row>
    <row r="194" spans="1:9" ht="12" customHeight="1">
      <c r="A194" s="399"/>
      <c r="B194" s="1"/>
      <c r="C194" s="1"/>
      <c r="D194" s="61"/>
      <c r="E194" s="61"/>
      <c r="F194" s="2"/>
      <c r="G194" s="2"/>
      <c r="H194" s="2"/>
      <c r="I194" s="2"/>
    </row>
    <row r="195" spans="1:9" ht="12" customHeight="1">
      <c r="A195" s="399"/>
      <c r="B195" s="1"/>
      <c r="C195" s="1"/>
      <c r="D195" s="61"/>
      <c r="E195" s="61"/>
      <c r="F195" s="2"/>
      <c r="G195" s="2"/>
      <c r="H195" s="2"/>
      <c r="I195" s="2"/>
    </row>
    <row r="196" spans="1:9" ht="12" customHeight="1">
      <c r="A196" s="399"/>
      <c r="B196" s="1"/>
      <c r="C196" s="1"/>
      <c r="D196" s="61"/>
      <c r="E196" s="61"/>
      <c r="F196" s="2"/>
      <c r="G196" s="2"/>
      <c r="H196" s="2"/>
      <c r="I196" s="2"/>
    </row>
    <row r="197" spans="1:9" ht="12" customHeight="1">
      <c r="A197" s="399"/>
      <c r="B197" s="1"/>
      <c r="C197" s="1"/>
      <c r="D197" s="61"/>
      <c r="E197" s="61"/>
      <c r="F197" s="2"/>
      <c r="G197" s="2"/>
      <c r="H197" s="2"/>
      <c r="I197" s="2"/>
    </row>
    <row r="198" spans="1:9" ht="12" customHeight="1">
      <c r="A198" s="399"/>
      <c r="B198" s="1"/>
      <c r="C198" s="1"/>
      <c r="D198" s="61"/>
      <c r="E198" s="61"/>
      <c r="F198" s="2"/>
      <c r="G198" s="2"/>
      <c r="H198" s="2"/>
      <c r="I198" s="2"/>
    </row>
    <row r="199" spans="1:9" ht="12" customHeight="1">
      <c r="A199" s="399"/>
      <c r="B199" s="1"/>
      <c r="C199" s="1"/>
      <c r="D199" s="61"/>
      <c r="E199" s="61"/>
      <c r="F199" s="2"/>
      <c r="G199" s="2"/>
      <c r="H199" s="2"/>
      <c r="I199" s="2"/>
    </row>
    <row r="200" spans="1:9" ht="12" customHeight="1">
      <c r="A200" s="399"/>
      <c r="B200" s="1"/>
      <c r="C200" s="1"/>
      <c r="D200" s="61"/>
      <c r="E200" s="61"/>
      <c r="F200" s="2"/>
      <c r="G200" s="2"/>
      <c r="H200" s="2"/>
      <c r="I200" s="2"/>
    </row>
    <row r="201" spans="1:9" ht="12" customHeight="1">
      <c r="A201" s="399"/>
      <c r="B201" s="1"/>
      <c r="C201" s="1"/>
      <c r="D201" s="61"/>
      <c r="E201" s="61"/>
      <c r="F201" s="2"/>
      <c r="G201" s="2"/>
      <c r="H201" s="2"/>
      <c r="I201" s="2"/>
    </row>
    <row r="202" spans="1:9" ht="12" customHeight="1">
      <c r="A202" s="399"/>
      <c r="B202" s="1"/>
      <c r="C202" s="1"/>
      <c r="D202" s="61"/>
      <c r="E202" s="61"/>
      <c r="F202" s="2"/>
      <c r="G202" s="2"/>
      <c r="H202" s="2"/>
      <c r="I202" s="2"/>
    </row>
    <row r="203" spans="1:9" ht="12" customHeight="1">
      <c r="A203" s="399"/>
      <c r="B203" s="1"/>
      <c r="C203" s="1"/>
      <c r="D203" s="61"/>
      <c r="E203" s="61"/>
      <c r="F203" s="2"/>
      <c r="G203" s="2"/>
      <c r="H203" s="2"/>
      <c r="I203" s="2"/>
    </row>
    <row r="204" spans="1:9" ht="12" customHeight="1">
      <c r="A204" s="399"/>
      <c r="B204" s="1"/>
      <c r="C204" s="1"/>
      <c r="D204" s="61"/>
      <c r="E204" s="61"/>
      <c r="F204" s="2"/>
      <c r="G204" s="2"/>
      <c r="H204" s="2"/>
      <c r="I204" s="2"/>
    </row>
    <row r="205" spans="1:9" ht="12" customHeight="1">
      <c r="A205" s="399"/>
      <c r="B205" s="1"/>
      <c r="C205" s="1"/>
      <c r="D205" s="61"/>
      <c r="E205" s="61"/>
      <c r="F205" s="2"/>
      <c r="G205" s="2"/>
      <c r="H205" s="2"/>
      <c r="I205" s="2"/>
    </row>
    <row r="206" spans="1:9" ht="12" customHeight="1">
      <c r="A206" s="399"/>
      <c r="B206" s="1"/>
      <c r="C206" s="1"/>
      <c r="D206" s="61"/>
      <c r="E206" s="61"/>
      <c r="F206" s="2"/>
      <c r="G206" s="2"/>
      <c r="H206" s="2"/>
      <c r="I206" s="2"/>
    </row>
    <row r="207" spans="1:9" ht="12" customHeight="1">
      <c r="A207" s="399"/>
      <c r="B207" s="1"/>
      <c r="C207" s="1"/>
      <c r="D207" s="61"/>
      <c r="E207" s="61"/>
      <c r="F207" s="2"/>
      <c r="G207" s="2"/>
      <c r="H207" s="2"/>
      <c r="I207" s="2"/>
    </row>
    <row r="208" spans="1:9" ht="12" customHeight="1">
      <c r="A208" s="399"/>
      <c r="B208" s="1"/>
      <c r="C208" s="1"/>
      <c r="D208" s="61"/>
      <c r="E208" s="61"/>
      <c r="F208" s="2"/>
      <c r="G208" s="2"/>
      <c r="H208" s="2"/>
      <c r="I208" s="2"/>
    </row>
    <row r="209" spans="1:9" ht="12" customHeight="1">
      <c r="A209" s="399"/>
      <c r="B209" s="1"/>
      <c r="C209" s="1"/>
      <c r="D209" s="61"/>
      <c r="E209" s="61"/>
      <c r="F209" s="2"/>
      <c r="G209" s="2"/>
      <c r="H209" s="2"/>
      <c r="I209" s="2"/>
    </row>
    <row r="210" spans="1:9" ht="12" customHeight="1">
      <c r="A210" s="399"/>
      <c r="B210" s="1"/>
      <c r="C210" s="1"/>
      <c r="D210" s="61"/>
      <c r="E210" s="61"/>
      <c r="F210" s="2"/>
      <c r="G210" s="2"/>
      <c r="H210" s="2"/>
      <c r="I210" s="2"/>
    </row>
    <row r="211" spans="1:9" ht="12" customHeight="1">
      <c r="A211" s="399"/>
      <c r="B211" s="1"/>
      <c r="C211" s="1"/>
      <c r="D211" s="61"/>
      <c r="E211" s="61"/>
      <c r="F211" s="2"/>
      <c r="G211" s="2"/>
      <c r="H211" s="2"/>
      <c r="I211" s="2"/>
    </row>
    <row r="212" spans="1:9" ht="12" customHeight="1">
      <c r="A212" s="399"/>
      <c r="B212" s="1"/>
      <c r="C212" s="1"/>
      <c r="D212" s="61"/>
      <c r="E212" s="61"/>
      <c r="F212" s="2"/>
      <c r="G212" s="2"/>
      <c r="H212" s="2"/>
      <c r="I212" s="2"/>
    </row>
    <row r="213" spans="1:9" ht="12" customHeight="1">
      <c r="A213" s="399"/>
      <c r="B213" s="1"/>
      <c r="C213" s="1"/>
      <c r="D213" s="61"/>
      <c r="E213" s="61"/>
      <c r="F213" s="2"/>
      <c r="G213" s="2"/>
      <c r="H213" s="2"/>
      <c r="I213" s="2"/>
    </row>
    <row r="214" spans="1:9" ht="12" customHeight="1">
      <c r="A214" s="399"/>
      <c r="B214" s="1"/>
      <c r="C214" s="1"/>
      <c r="D214" s="61"/>
      <c r="E214" s="61"/>
      <c r="F214" s="2"/>
      <c r="G214" s="2"/>
      <c r="H214" s="2"/>
      <c r="I214" s="2"/>
    </row>
    <row r="215" spans="1:9" ht="12" customHeight="1">
      <c r="A215" s="399"/>
      <c r="B215" s="1"/>
      <c r="C215" s="1"/>
      <c r="D215" s="61"/>
      <c r="E215" s="61"/>
      <c r="F215" s="2"/>
      <c r="G215" s="2"/>
      <c r="H215" s="2"/>
      <c r="I215" s="2"/>
    </row>
    <row r="216" spans="1:9" ht="12" customHeight="1">
      <c r="A216" s="399"/>
      <c r="B216" s="1"/>
      <c r="C216" s="1"/>
      <c r="D216" s="61"/>
      <c r="E216" s="61"/>
      <c r="F216" s="2"/>
      <c r="G216" s="2"/>
      <c r="H216" s="2"/>
      <c r="I216" s="2"/>
    </row>
    <row r="217" spans="1:9" ht="12" customHeight="1">
      <c r="A217" s="399"/>
      <c r="B217" s="1"/>
      <c r="C217" s="1"/>
      <c r="D217" s="61"/>
      <c r="E217" s="61"/>
      <c r="F217" s="2"/>
      <c r="G217" s="2"/>
      <c r="H217" s="2"/>
      <c r="I217" s="2"/>
    </row>
    <row r="218" spans="1:9" ht="12" customHeight="1">
      <c r="A218" s="399"/>
      <c r="B218" s="1"/>
      <c r="C218" s="1"/>
      <c r="D218" s="61"/>
      <c r="E218" s="61"/>
      <c r="F218" s="2"/>
      <c r="G218" s="2"/>
      <c r="H218" s="2"/>
      <c r="I218" s="2"/>
    </row>
    <row r="219" spans="1:9" ht="12" customHeight="1">
      <c r="A219" s="399"/>
      <c r="B219" s="1"/>
      <c r="C219" s="1"/>
      <c r="D219" s="61"/>
      <c r="E219" s="61"/>
      <c r="F219" s="2"/>
      <c r="G219" s="2"/>
      <c r="H219" s="2"/>
      <c r="I219" s="2"/>
    </row>
    <row r="220" spans="1:9" ht="12" customHeight="1">
      <c r="A220" s="399"/>
      <c r="B220" s="1"/>
      <c r="C220" s="1"/>
      <c r="D220" s="61"/>
      <c r="E220" s="61"/>
      <c r="F220" s="2"/>
      <c r="G220" s="2"/>
      <c r="H220" s="2"/>
      <c r="I220" s="2"/>
    </row>
    <row r="221" spans="1:9" ht="12" customHeight="1">
      <c r="A221" s="399"/>
      <c r="B221" s="1"/>
      <c r="C221" s="1"/>
      <c r="D221" s="61"/>
      <c r="E221" s="61"/>
      <c r="F221" s="2"/>
      <c r="G221" s="2"/>
      <c r="H221" s="2"/>
      <c r="I221" s="2"/>
    </row>
    <row r="222" spans="1:9" ht="12" customHeight="1">
      <c r="A222" s="399"/>
      <c r="B222" s="1"/>
      <c r="C222" s="1"/>
      <c r="D222" s="61"/>
      <c r="E222" s="61"/>
      <c r="F222" s="2"/>
      <c r="G222" s="2"/>
      <c r="H222" s="2"/>
      <c r="I222" s="2"/>
    </row>
    <row r="223" spans="1:9" ht="12" customHeight="1">
      <c r="A223" s="399"/>
      <c r="B223" s="1"/>
      <c r="C223" s="1"/>
      <c r="D223" s="61"/>
      <c r="E223" s="61"/>
      <c r="F223" s="2"/>
      <c r="G223" s="2"/>
      <c r="H223" s="2"/>
      <c r="I223" s="2"/>
    </row>
    <row r="224" spans="1:9" ht="12" customHeight="1">
      <c r="A224" s="399"/>
      <c r="B224" s="1"/>
      <c r="C224" s="1"/>
      <c r="D224" s="61"/>
      <c r="E224" s="61"/>
      <c r="F224" s="2"/>
      <c r="G224" s="2"/>
      <c r="H224" s="2"/>
      <c r="I224" s="2"/>
    </row>
    <row r="225" spans="1:9" ht="12" customHeight="1">
      <c r="A225" s="399"/>
      <c r="B225" s="1"/>
      <c r="C225" s="1"/>
      <c r="D225" s="61"/>
      <c r="E225" s="61"/>
      <c r="F225" s="2"/>
      <c r="G225" s="2"/>
      <c r="H225" s="2"/>
      <c r="I225" s="2"/>
    </row>
    <row r="226" spans="1:9" ht="12" customHeight="1">
      <c r="A226" s="399"/>
      <c r="B226" s="1"/>
      <c r="C226" s="1"/>
      <c r="D226" s="61"/>
      <c r="E226" s="61"/>
      <c r="F226" s="2"/>
      <c r="G226" s="2"/>
      <c r="H226" s="2"/>
      <c r="I226" s="2"/>
    </row>
    <row r="227" spans="1:9" ht="12" customHeight="1">
      <c r="A227" s="399"/>
      <c r="B227" s="1"/>
      <c r="C227" s="1"/>
      <c r="D227" s="61"/>
      <c r="E227" s="61"/>
      <c r="F227" s="2"/>
      <c r="G227" s="2"/>
      <c r="H227" s="2"/>
      <c r="I227" s="2"/>
    </row>
    <row r="228" spans="1:9" ht="12" customHeight="1">
      <c r="A228" s="399"/>
      <c r="B228" s="1"/>
      <c r="C228" s="1"/>
      <c r="D228" s="61"/>
      <c r="E228" s="61"/>
      <c r="F228" s="2"/>
      <c r="G228" s="2"/>
      <c r="H228" s="2"/>
      <c r="I228" s="2"/>
    </row>
    <row r="229" spans="1:9" ht="12" customHeight="1">
      <c r="A229" s="399"/>
      <c r="B229" s="1"/>
      <c r="C229" s="1"/>
      <c r="D229" s="61"/>
      <c r="E229" s="61"/>
      <c r="F229" s="2"/>
      <c r="G229" s="2"/>
      <c r="H229" s="2"/>
      <c r="I229" s="2"/>
    </row>
    <row r="230" spans="1:9" ht="12" customHeight="1">
      <c r="A230" s="399"/>
      <c r="B230" s="1"/>
      <c r="C230" s="1"/>
      <c r="D230" s="61"/>
      <c r="E230" s="61"/>
      <c r="F230" s="2"/>
      <c r="G230" s="2"/>
      <c r="H230" s="2"/>
      <c r="I230" s="2"/>
    </row>
    <row r="231" spans="1:9" ht="12" customHeight="1">
      <c r="A231" s="399"/>
      <c r="B231" s="1"/>
      <c r="C231" s="1"/>
      <c r="D231" s="61"/>
      <c r="E231" s="61"/>
      <c r="F231" s="2"/>
      <c r="G231" s="2"/>
      <c r="H231" s="2"/>
      <c r="I231" s="2"/>
    </row>
    <row r="232" spans="1:9" ht="12" customHeight="1">
      <c r="A232" s="399"/>
      <c r="B232" s="1"/>
      <c r="C232" s="1"/>
      <c r="D232" s="61"/>
      <c r="E232" s="61"/>
      <c r="F232" s="2"/>
      <c r="G232" s="2"/>
      <c r="H232" s="2"/>
      <c r="I232" s="2"/>
    </row>
    <row r="233" spans="1:9" ht="12" customHeight="1">
      <c r="A233" s="399"/>
      <c r="B233" s="1"/>
      <c r="C233" s="1"/>
      <c r="D233" s="61"/>
      <c r="E233" s="61"/>
      <c r="F233" s="2"/>
      <c r="G233" s="2"/>
      <c r="H233" s="2"/>
      <c r="I233" s="2"/>
    </row>
    <row r="234" spans="1:9" ht="12" customHeight="1">
      <c r="A234" s="399"/>
      <c r="B234" s="1"/>
      <c r="C234" s="1"/>
      <c r="D234" s="61"/>
      <c r="E234" s="61"/>
      <c r="F234" s="2"/>
      <c r="G234" s="2"/>
      <c r="H234" s="2"/>
      <c r="I234" s="2"/>
    </row>
    <row r="235" spans="1:9" ht="12" customHeight="1">
      <c r="A235" s="399"/>
      <c r="B235" s="1"/>
      <c r="C235" s="1"/>
      <c r="D235" s="61"/>
      <c r="E235" s="61"/>
      <c r="F235" s="2"/>
      <c r="G235" s="2"/>
      <c r="H235" s="2"/>
      <c r="I235" s="2"/>
    </row>
    <row r="236" spans="1:9" ht="12" customHeight="1">
      <c r="A236" s="399"/>
      <c r="B236" s="1"/>
      <c r="C236" s="1"/>
      <c r="D236" s="61"/>
      <c r="E236" s="61"/>
      <c r="F236" s="2"/>
      <c r="G236" s="2"/>
      <c r="H236" s="2"/>
      <c r="I236" s="2"/>
    </row>
    <row r="237" spans="1:9" ht="12" customHeight="1">
      <c r="A237" s="399"/>
      <c r="B237" s="1"/>
      <c r="C237" s="1"/>
      <c r="D237" s="61"/>
      <c r="E237" s="61"/>
      <c r="F237" s="2"/>
      <c r="G237" s="2"/>
      <c r="H237" s="2"/>
      <c r="I237" s="2"/>
    </row>
    <row r="238" spans="1:9" ht="12" customHeight="1">
      <c r="A238" s="399"/>
      <c r="B238" s="1"/>
      <c r="C238" s="1"/>
      <c r="D238" s="61"/>
      <c r="E238" s="61"/>
      <c r="F238" s="2"/>
      <c r="G238" s="2"/>
      <c r="H238" s="2"/>
      <c r="I238" s="2"/>
    </row>
    <row r="239" spans="1:9" ht="12" customHeight="1">
      <c r="A239" s="399"/>
      <c r="B239" s="1"/>
      <c r="C239" s="1"/>
      <c r="D239" s="61"/>
      <c r="E239" s="61"/>
      <c r="F239" s="2"/>
      <c r="G239" s="2"/>
      <c r="H239" s="2"/>
      <c r="I239" s="2"/>
    </row>
    <row r="240" spans="1:9" ht="12" customHeight="1">
      <c r="A240" s="399"/>
      <c r="B240" s="1"/>
      <c r="C240" s="1"/>
      <c r="D240" s="61"/>
      <c r="E240" s="61"/>
      <c r="F240" s="2"/>
      <c r="G240" s="2"/>
      <c r="H240" s="2"/>
      <c r="I240" s="2"/>
    </row>
    <row r="241" spans="1:9" ht="12" customHeight="1">
      <c r="A241" s="399"/>
      <c r="B241" s="1"/>
      <c r="C241" s="1"/>
      <c r="D241" s="61"/>
      <c r="E241" s="61"/>
      <c r="F241" s="2"/>
      <c r="G241" s="2"/>
      <c r="H241" s="2"/>
      <c r="I241" s="2"/>
    </row>
    <row r="242" spans="1:9" ht="12" customHeight="1">
      <c r="A242" s="399"/>
      <c r="B242" s="1"/>
      <c r="C242" s="1"/>
      <c r="D242" s="61"/>
      <c r="E242" s="61"/>
      <c r="F242" s="2"/>
      <c r="G242" s="2"/>
      <c r="H242" s="2"/>
      <c r="I242" s="2"/>
    </row>
    <row r="243" spans="1:9" ht="12" customHeight="1">
      <c r="A243" s="399"/>
      <c r="B243" s="1"/>
      <c r="C243" s="1"/>
      <c r="D243" s="61"/>
      <c r="E243" s="61"/>
      <c r="F243" s="2"/>
      <c r="G243" s="2"/>
      <c r="H243" s="2"/>
      <c r="I243" s="2"/>
    </row>
    <row r="244" spans="1:9" ht="12" customHeight="1">
      <c r="A244" s="399"/>
      <c r="B244" s="1"/>
      <c r="C244" s="1"/>
      <c r="D244" s="61"/>
      <c r="E244" s="61"/>
      <c r="F244" s="2"/>
      <c r="G244" s="2"/>
      <c r="H244" s="2"/>
      <c r="I244" s="2"/>
    </row>
    <row r="245" spans="1:9" ht="12" customHeight="1">
      <c r="A245" s="399"/>
      <c r="B245" s="1"/>
      <c r="C245" s="1"/>
      <c r="D245" s="61"/>
      <c r="E245" s="61"/>
      <c r="F245" s="2"/>
      <c r="G245" s="2"/>
      <c r="H245" s="2"/>
      <c r="I245" s="2"/>
    </row>
    <row r="246" spans="1:9" ht="12" customHeight="1">
      <c r="A246" s="399"/>
      <c r="B246" s="1"/>
      <c r="C246" s="1"/>
      <c r="D246" s="61"/>
      <c r="E246" s="61"/>
      <c r="F246" s="2"/>
      <c r="G246" s="2"/>
      <c r="H246" s="2"/>
      <c r="I246" s="2"/>
    </row>
    <row r="247" spans="1:9" ht="12" customHeight="1">
      <c r="A247" s="399"/>
      <c r="B247" s="1"/>
      <c r="C247" s="1"/>
      <c r="D247" s="61"/>
      <c r="E247" s="61"/>
      <c r="F247" s="2"/>
      <c r="G247" s="2"/>
      <c r="H247" s="2"/>
      <c r="I247" s="2"/>
    </row>
    <row r="248" spans="1:9" ht="12" customHeight="1">
      <c r="A248" s="399"/>
      <c r="B248" s="1"/>
      <c r="C248" s="1"/>
      <c r="D248" s="61"/>
      <c r="E248" s="61"/>
      <c r="F248" s="2"/>
      <c r="G248" s="2"/>
      <c r="H248" s="2"/>
      <c r="I248" s="2"/>
    </row>
    <row r="249" spans="1:9" ht="12" customHeight="1">
      <c r="A249" s="399"/>
      <c r="B249" s="1"/>
      <c r="C249" s="1"/>
      <c r="D249" s="61"/>
      <c r="E249" s="61"/>
      <c r="F249" s="2"/>
      <c r="G249" s="2"/>
      <c r="H249" s="2"/>
      <c r="I249" s="2"/>
    </row>
    <row r="250" spans="1:9" ht="12" customHeight="1">
      <c r="A250" s="399"/>
      <c r="B250" s="1"/>
      <c r="C250" s="1"/>
      <c r="D250" s="61"/>
      <c r="E250" s="61"/>
      <c r="F250" s="2"/>
      <c r="G250" s="2"/>
      <c r="H250" s="2"/>
      <c r="I250" s="2"/>
    </row>
    <row r="251" spans="1:9" ht="12" customHeight="1">
      <c r="A251" s="399"/>
      <c r="B251" s="1"/>
      <c r="C251" s="1"/>
      <c r="D251" s="61"/>
      <c r="E251" s="61"/>
      <c r="F251" s="2"/>
      <c r="G251" s="2"/>
      <c r="H251" s="2"/>
      <c r="I251" s="2"/>
    </row>
    <row r="252" spans="1:9" ht="12" customHeight="1">
      <c r="A252" s="399"/>
      <c r="B252" s="1"/>
      <c r="C252" s="1"/>
      <c r="D252" s="61"/>
      <c r="E252" s="61"/>
      <c r="F252" s="2"/>
      <c r="G252" s="2"/>
      <c r="H252" s="2"/>
      <c r="I252" s="2"/>
    </row>
    <row r="253" spans="1:9" ht="12" customHeight="1">
      <c r="A253" s="399"/>
      <c r="B253" s="1"/>
      <c r="C253" s="1"/>
      <c r="D253" s="61"/>
      <c r="E253" s="61"/>
      <c r="F253" s="2"/>
      <c r="G253" s="2"/>
      <c r="H253" s="2"/>
      <c r="I253" s="2"/>
    </row>
    <row r="254" spans="1:9" ht="12" customHeight="1">
      <c r="A254" s="399"/>
      <c r="B254" s="1"/>
      <c r="C254" s="1"/>
      <c r="D254" s="61"/>
      <c r="E254" s="61"/>
      <c r="F254" s="2"/>
      <c r="G254" s="2"/>
      <c r="H254" s="2"/>
      <c r="I254" s="2"/>
    </row>
    <row r="255" spans="1:9" ht="12" customHeight="1">
      <c r="A255" s="399"/>
      <c r="B255" s="1"/>
      <c r="C255" s="1"/>
      <c r="D255" s="61"/>
      <c r="E255" s="61"/>
      <c r="F255" s="2"/>
      <c r="G255" s="2"/>
      <c r="H255" s="2"/>
      <c r="I255" s="2"/>
    </row>
    <row r="256" spans="1:9" ht="12" customHeight="1">
      <c r="A256" s="399"/>
      <c r="B256" s="1"/>
      <c r="C256" s="1"/>
      <c r="D256" s="61"/>
      <c r="E256" s="61"/>
      <c r="F256" s="2"/>
      <c r="G256" s="2"/>
      <c r="H256" s="2"/>
      <c r="I256" s="2"/>
    </row>
    <row r="257" spans="1:9" ht="12" customHeight="1">
      <c r="A257" s="399"/>
      <c r="B257" s="1"/>
      <c r="C257" s="1"/>
      <c r="D257" s="61"/>
      <c r="E257" s="61"/>
      <c r="F257" s="2"/>
      <c r="G257" s="2"/>
      <c r="H257" s="2"/>
      <c r="I257" s="2"/>
    </row>
    <row r="258" spans="1:9" ht="12" customHeight="1">
      <c r="A258" s="399"/>
      <c r="B258" s="1"/>
      <c r="C258" s="1"/>
      <c r="D258" s="61"/>
      <c r="E258" s="61"/>
      <c r="F258" s="2"/>
      <c r="G258" s="2"/>
      <c r="H258" s="2"/>
      <c r="I258" s="2"/>
    </row>
    <row r="259" spans="1:9" ht="12" customHeight="1">
      <c r="A259" s="399"/>
      <c r="B259" s="1"/>
      <c r="C259" s="1"/>
      <c r="D259" s="61"/>
      <c r="E259" s="61"/>
      <c r="F259" s="2"/>
      <c r="G259" s="2"/>
      <c r="H259" s="2"/>
      <c r="I259" s="2"/>
    </row>
    <row r="260" spans="1:9" ht="12" customHeight="1">
      <c r="A260" s="399"/>
      <c r="B260" s="1"/>
      <c r="C260" s="1"/>
      <c r="D260" s="61"/>
      <c r="E260" s="61"/>
      <c r="F260" s="2"/>
      <c r="G260" s="2"/>
      <c r="H260" s="2"/>
      <c r="I260" s="2"/>
    </row>
    <row r="261" spans="1:9" ht="12" customHeight="1">
      <c r="A261" s="399"/>
      <c r="B261" s="1"/>
      <c r="C261" s="1"/>
      <c r="D261" s="61"/>
      <c r="E261" s="61"/>
      <c r="F261" s="2"/>
      <c r="G261" s="2"/>
      <c r="H261" s="2"/>
      <c r="I261" s="2"/>
    </row>
    <row r="262" spans="1:9" ht="12" customHeight="1">
      <c r="A262" s="399"/>
      <c r="B262" s="1"/>
      <c r="C262" s="1"/>
      <c r="D262" s="61"/>
      <c r="E262" s="61"/>
      <c r="F262" s="2"/>
      <c r="G262" s="2"/>
      <c r="H262" s="2"/>
      <c r="I262" s="2"/>
    </row>
    <row r="263" spans="1:9" ht="12" customHeight="1">
      <c r="A263" s="399"/>
      <c r="B263" s="1"/>
      <c r="C263" s="1"/>
      <c r="D263" s="61"/>
      <c r="E263" s="61"/>
      <c r="F263" s="2"/>
      <c r="G263" s="2"/>
      <c r="H263" s="2"/>
      <c r="I263" s="2"/>
    </row>
    <row r="264" spans="1:9" ht="12" customHeight="1">
      <c r="A264" s="399"/>
      <c r="B264" s="1"/>
      <c r="C264" s="1"/>
      <c r="D264" s="61"/>
      <c r="E264" s="61"/>
      <c r="F264" s="2"/>
      <c r="G264" s="2"/>
      <c r="H264" s="2"/>
      <c r="I264" s="2"/>
    </row>
    <row r="265" spans="1:9" ht="12" customHeight="1">
      <c r="A265" s="399"/>
      <c r="B265" s="1"/>
      <c r="C265" s="1"/>
      <c r="D265" s="61"/>
      <c r="E265" s="61"/>
      <c r="F265" s="2"/>
      <c r="G265" s="2"/>
      <c r="H265" s="2"/>
      <c r="I265" s="2"/>
    </row>
    <row r="266" spans="1:9" ht="12" customHeight="1">
      <c r="A266" s="399"/>
      <c r="B266" s="1"/>
      <c r="C266" s="1"/>
      <c r="D266" s="61"/>
      <c r="E266" s="61"/>
      <c r="F266" s="2"/>
      <c r="G266" s="2"/>
      <c r="H266" s="2"/>
      <c r="I266" s="2"/>
    </row>
    <row r="267" spans="1:9" ht="12" customHeight="1">
      <c r="A267" s="399"/>
      <c r="B267" s="1"/>
      <c r="C267" s="1"/>
      <c r="D267" s="61"/>
      <c r="E267" s="61"/>
      <c r="F267" s="2"/>
      <c r="G267" s="2"/>
      <c r="H267" s="2"/>
      <c r="I267" s="2"/>
    </row>
    <row r="268" spans="1:9" ht="12" customHeight="1">
      <c r="A268" s="399"/>
      <c r="B268" s="1"/>
      <c r="C268" s="1"/>
      <c r="D268" s="61"/>
      <c r="E268" s="61"/>
      <c r="F268" s="2"/>
      <c r="G268" s="2"/>
      <c r="H268" s="2"/>
      <c r="I268" s="2"/>
    </row>
    <row r="269" spans="1:9" ht="12" customHeight="1">
      <c r="A269" s="399"/>
      <c r="B269" s="1"/>
      <c r="C269" s="1"/>
      <c r="D269" s="61"/>
      <c r="E269" s="61"/>
      <c r="F269" s="2"/>
      <c r="G269" s="2"/>
      <c r="H269" s="2"/>
      <c r="I269" s="2"/>
    </row>
    <row r="270" spans="1:9" ht="12" customHeight="1">
      <c r="A270" s="399"/>
      <c r="B270" s="1"/>
      <c r="C270" s="1"/>
      <c r="D270" s="61"/>
      <c r="E270" s="61"/>
      <c r="F270" s="2"/>
      <c r="G270" s="2"/>
      <c r="H270" s="2"/>
      <c r="I270" s="2"/>
    </row>
    <row r="271" spans="1:9" ht="12" customHeight="1">
      <c r="A271" s="399"/>
      <c r="B271" s="1"/>
      <c r="C271" s="1"/>
      <c r="D271" s="61"/>
      <c r="E271" s="61"/>
      <c r="F271" s="2"/>
      <c r="G271" s="2"/>
      <c r="H271" s="2"/>
      <c r="I271" s="2"/>
    </row>
    <row r="272" spans="1:9" ht="12" customHeight="1">
      <c r="A272" s="399"/>
      <c r="B272" s="1"/>
      <c r="C272" s="1"/>
      <c r="D272" s="61"/>
      <c r="E272" s="61"/>
      <c r="F272" s="2"/>
      <c r="G272" s="2"/>
      <c r="H272" s="2"/>
      <c r="I272" s="2"/>
    </row>
    <row r="273" spans="1:9" ht="12" customHeight="1">
      <c r="A273" s="399"/>
      <c r="B273" s="1"/>
      <c r="C273" s="1"/>
      <c r="D273" s="61"/>
      <c r="E273" s="61"/>
      <c r="F273" s="2"/>
      <c r="G273" s="2"/>
      <c r="H273" s="2"/>
      <c r="I273" s="2"/>
    </row>
    <row r="274" spans="1:9" ht="12" customHeight="1">
      <c r="A274" s="399"/>
      <c r="B274" s="1"/>
      <c r="C274" s="1"/>
      <c r="D274" s="61"/>
      <c r="E274" s="61"/>
      <c r="F274" s="2"/>
      <c r="G274" s="2"/>
      <c r="H274" s="2"/>
      <c r="I274" s="2"/>
    </row>
    <row r="275" spans="1:9" ht="12" customHeight="1">
      <c r="A275" s="399"/>
      <c r="B275" s="1"/>
      <c r="C275" s="1"/>
      <c r="D275" s="61"/>
      <c r="E275" s="61"/>
      <c r="F275" s="2"/>
      <c r="G275" s="2"/>
      <c r="H275" s="2"/>
      <c r="I275" s="2"/>
    </row>
    <row r="276" spans="1:9" ht="12" customHeight="1">
      <c r="A276" s="399"/>
      <c r="B276" s="1"/>
      <c r="C276" s="1"/>
      <c r="D276" s="61"/>
      <c r="E276" s="61"/>
      <c r="F276" s="2"/>
      <c r="G276" s="2"/>
      <c r="H276" s="2"/>
      <c r="I276" s="2"/>
    </row>
    <row r="277" spans="1:9" ht="12" customHeight="1">
      <c r="A277" s="399"/>
      <c r="B277" s="1"/>
      <c r="C277" s="1"/>
      <c r="D277" s="61"/>
      <c r="E277" s="61"/>
      <c r="F277" s="2"/>
      <c r="G277" s="2"/>
      <c r="H277" s="2"/>
      <c r="I277" s="2"/>
    </row>
    <row r="278" spans="1:9" ht="12" customHeight="1">
      <c r="A278" s="399"/>
      <c r="B278" s="1"/>
      <c r="C278" s="1"/>
      <c r="D278" s="61"/>
      <c r="E278" s="61"/>
      <c r="F278" s="2"/>
      <c r="G278" s="2"/>
      <c r="H278" s="2"/>
      <c r="I278" s="2"/>
    </row>
    <row r="279" spans="1:9" ht="12" customHeight="1">
      <c r="A279" s="399"/>
      <c r="B279" s="1"/>
      <c r="C279" s="1"/>
      <c r="D279" s="61"/>
      <c r="E279" s="61"/>
      <c r="F279" s="2"/>
      <c r="G279" s="2"/>
      <c r="H279" s="2"/>
      <c r="I279" s="2"/>
    </row>
    <row r="280" spans="1:9" ht="12" customHeight="1">
      <c r="A280" s="399"/>
      <c r="B280" s="1"/>
      <c r="C280" s="1"/>
      <c r="D280" s="61"/>
      <c r="E280" s="61"/>
      <c r="F280" s="2"/>
      <c r="G280" s="2"/>
      <c r="H280" s="2"/>
      <c r="I280" s="2"/>
    </row>
    <row r="281" spans="1:9" ht="12" customHeight="1">
      <c r="A281" s="399"/>
      <c r="B281" s="1"/>
      <c r="C281" s="1"/>
      <c r="D281" s="61"/>
      <c r="E281" s="61"/>
      <c r="F281" s="2"/>
      <c r="G281" s="2"/>
      <c r="H281" s="2"/>
      <c r="I281" s="2"/>
    </row>
    <row r="282" spans="1:9" ht="12" customHeight="1">
      <c r="A282" s="399"/>
      <c r="B282" s="1"/>
      <c r="C282" s="1"/>
      <c r="D282" s="61"/>
      <c r="E282" s="61"/>
      <c r="F282" s="2"/>
      <c r="G282" s="2"/>
      <c r="H282" s="2"/>
      <c r="I282" s="2"/>
    </row>
    <row r="283" spans="1:9" ht="12" customHeight="1">
      <c r="A283" s="399"/>
      <c r="B283" s="1"/>
      <c r="C283" s="1"/>
      <c r="D283" s="61"/>
      <c r="E283" s="61"/>
      <c r="F283" s="2"/>
      <c r="G283" s="2"/>
      <c r="H283" s="2"/>
      <c r="I283" s="2"/>
    </row>
    <row r="284" spans="1:9" ht="12" customHeight="1">
      <c r="A284" s="399"/>
      <c r="B284" s="1"/>
      <c r="C284" s="1"/>
      <c r="D284" s="61"/>
      <c r="E284" s="61"/>
      <c r="F284" s="2"/>
      <c r="G284" s="2"/>
      <c r="H284" s="2"/>
      <c r="I284" s="2"/>
    </row>
    <row r="285" spans="1:9" ht="12" customHeight="1">
      <c r="A285" s="399"/>
      <c r="B285" s="1"/>
      <c r="C285" s="1"/>
      <c r="D285" s="61"/>
      <c r="E285" s="61"/>
      <c r="F285" s="2"/>
      <c r="G285" s="2"/>
      <c r="H285" s="2"/>
      <c r="I285" s="2"/>
    </row>
    <row r="286" spans="1:9" ht="12" customHeight="1">
      <c r="A286" s="399"/>
      <c r="B286" s="1"/>
      <c r="C286" s="1"/>
      <c r="D286" s="61"/>
      <c r="E286" s="61"/>
      <c r="F286" s="2"/>
      <c r="G286" s="2"/>
      <c r="H286" s="2"/>
      <c r="I286" s="2"/>
    </row>
    <row r="287" spans="1:9" ht="12" customHeight="1">
      <c r="A287" s="399"/>
      <c r="B287" s="1"/>
      <c r="C287" s="1"/>
      <c r="D287" s="61"/>
      <c r="E287" s="61"/>
      <c r="F287" s="2"/>
      <c r="G287" s="2"/>
      <c r="H287" s="2"/>
      <c r="I287" s="2"/>
    </row>
    <row r="288" spans="1:9" ht="12" customHeight="1">
      <c r="A288" s="399"/>
      <c r="B288" s="1"/>
      <c r="C288" s="1"/>
      <c r="D288" s="61"/>
      <c r="E288" s="61"/>
      <c r="F288" s="2"/>
      <c r="G288" s="2"/>
      <c r="H288" s="2"/>
      <c r="I288" s="2"/>
    </row>
    <row r="289" spans="1:9" ht="12" customHeight="1">
      <c r="A289" s="399"/>
      <c r="B289" s="1"/>
      <c r="C289" s="1"/>
      <c r="D289" s="61"/>
      <c r="E289" s="61"/>
      <c r="F289" s="2"/>
      <c r="G289" s="2"/>
      <c r="H289" s="2"/>
      <c r="I289" s="2"/>
    </row>
    <row r="290" spans="1:9" ht="12" customHeight="1">
      <c r="A290" s="399"/>
      <c r="B290" s="1"/>
      <c r="C290" s="1"/>
      <c r="D290" s="61"/>
      <c r="E290" s="61"/>
      <c r="F290" s="2"/>
      <c r="G290" s="2"/>
      <c r="H290" s="2"/>
      <c r="I290" s="2"/>
    </row>
    <row r="291" spans="1:9" ht="12" customHeight="1">
      <c r="A291" s="399"/>
      <c r="B291" s="1"/>
      <c r="C291" s="1"/>
      <c r="D291" s="61"/>
      <c r="E291" s="61"/>
      <c r="F291" s="2"/>
      <c r="G291" s="2"/>
      <c r="H291" s="2"/>
      <c r="I291" s="2"/>
    </row>
    <row r="292" spans="1:9" ht="12" customHeight="1">
      <c r="A292" s="399"/>
      <c r="B292" s="1"/>
      <c r="C292" s="1"/>
      <c r="D292" s="61"/>
      <c r="E292" s="61"/>
      <c r="F292" s="2"/>
      <c r="G292" s="2"/>
      <c r="H292" s="2"/>
      <c r="I292" s="2"/>
    </row>
    <row r="293" spans="1:9" ht="12" customHeight="1">
      <c r="A293" s="399"/>
      <c r="B293" s="1"/>
      <c r="C293" s="1"/>
      <c r="D293" s="61"/>
      <c r="E293" s="61"/>
      <c r="F293" s="2"/>
      <c r="G293" s="2"/>
      <c r="H293" s="2"/>
      <c r="I293" s="2"/>
    </row>
    <row r="294" spans="1:9" ht="12" customHeight="1">
      <c r="A294" s="399"/>
      <c r="B294" s="1"/>
      <c r="C294" s="1"/>
      <c r="D294" s="61"/>
      <c r="E294" s="61"/>
      <c r="F294" s="2"/>
      <c r="G294" s="2"/>
      <c r="H294" s="2"/>
      <c r="I294" s="2"/>
    </row>
    <row r="295" spans="1:9" ht="12" customHeight="1">
      <c r="A295" s="399"/>
      <c r="B295" s="1"/>
      <c r="C295" s="1"/>
      <c r="D295" s="61"/>
      <c r="E295" s="61"/>
      <c r="F295" s="2"/>
      <c r="G295" s="2"/>
      <c r="H295" s="2"/>
      <c r="I295" s="2"/>
    </row>
    <row r="296" spans="1:9" ht="12" customHeight="1">
      <c r="A296" s="399"/>
      <c r="B296" s="1"/>
      <c r="C296" s="1"/>
      <c r="D296" s="61"/>
      <c r="E296" s="61"/>
      <c r="F296" s="2"/>
      <c r="G296" s="2"/>
      <c r="H296" s="2"/>
      <c r="I296" s="2"/>
    </row>
    <row r="297" spans="1:9" ht="12" customHeight="1">
      <c r="A297" s="399"/>
      <c r="B297" s="1"/>
      <c r="C297" s="1"/>
      <c r="D297" s="61"/>
      <c r="E297" s="61"/>
      <c r="F297" s="2"/>
      <c r="G297" s="2"/>
      <c r="H297" s="2"/>
      <c r="I297" s="2"/>
    </row>
    <row r="298" spans="1:9" ht="12" customHeight="1">
      <c r="A298" s="399"/>
      <c r="B298" s="1"/>
      <c r="C298" s="1"/>
      <c r="D298" s="61"/>
      <c r="E298" s="61"/>
      <c r="F298" s="2"/>
      <c r="G298" s="2"/>
      <c r="H298" s="2"/>
      <c r="I298" s="2"/>
    </row>
    <row r="299" spans="1:9" ht="12" customHeight="1">
      <c r="A299" s="399"/>
      <c r="B299" s="1"/>
      <c r="C299" s="1"/>
      <c r="D299" s="61"/>
      <c r="E299" s="61"/>
      <c r="F299" s="2"/>
      <c r="G299" s="2"/>
      <c r="H299" s="2"/>
      <c r="I299" s="2"/>
    </row>
    <row r="300" spans="1:9" ht="12" customHeight="1">
      <c r="A300" s="399"/>
      <c r="B300" s="1"/>
      <c r="C300" s="1"/>
      <c r="D300" s="61"/>
      <c r="E300" s="61"/>
      <c r="F300" s="2"/>
      <c r="G300" s="2"/>
      <c r="H300" s="2"/>
      <c r="I300" s="2"/>
    </row>
    <row r="301" spans="1:9" ht="12" customHeight="1">
      <c r="A301" s="399"/>
      <c r="B301" s="1"/>
      <c r="C301" s="1"/>
      <c r="D301" s="61"/>
      <c r="E301" s="61"/>
      <c r="F301" s="2"/>
      <c r="G301" s="2"/>
      <c r="H301" s="2"/>
      <c r="I301" s="2"/>
    </row>
    <row r="302" spans="1:9" ht="12" customHeight="1">
      <c r="A302" s="399"/>
      <c r="B302" s="1"/>
      <c r="C302" s="1"/>
      <c r="D302" s="61"/>
      <c r="E302" s="61"/>
      <c r="F302" s="2"/>
      <c r="G302" s="2"/>
      <c r="H302" s="2"/>
      <c r="I302" s="2"/>
    </row>
    <row r="303" spans="1:9" ht="12" customHeight="1">
      <c r="A303" s="399"/>
      <c r="B303" s="1"/>
      <c r="C303" s="1"/>
      <c r="D303" s="61"/>
      <c r="E303" s="61"/>
      <c r="F303" s="2"/>
      <c r="G303" s="2"/>
      <c r="H303" s="2"/>
      <c r="I303" s="2"/>
    </row>
    <row r="304" spans="1:9" ht="12" customHeight="1">
      <c r="A304" s="399"/>
      <c r="B304" s="1"/>
      <c r="C304" s="1"/>
      <c r="D304" s="61"/>
      <c r="E304" s="61"/>
      <c r="F304" s="2"/>
      <c r="G304" s="2"/>
      <c r="H304" s="2"/>
      <c r="I304" s="2"/>
    </row>
    <row r="305" spans="1:9" ht="12" customHeight="1">
      <c r="A305" s="399"/>
      <c r="B305" s="1"/>
      <c r="C305" s="1"/>
      <c r="D305" s="61"/>
      <c r="E305" s="61"/>
      <c r="F305" s="2"/>
      <c r="G305" s="2"/>
      <c r="H305" s="2"/>
      <c r="I305" s="2"/>
    </row>
    <row r="306" spans="2:9" ht="12" customHeight="1">
      <c r="B306" s="1"/>
      <c r="C306" s="1"/>
      <c r="D306" s="61"/>
      <c r="E306" s="61"/>
      <c r="F306" s="2"/>
      <c r="G306" s="2"/>
      <c r="H306" s="2"/>
      <c r="I306" s="2"/>
    </row>
    <row r="307" spans="2:9" ht="12" customHeight="1">
      <c r="B307" s="1"/>
      <c r="C307" s="1"/>
      <c r="D307" s="61"/>
      <c r="E307" s="61"/>
      <c r="F307" s="2"/>
      <c r="G307" s="2"/>
      <c r="H307" s="2"/>
      <c r="I307" s="2"/>
    </row>
    <row r="308" spans="2:9" ht="12" customHeight="1">
      <c r="B308" s="1"/>
      <c r="C308" s="1"/>
      <c r="D308" s="61"/>
      <c r="E308" s="61"/>
      <c r="F308" s="2"/>
      <c r="G308" s="2"/>
      <c r="H308" s="2"/>
      <c r="I308" s="2"/>
    </row>
    <row r="309" spans="2:9" ht="12" customHeight="1">
      <c r="B309" s="1"/>
      <c r="C309" s="1"/>
      <c r="D309" s="61"/>
      <c r="E309" s="61"/>
      <c r="F309" s="2"/>
      <c r="G309" s="2"/>
      <c r="H309" s="2"/>
      <c r="I309" s="2"/>
    </row>
    <row r="310" spans="2:9" ht="12" customHeight="1">
      <c r="B310" s="1"/>
      <c r="C310" s="1"/>
      <c r="D310" s="61"/>
      <c r="E310" s="61"/>
      <c r="F310" s="2"/>
      <c r="G310" s="2"/>
      <c r="H310" s="2"/>
      <c r="I310" s="2"/>
    </row>
    <row r="311" spans="2:9" ht="12" customHeight="1">
      <c r="B311" s="1"/>
      <c r="C311" s="1"/>
      <c r="D311" s="61"/>
      <c r="E311" s="61"/>
      <c r="F311" s="2"/>
      <c r="G311" s="2"/>
      <c r="H311" s="2"/>
      <c r="I311" s="2"/>
    </row>
    <row r="312" spans="2:9" ht="12" customHeight="1">
      <c r="B312" s="1"/>
      <c r="C312" s="1"/>
      <c r="D312" s="61"/>
      <c r="E312" s="61"/>
      <c r="F312" s="2"/>
      <c r="G312" s="2"/>
      <c r="H312" s="2"/>
      <c r="I312" s="2"/>
    </row>
    <row r="313" spans="2:9" ht="12" customHeight="1">
      <c r="B313" s="1"/>
      <c r="C313" s="1"/>
      <c r="D313" s="61"/>
      <c r="E313" s="61"/>
      <c r="F313" s="2"/>
      <c r="G313" s="2"/>
      <c r="H313" s="2"/>
      <c r="I313" s="2"/>
    </row>
    <row r="314" spans="2:9" ht="12" customHeight="1">
      <c r="B314" s="1"/>
      <c r="C314" s="1"/>
      <c r="D314" s="61"/>
      <c r="E314" s="61"/>
      <c r="F314" s="2"/>
      <c r="G314" s="2"/>
      <c r="H314" s="2"/>
      <c r="I314" s="2"/>
    </row>
    <row r="315" spans="1:9" ht="12" customHeight="1">
      <c r="A315" s="171"/>
      <c r="B315" s="1"/>
      <c r="C315" s="1"/>
      <c r="D315" s="61"/>
      <c r="E315" s="61"/>
      <c r="F315" s="2"/>
      <c r="G315" s="2"/>
      <c r="H315" s="2"/>
      <c r="I315" s="2"/>
    </row>
    <row r="316" spans="1:9" ht="12" customHeight="1">
      <c r="A316" s="171"/>
      <c r="B316" s="1"/>
      <c r="C316" s="1"/>
      <c r="D316" s="61"/>
      <c r="E316" s="61"/>
      <c r="F316" s="2"/>
      <c r="G316" s="2"/>
      <c r="H316" s="2"/>
      <c r="I316" s="2"/>
    </row>
    <row r="317" spans="1:9" ht="12" customHeight="1">
      <c r="A317" s="171"/>
      <c r="B317" s="1"/>
      <c r="C317" s="1"/>
      <c r="D317" s="61"/>
      <c r="E317" s="61"/>
      <c r="F317" s="2"/>
      <c r="G317" s="2"/>
      <c r="H317" s="2"/>
      <c r="I317" s="2"/>
    </row>
    <row r="318" spans="1:9" ht="12" customHeight="1">
      <c r="A318" s="171"/>
      <c r="B318" s="1"/>
      <c r="C318" s="1"/>
      <c r="D318" s="61"/>
      <c r="E318" s="61"/>
      <c r="F318" s="2"/>
      <c r="G318" s="2"/>
      <c r="H318" s="2"/>
      <c r="I318" s="2"/>
    </row>
    <row r="319" spans="1:9" ht="12" customHeight="1">
      <c r="A319" s="171"/>
      <c r="B319" s="1"/>
      <c r="C319" s="1"/>
      <c r="D319" s="61"/>
      <c r="E319" s="61"/>
      <c r="F319" s="2"/>
      <c r="G319" s="2"/>
      <c r="H319" s="2"/>
      <c r="I319" s="2"/>
    </row>
    <row r="320" spans="1:9" ht="12" customHeight="1">
      <c r="A320" s="171"/>
      <c r="B320" s="1"/>
      <c r="C320" s="1"/>
      <c r="D320" s="61"/>
      <c r="E320" s="61"/>
      <c r="F320" s="2"/>
      <c r="G320" s="2"/>
      <c r="H320" s="2"/>
      <c r="I320" s="2"/>
    </row>
    <row r="321" spans="1:9" ht="12" customHeight="1">
      <c r="A321" s="171"/>
      <c r="B321" s="1"/>
      <c r="C321" s="1"/>
      <c r="D321" s="61"/>
      <c r="E321" s="61"/>
      <c r="F321" s="2"/>
      <c r="G321" s="2"/>
      <c r="H321" s="2"/>
      <c r="I321" s="2"/>
    </row>
    <row r="322" spans="1:9" ht="12" customHeight="1">
      <c r="A322" s="171"/>
      <c r="B322" s="1"/>
      <c r="C322" s="1"/>
      <c r="D322" s="61"/>
      <c r="E322" s="61"/>
      <c r="F322" s="2"/>
      <c r="G322" s="2"/>
      <c r="H322" s="2"/>
      <c r="I322" s="2"/>
    </row>
    <row r="323" spans="1:9" ht="12" customHeight="1">
      <c r="A323" s="171"/>
      <c r="B323" s="1"/>
      <c r="C323" s="1"/>
      <c r="D323" s="61"/>
      <c r="E323" s="61"/>
      <c r="F323" s="2"/>
      <c r="G323" s="2"/>
      <c r="H323" s="2"/>
      <c r="I323" s="2"/>
    </row>
    <row r="324" spans="1:9" ht="12" customHeight="1">
      <c r="A324" s="171"/>
      <c r="B324" s="1"/>
      <c r="C324" s="1"/>
      <c r="D324" s="61"/>
      <c r="E324" s="61"/>
      <c r="F324" s="2"/>
      <c r="G324" s="2"/>
      <c r="H324" s="2"/>
      <c r="I324" s="2"/>
    </row>
    <row r="325" spans="1:9" ht="12" customHeight="1">
      <c r="A325" s="171"/>
      <c r="B325" s="1"/>
      <c r="C325" s="1"/>
      <c r="D325" s="61"/>
      <c r="E325" s="61"/>
      <c r="F325" s="2"/>
      <c r="G325" s="2"/>
      <c r="H325" s="2"/>
      <c r="I325" s="2"/>
    </row>
    <row r="326" spans="1:9" ht="12" customHeight="1">
      <c r="A326" s="171"/>
      <c r="B326" s="1"/>
      <c r="C326" s="1"/>
      <c r="D326" s="61"/>
      <c r="E326" s="61"/>
      <c r="F326" s="2"/>
      <c r="G326" s="2"/>
      <c r="H326" s="2"/>
      <c r="I326" s="2"/>
    </row>
    <row r="327" spans="1:9" ht="12" customHeight="1">
      <c r="A327" s="171"/>
      <c r="B327" s="1"/>
      <c r="C327" s="1"/>
      <c r="D327" s="61"/>
      <c r="E327" s="61"/>
      <c r="F327" s="2"/>
      <c r="G327" s="2"/>
      <c r="H327" s="2"/>
      <c r="I327" s="2"/>
    </row>
    <row r="328" spans="1:9" ht="12" customHeight="1">
      <c r="A328" s="171"/>
      <c r="B328" s="1"/>
      <c r="C328" s="1"/>
      <c r="D328" s="61"/>
      <c r="E328" s="61"/>
      <c r="F328" s="2"/>
      <c r="G328" s="2"/>
      <c r="H328" s="2"/>
      <c r="I328" s="2"/>
    </row>
    <row r="329" spans="1:9" ht="12" customHeight="1">
      <c r="A329" s="171"/>
      <c r="B329" s="1"/>
      <c r="C329" s="1"/>
      <c r="D329" s="61"/>
      <c r="E329" s="61"/>
      <c r="F329" s="2"/>
      <c r="G329" s="2"/>
      <c r="H329" s="2"/>
      <c r="I329" s="2"/>
    </row>
    <row r="330" spans="1:9" ht="12" customHeight="1">
      <c r="A330" s="171"/>
      <c r="B330" s="1"/>
      <c r="C330" s="1"/>
      <c r="D330" s="61"/>
      <c r="E330" s="61"/>
      <c r="F330" s="2"/>
      <c r="G330" s="2"/>
      <c r="H330" s="2"/>
      <c r="I330" s="2"/>
    </row>
    <row r="331" spans="1:9" ht="12" customHeight="1">
      <c r="A331" s="171"/>
      <c r="B331" s="1"/>
      <c r="C331" s="1"/>
      <c r="D331" s="61"/>
      <c r="E331" s="61"/>
      <c r="F331" s="2"/>
      <c r="G331" s="2"/>
      <c r="H331" s="2"/>
      <c r="I331" s="2"/>
    </row>
    <row r="332" spans="1:9" ht="12" customHeight="1">
      <c r="A332" s="171"/>
      <c r="B332" s="1"/>
      <c r="C332" s="1"/>
      <c r="D332" s="61"/>
      <c r="E332" s="61"/>
      <c r="F332" s="2"/>
      <c r="G332" s="2"/>
      <c r="H332" s="2"/>
      <c r="I332" s="2"/>
    </row>
    <row r="333" spans="1:9" ht="12" customHeight="1">
      <c r="A333" s="171"/>
      <c r="B333" s="1"/>
      <c r="C333" s="1"/>
      <c r="D333" s="61"/>
      <c r="E333" s="61"/>
      <c r="F333" s="2"/>
      <c r="G333" s="2"/>
      <c r="H333" s="2"/>
      <c r="I333" s="2"/>
    </row>
    <row r="334" spans="1:9" ht="12" customHeight="1">
      <c r="A334" s="171"/>
      <c r="B334" s="1"/>
      <c r="C334" s="1"/>
      <c r="D334" s="61"/>
      <c r="E334" s="61"/>
      <c r="F334" s="2"/>
      <c r="G334" s="2"/>
      <c r="H334" s="2"/>
      <c r="I334" s="2"/>
    </row>
    <row r="335" spans="1:9" ht="12" customHeight="1">
      <c r="A335" s="171"/>
      <c r="B335" s="1"/>
      <c r="C335" s="1"/>
      <c r="D335" s="61"/>
      <c r="E335" s="61"/>
      <c r="F335" s="2"/>
      <c r="G335" s="2"/>
      <c r="H335" s="2"/>
      <c r="I335" s="2"/>
    </row>
    <row r="336" spans="1:9" ht="12" customHeight="1">
      <c r="A336" s="171"/>
      <c r="B336" s="1"/>
      <c r="C336" s="1"/>
      <c r="D336" s="61"/>
      <c r="E336" s="61"/>
      <c r="F336" s="2"/>
      <c r="G336" s="2"/>
      <c r="H336" s="2"/>
      <c r="I336" s="2"/>
    </row>
    <row r="337" spans="1:9" ht="12" customHeight="1">
      <c r="A337" s="171"/>
      <c r="B337" s="1"/>
      <c r="C337" s="1"/>
      <c r="D337" s="61"/>
      <c r="E337" s="61"/>
      <c r="F337" s="2"/>
      <c r="G337" s="2"/>
      <c r="H337" s="2"/>
      <c r="I337" s="2"/>
    </row>
    <row r="338" spans="1:9" ht="12" customHeight="1">
      <c r="A338" s="171"/>
      <c r="B338" s="1"/>
      <c r="C338" s="1"/>
      <c r="D338" s="61"/>
      <c r="E338" s="61"/>
      <c r="F338" s="2"/>
      <c r="G338" s="2"/>
      <c r="H338" s="2"/>
      <c r="I338" s="2"/>
    </row>
    <row r="339" spans="1:9" ht="12" customHeight="1">
      <c r="A339" s="171"/>
      <c r="B339" s="1"/>
      <c r="C339" s="1"/>
      <c r="D339" s="61"/>
      <c r="E339" s="61"/>
      <c r="F339" s="2"/>
      <c r="G339" s="2"/>
      <c r="H339" s="2"/>
      <c r="I339" s="2"/>
    </row>
    <row r="340" spans="1:9" ht="12" customHeight="1">
      <c r="A340" s="171"/>
      <c r="B340" s="1"/>
      <c r="C340" s="1"/>
      <c r="D340" s="61"/>
      <c r="E340" s="61"/>
      <c r="F340" s="2"/>
      <c r="G340" s="2"/>
      <c r="H340" s="2"/>
      <c r="I340" s="2"/>
    </row>
    <row r="341" spans="1:9" ht="12" customHeight="1">
      <c r="A341" s="171"/>
      <c r="B341" s="1"/>
      <c r="C341" s="1"/>
      <c r="D341" s="61"/>
      <c r="E341" s="61"/>
      <c r="F341" s="2"/>
      <c r="G341" s="2"/>
      <c r="H341" s="2"/>
      <c r="I341" s="2"/>
    </row>
    <row r="342" spans="1:9" ht="12" customHeight="1">
      <c r="A342" s="171"/>
      <c r="B342" s="1"/>
      <c r="C342" s="1"/>
      <c r="D342" s="61"/>
      <c r="E342" s="61"/>
      <c r="F342" s="2"/>
      <c r="G342" s="2"/>
      <c r="H342" s="2"/>
      <c r="I342" s="2"/>
    </row>
    <row r="343" spans="1:9" ht="12" customHeight="1">
      <c r="A343" s="171"/>
      <c r="B343" s="1"/>
      <c r="C343" s="1"/>
      <c r="D343" s="61"/>
      <c r="E343" s="61"/>
      <c r="F343" s="2"/>
      <c r="G343" s="2"/>
      <c r="H343" s="2"/>
      <c r="I343" s="2"/>
    </row>
    <row r="344" spans="1:9" ht="12" customHeight="1">
      <c r="A344" s="171"/>
      <c r="B344" s="1"/>
      <c r="C344" s="1"/>
      <c r="D344" s="61"/>
      <c r="E344" s="61"/>
      <c r="F344" s="2"/>
      <c r="G344" s="2"/>
      <c r="H344" s="2"/>
      <c r="I344" s="2"/>
    </row>
    <row r="345" spans="1:9" ht="12" customHeight="1">
      <c r="A345" s="171"/>
      <c r="B345" s="1"/>
      <c r="C345" s="1"/>
      <c r="D345" s="61"/>
      <c r="E345" s="61"/>
      <c r="F345" s="2"/>
      <c r="G345" s="2"/>
      <c r="H345" s="2"/>
      <c r="I345" s="2"/>
    </row>
    <row r="346" spans="1:9" ht="12" customHeight="1">
      <c r="A346" s="171"/>
      <c r="B346" s="1"/>
      <c r="C346" s="1"/>
      <c r="D346" s="61"/>
      <c r="E346" s="61"/>
      <c r="F346" s="2"/>
      <c r="G346" s="2"/>
      <c r="H346" s="2"/>
      <c r="I346" s="2"/>
    </row>
    <row r="347" spans="1:9" ht="12" customHeight="1">
      <c r="A347" s="171"/>
      <c r="B347" s="1"/>
      <c r="C347" s="1"/>
      <c r="D347" s="61"/>
      <c r="E347" s="61"/>
      <c r="F347" s="2"/>
      <c r="G347" s="2"/>
      <c r="H347" s="2"/>
      <c r="I347" s="2"/>
    </row>
    <row r="348" spans="1:9" ht="12" customHeight="1">
      <c r="A348" s="171"/>
      <c r="B348" s="1"/>
      <c r="C348" s="1"/>
      <c r="D348" s="61"/>
      <c r="E348" s="61"/>
      <c r="F348" s="2"/>
      <c r="G348" s="2"/>
      <c r="H348" s="2"/>
      <c r="I348" s="2"/>
    </row>
    <row r="349" spans="1:9" ht="12" customHeight="1">
      <c r="A349" s="171"/>
      <c r="B349" s="1"/>
      <c r="C349" s="1"/>
      <c r="D349" s="61"/>
      <c r="E349" s="61"/>
      <c r="F349" s="2"/>
      <c r="G349" s="2"/>
      <c r="H349" s="2"/>
      <c r="I349" s="2"/>
    </row>
    <row r="350" spans="1:9" ht="12" customHeight="1">
      <c r="A350" s="171"/>
      <c r="B350" s="1"/>
      <c r="C350" s="1"/>
      <c r="D350" s="61"/>
      <c r="E350" s="61"/>
      <c r="F350" s="2"/>
      <c r="G350" s="2"/>
      <c r="H350" s="2"/>
      <c r="I350" s="2"/>
    </row>
    <row r="351" spans="1:9" ht="12" customHeight="1">
      <c r="A351" s="171"/>
      <c r="B351" s="1"/>
      <c r="C351" s="1"/>
      <c r="D351" s="61"/>
      <c r="E351" s="61"/>
      <c r="F351" s="2"/>
      <c r="G351" s="2"/>
      <c r="H351" s="2"/>
      <c r="I351" s="2"/>
    </row>
    <row r="352" spans="1:9" ht="12" customHeight="1">
      <c r="A352" s="171"/>
      <c r="B352" s="1"/>
      <c r="C352" s="1"/>
      <c r="D352" s="61"/>
      <c r="E352" s="61"/>
      <c r="F352" s="2"/>
      <c r="G352" s="2"/>
      <c r="H352" s="2"/>
      <c r="I352" s="2"/>
    </row>
    <row r="353" spans="1:9" ht="12" customHeight="1">
      <c r="A353" s="171"/>
      <c r="B353" s="1"/>
      <c r="C353" s="1"/>
      <c r="D353" s="61"/>
      <c r="E353" s="61"/>
      <c r="F353" s="2"/>
      <c r="G353" s="2"/>
      <c r="H353" s="2"/>
      <c r="I353" s="2"/>
    </row>
    <row r="354" spans="1:9" ht="12" customHeight="1">
      <c r="A354" s="171"/>
      <c r="B354" s="1"/>
      <c r="C354" s="1"/>
      <c r="D354" s="61"/>
      <c r="E354" s="61"/>
      <c r="F354" s="2"/>
      <c r="G354" s="2"/>
      <c r="H354" s="2"/>
      <c r="I354" s="2"/>
    </row>
    <row r="355" spans="1:9" ht="12" customHeight="1">
      <c r="A355" s="171"/>
      <c r="B355" s="1"/>
      <c r="C355" s="1"/>
      <c r="D355" s="61"/>
      <c r="E355" s="61"/>
      <c r="F355" s="2"/>
      <c r="G355" s="2"/>
      <c r="H355" s="2"/>
      <c r="I355" s="2"/>
    </row>
    <row r="356" spans="1:9" ht="12" customHeight="1">
      <c r="A356" s="171"/>
      <c r="B356" s="1"/>
      <c r="C356" s="1"/>
      <c r="D356" s="61"/>
      <c r="E356" s="61"/>
      <c r="F356" s="2"/>
      <c r="G356" s="2"/>
      <c r="H356" s="2"/>
      <c r="I356" s="2"/>
    </row>
    <row r="357" spans="1:9" ht="12" customHeight="1">
      <c r="A357" s="171"/>
      <c r="B357" s="1"/>
      <c r="C357" s="1"/>
      <c r="D357" s="61"/>
      <c r="E357" s="61"/>
      <c r="F357" s="2"/>
      <c r="G357" s="2"/>
      <c r="H357" s="2"/>
      <c r="I357" s="2"/>
    </row>
    <row r="358" spans="1:9" ht="12" customHeight="1">
      <c r="A358" s="171"/>
      <c r="B358" s="1"/>
      <c r="C358" s="1"/>
      <c r="D358" s="61"/>
      <c r="E358" s="61"/>
      <c r="F358" s="2"/>
      <c r="G358" s="2"/>
      <c r="H358" s="2"/>
      <c r="I358" s="2"/>
    </row>
    <row r="359" spans="1:9" ht="12" customHeight="1">
      <c r="A359" s="171"/>
      <c r="B359" s="1"/>
      <c r="C359" s="1"/>
      <c r="D359" s="61"/>
      <c r="E359" s="61"/>
      <c r="F359" s="2"/>
      <c r="G359" s="2"/>
      <c r="H359" s="2"/>
      <c r="I359" s="2"/>
    </row>
    <row r="360" spans="1:9" ht="12" customHeight="1">
      <c r="A360" s="171"/>
      <c r="B360" s="1"/>
      <c r="C360" s="1"/>
      <c r="D360" s="61"/>
      <c r="E360" s="61"/>
      <c r="F360" s="2"/>
      <c r="G360" s="2"/>
      <c r="H360" s="2"/>
      <c r="I360" s="2"/>
    </row>
    <row r="361" spans="1:9" ht="12" customHeight="1">
      <c r="A361" s="171"/>
      <c r="B361" s="1"/>
      <c r="C361" s="1"/>
      <c r="D361" s="61"/>
      <c r="E361" s="61"/>
      <c r="F361" s="2"/>
      <c r="G361" s="2"/>
      <c r="H361" s="2"/>
      <c r="I361" s="2"/>
    </row>
    <row r="362" spans="1:9" ht="12" customHeight="1">
      <c r="A362" s="171"/>
      <c r="B362" s="1"/>
      <c r="C362" s="1"/>
      <c r="D362" s="61"/>
      <c r="E362" s="61"/>
      <c r="F362" s="2"/>
      <c r="G362" s="2"/>
      <c r="H362" s="2"/>
      <c r="I362" s="2"/>
    </row>
    <row r="363" spans="1:9" ht="12" customHeight="1">
      <c r="A363" s="171"/>
      <c r="B363" s="1"/>
      <c r="C363" s="1"/>
      <c r="D363" s="61"/>
      <c r="E363" s="61"/>
      <c r="F363" s="2"/>
      <c r="G363" s="2"/>
      <c r="H363" s="2"/>
      <c r="I363" s="2"/>
    </row>
    <row r="364" spans="1:9" ht="12" customHeight="1">
      <c r="A364" s="171"/>
      <c r="B364" s="1"/>
      <c r="C364" s="1"/>
      <c r="D364" s="61"/>
      <c r="E364" s="61"/>
      <c r="F364" s="2"/>
      <c r="G364" s="2"/>
      <c r="H364" s="2"/>
      <c r="I364" s="2"/>
    </row>
    <row r="365" spans="1:9" ht="12" customHeight="1">
      <c r="A365" s="171"/>
      <c r="B365" s="1"/>
      <c r="C365" s="1"/>
      <c r="D365" s="61"/>
      <c r="E365" s="61"/>
      <c r="F365" s="2"/>
      <c r="G365" s="2"/>
      <c r="H365" s="2"/>
      <c r="I365" s="2"/>
    </row>
    <row r="366" spans="1:9" ht="12" customHeight="1">
      <c r="A366" s="171"/>
      <c r="B366" s="1"/>
      <c r="C366" s="1"/>
      <c r="D366" s="61"/>
      <c r="E366" s="61"/>
      <c r="F366" s="2"/>
      <c r="G366" s="2"/>
      <c r="H366" s="2"/>
      <c r="I366" s="2"/>
    </row>
    <row r="367" spans="1:9" ht="12" customHeight="1">
      <c r="A367" s="171"/>
      <c r="B367" s="1"/>
      <c r="C367" s="1"/>
      <c r="D367" s="61"/>
      <c r="E367" s="61"/>
      <c r="F367" s="2"/>
      <c r="G367" s="2"/>
      <c r="H367" s="2"/>
      <c r="I367" s="2"/>
    </row>
    <row r="368" spans="1:9" ht="12" customHeight="1">
      <c r="A368" s="171"/>
      <c r="B368" s="1"/>
      <c r="C368" s="1"/>
      <c r="D368" s="61"/>
      <c r="E368" s="61"/>
      <c r="F368" s="2"/>
      <c r="G368" s="2"/>
      <c r="H368" s="2"/>
      <c r="I368" s="2"/>
    </row>
    <row r="369" spans="1:9" ht="12" customHeight="1">
      <c r="A369" s="171"/>
      <c r="B369" s="1"/>
      <c r="C369" s="1"/>
      <c r="D369" s="61"/>
      <c r="E369" s="61"/>
      <c r="F369" s="2"/>
      <c r="G369" s="2"/>
      <c r="H369" s="2"/>
      <c r="I369" s="2"/>
    </row>
    <row r="370" spans="1:9" ht="12" customHeight="1">
      <c r="A370" s="171"/>
      <c r="B370" s="1"/>
      <c r="C370" s="1"/>
      <c r="D370" s="61"/>
      <c r="E370" s="61"/>
      <c r="F370" s="2"/>
      <c r="G370" s="2"/>
      <c r="H370" s="2"/>
      <c r="I370" s="2"/>
    </row>
    <row r="371" spans="1:9" ht="12" customHeight="1">
      <c r="A371" s="171"/>
      <c r="B371" s="1"/>
      <c r="C371" s="1"/>
      <c r="D371" s="61"/>
      <c r="E371" s="61"/>
      <c r="F371" s="2"/>
      <c r="G371" s="2"/>
      <c r="H371" s="2"/>
      <c r="I371" s="2"/>
    </row>
    <row r="372" spans="1:9" ht="12" customHeight="1">
      <c r="A372" s="171"/>
      <c r="B372" s="1"/>
      <c r="C372" s="1"/>
      <c r="D372" s="61"/>
      <c r="E372" s="61"/>
      <c r="F372" s="2"/>
      <c r="G372" s="2"/>
      <c r="H372" s="2"/>
      <c r="I372" s="2"/>
    </row>
    <row r="373" spans="1:9" ht="12" customHeight="1">
      <c r="A373" s="171"/>
      <c r="B373" s="1"/>
      <c r="C373" s="1"/>
      <c r="D373" s="61"/>
      <c r="E373" s="61"/>
      <c r="F373" s="2"/>
      <c r="G373" s="2"/>
      <c r="H373" s="2"/>
      <c r="I373" s="2"/>
    </row>
    <row r="374" spans="1:9" ht="12" customHeight="1">
      <c r="A374" s="171"/>
      <c r="B374" s="1"/>
      <c r="C374" s="1"/>
      <c r="D374" s="61"/>
      <c r="E374" s="61"/>
      <c r="F374" s="2"/>
      <c r="G374" s="2"/>
      <c r="H374" s="2"/>
      <c r="I374" s="2"/>
    </row>
    <row r="375" spans="1:9" ht="12" customHeight="1">
      <c r="A375" s="171"/>
      <c r="B375" s="1"/>
      <c r="C375" s="1"/>
      <c r="D375" s="61"/>
      <c r="E375" s="61"/>
      <c r="F375" s="2"/>
      <c r="G375" s="2"/>
      <c r="H375" s="2"/>
      <c r="I375" s="2"/>
    </row>
    <row r="376" spans="1:9" ht="12" customHeight="1">
      <c r="A376" s="171"/>
      <c r="B376" s="1"/>
      <c r="C376" s="1"/>
      <c r="D376" s="61"/>
      <c r="E376" s="61"/>
      <c r="F376" s="2"/>
      <c r="G376" s="2"/>
      <c r="H376" s="2"/>
      <c r="I376" s="2"/>
    </row>
    <row r="377" spans="1:9" ht="12" customHeight="1">
      <c r="A377" s="171"/>
      <c r="B377" s="1"/>
      <c r="C377" s="1"/>
      <c r="D377" s="61"/>
      <c r="E377" s="61"/>
      <c r="F377" s="2"/>
      <c r="G377" s="2"/>
      <c r="H377" s="2"/>
      <c r="I377" s="2"/>
    </row>
    <row r="378" spans="1:9" ht="12" customHeight="1">
      <c r="A378" s="171"/>
      <c r="B378" s="1"/>
      <c r="C378" s="1"/>
      <c r="D378" s="61"/>
      <c r="E378" s="61"/>
      <c r="F378" s="2"/>
      <c r="G378" s="2"/>
      <c r="H378" s="2"/>
      <c r="I378" s="2"/>
    </row>
    <row r="379" spans="1:9" ht="12" customHeight="1">
      <c r="A379" s="171"/>
      <c r="B379" s="1"/>
      <c r="C379" s="1"/>
      <c r="D379" s="61"/>
      <c r="E379" s="61"/>
      <c r="F379" s="2"/>
      <c r="G379" s="2"/>
      <c r="H379" s="2"/>
      <c r="I379" s="2"/>
    </row>
    <row r="380" spans="1:9" ht="12" customHeight="1">
      <c r="A380" s="171"/>
      <c r="B380" s="1"/>
      <c r="C380" s="1"/>
      <c r="D380" s="61"/>
      <c r="E380" s="61"/>
      <c r="F380" s="2"/>
      <c r="G380" s="2"/>
      <c r="H380" s="2"/>
      <c r="I380" s="2"/>
    </row>
    <row r="381" spans="1:9" ht="12" customHeight="1">
      <c r="A381" s="171"/>
      <c r="B381" s="1"/>
      <c r="C381" s="1"/>
      <c r="D381" s="61"/>
      <c r="E381" s="61"/>
      <c r="F381" s="2"/>
      <c r="G381" s="2"/>
      <c r="H381" s="2"/>
      <c r="I381" s="2"/>
    </row>
    <row r="382" spans="1:9" ht="12" customHeight="1">
      <c r="A382" s="171"/>
      <c r="B382" s="1"/>
      <c r="C382" s="1"/>
      <c r="D382" s="61"/>
      <c r="E382" s="61"/>
      <c r="F382" s="2"/>
      <c r="G382" s="2"/>
      <c r="H382" s="2"/>
      <c r="I382" s="2"/>
    </row>
    <row r="383" spans="1:9" ht="12" customHeight="1">
      <c r="A383" s="171"/>
      <c r="B383" s="1"/>
      <c r="C383" s="1"/>
      <c r="D383" s="61"/>
      <c r="E383" s="61"/>
      <c r="F383" s="2"/>
      <c r="G383" s="2"/>
      <c r="H383" s="2"/>
      <c r="I383" s="2"/>
    </row>
    <row r="384" spans="1:9" ht="12" customHeight="1">
      <c r="A384" s="171"/>
      <c r="B384" s="1"/>
      <c r="C384" s="1"/>
      <c r="D384" s="61"/>
      <c r="E384" s="61"/>
      <c r="F384" s="2"/>
      <c r="G384" s="2"/>
      <c r="H384" s="2"/>
      <c r="I384" s="2"/>
    </row>
    <row r="385" spans="1:9" ht="12" customHeight="1">
      <c r="A385" s="171"/>
      <c r="B385" s="1"/>
      <c r="C385" s="1"/>
      <c r="D385" s="61"/>
      <c r="E385" s="61"/>
      <c r="F385" s="2"/>
      <c r="G385" s="2"/>
      <c r="H385" s="2"/>
      <c r="I385" s="2"/>
    </row>
    <row r="386" spans="1:9" ht="12" customHeight="1">
      <c r="A386" s="171"/>
      <c r="B386" s="1"/>
      <c r="C386" s="1"/>
      <c r="D386" s="61"/>
      <c r="E386" s="61"/>
      <c r="F386" s="2"/>
      <c r="G386" s="2"/>
      <c r="H386" s="2"/>
      <c r="I386" s="2"/>
    </row>
    <row r="387" spans="1:9" ht="12" customHeight="1">
      <c r="A387" s="171"/>
      <c r="B387" s="1"/>
      <c r="C387" s="1"/>
      <c r="D387" s="61"/>
      <c r="E387" s="61"/>
      <c r="F387" s="2"/>
      <c r="G387" s="2"/>
      <c r="H387" s="2"/>
      <c r="I387" s="2"/>
    </row>
    <row r="388" spans="1:9" ht="12" customHeight="1">
      <c r="A388" s="171"/>
      <c r="B388" s="1"/>
      <c r="C388" s="1"/>
      <c r="D388" s="61"/>
      <c r="E388" s="61"/>
      <c r="F388" s="2"/>
      <c r="G388" s="2"/>
      <c r="H388" s="2"/>
      <c r="I388" s="2"/>
    </row>
    <row r="389" spans="1:9" ht="12" customHeight="1">
      <c r="A389" s="171"/>
      <c r="B389" s="1"/>
      <c r="C389" s="1"/>
      <c r="D389" s="61"/>
      <c r="E389" s="61"/>
      <c r="F389" s="2"/>
      <c r="G389" s="2"/>
      <c r="H389" s="2"/>
      <c r="I389" s="2"/>
    </row>
    <row r="390" spans="1:9" ht="12" customHeight="1">
      <c r="A390" s="171"/>
      <c r="B390" s="1"/>
      <c r="C390" s="1"/>
      <c r="D390" s="61"/>
      <c r="E390" s="61"/>
      <c r="F390" s="2"/>
      <c r="G390" s="2"/>
      <c r="H390" s="2"/>
      <c r="I390" s="2"/>
    </row>
    <row r="391" spans="1:9" ht="12" customHeight="1">
      <c r="A391" s="171"/>
      <c r="B391" s="1"/>
      <c r="C391" s="1"/>
      <c r="D391" s="61"/>
      <c r="E391" s="61"/>
      <c r="F391" s="2"/>
      <c r="G391" s="2"/>
      <c r="H391" s="2"/>
      <c r="I391" s="2"/>
    </row>
    <row r="392" spans="1:9" ht="12" customHeight="1">
      <c r="A392" s="171"/>
      <c r="B392" s="1"/>
      <c r="C392" s="1"/>
      <c r="D392" s="61"/>
      <c r="E392" s="61"/>
      <c r="F392" s="2"/>
      <c r="G392" s="2"/>
      <c r="H392" s="2"/>
      <c r="I392" s="2"/>
    </row>
    <row r="393" spans="1:9" ht="12" customHeight="1">
      <c r="A393" s="171"/>
      <c r="B393" s="1"/>
      <c r="C393" s="1"/>
      <c r="D393" s="61"/>
      <c r="E393" s="61"/>
      <c r="F393" s="2"/>
      <c r="G393" s="2"/>
      <c r="H393" s="2"/>
      <c r="I393" s="2"/>
    </row>
    <row r="394" spans="1:9" ht="12" customHeight="1">
      <c r="A394" s="171"/>
      <c r="B394" s="1"/>
      <c r="C394" s="1"/>
      <c r="D394" s="61"/>
      <c r="E394" s="61"/>
      <c r="F394" s="2"/>
      <c r="G394" s="2"/>
      <c r="H394" s="2"/>
      <c r="I394" s="2"/>
    </row>
    <row r="395" spans="1:9" ht="12" customHeight="1">
      <c r="A395" s="171"/>
      <c r="B395" s="1"/>
      <c r="C395" s="1"/>
      <c r="D395" s="61"/>
      <c r="E395" s="61"/>
      <c r="F395" s="2"/>
      <c r="G395" s="2"/>
      <c r="H395" s="2"/>
      <c r="I395" s="2"/>
    </row>
    <row r="396" spans="1:9" ht="12" customHeight="1">
      <c r="A396" s="171"/>
      <c r="B396" s="1"/>
      <c r="C396" s="1"/>
      <c r="D396" s="61"/>
      <c r="E396" s="61"/>
      <c r="F396" s="2"/>
      <c r="G396" s="2"/>
      <c r="H396" s="2"/>
      <c r="I396" s="2"/>
    </row>
    <row r="397" spans="1:9" ht="12" customHeight="1">
      <c r="A397" s="171"/>
      <c r="B397" s="1"/>
      <c r="C397" s="1"/>
      <c r="D397" s="61"/>
      <c r="E397" s="61"/>
      <c r="F397" s="2"/>
      <c r="G397" s="2"/>
      <c r="H397" s="2"/>
      <c r="I397" s="2"/>
    </row>
    <row r="398" spans="1:9" ht="12" customHeight="1">
      <c r="A398" s="171"/>
      <c r="B398" s="1"/>
      <c r="C398" s="1"/>
      <c r="D398" s="61"/>
      <c r="E398" s="61"/>
      <c r="F398" s="2"/>
      <c r="G398" s="2"/>
      <c r="H398" s="2"/>
      <c r="I398" s="2"/>
    </row>
    <row r="399" spans="1:9" ht="12" customHeight="1">
      <c r="A399" s="171"/>
      <c r="B399" s="1"/>
      <c r="C399" s="1"/>
      <c r="D399" s="61"/>
      <c r="E399" s="61"/>
      <c r="F399" s="2"/>
      <c r="G399" s="2"/>
      <c r="H399" s="2"/>
      <c r="I399" s="2"/>
    </row>
    <row r="400" spans="1:9" ht="12" customHeight="1">
      <c r="A400" s="171"/>
      <c r="B400" s="1"/>
      <c r="C400" s="1"/>
      <c r="D400" s="61"/>
      <c r="E400" s="61"/>
      <c r="F400" s="2"/>
      <c r="G400" s="2"/>
      <c r="H400" s="2"/>
      <c r="I400" s="2"/>
    </row>
    <row r="401" spans="1:9" ht="12" customHeight="1">
      <c r="A401" s="171"/>
      <c r="B401" s="1"/>
      <c r="C401" s="1"/>
      <c r="D401" s="61"/>
      <c r="E401" s="61"/>
      <c r="F401" s="2"/>
      <c r="G401" s="2"/>
      <c r="H401" s="2"/>
      <c r="I401" s="2"/>
    </row>
    <row r="402" spans="1:9" ht="12" customHeight="1">
      <c r="A402" s="171"/>
      <c r="B402" s="1"/>
      <c r="C402" s="1"/>
      <c r="D402" s="61"/>
      <c r="E402" s="61"/>
      <c r="F402" s="2"/>
      <c r="G402" s="2"/>
      <c r="H402" s="2"/>
      <c r="I402" s="2"/>
    </row>
    <row r="403" spans="1:9" ht="12" customHeight="1">
      <c r="A403" s="171"/>
      <c r="B403" s="1"/>
      <c r="C403" s="1"/>
      <c r="D403" s="61"/>
      <c r="E403" s="61"/>
      <c r="F403" s="2"/>
      <c r="G403" s="2"/>
      <c r="H403" s="2"/>
      <c r="I403" s="2"/>
    </row>
    <row r="404" spans="1:9" ht="12" customHeight="1">
      <c r="A404" s="171"/>
      <c r="B404" s="1"/>
      <c r="C404" s="1"/>
      <c r="D404" s="61"/>
      <c r="E404" s="61"/>
      <c r="F404" s="2"/>
      <c r="G404" s="2"/>
      <c r="H404" s="2"/>
      <c r="I404" s="2"/>
    </row>
    <row r="405" spans="1:9" ht="12" customHeight="1">
      <c r="A405" s="171"/>
      <c r="B405" s="1"/>
      <c r="C405" s="1"/>
      <c r="D405" s="61"/>
      <c r="E405" s="61"/>
      <c r="F405" s="2"/>
      <c r="G405" s="2"/>
      <c r="H405" s="2"/>
      <c r="I405" s="2"/>
    </row>
    <row r="406" spans="1:9" ht="12" customHeight="1">
      <c r="A406" s="171"/>
      <c r="B406" s="1"/>
      <c r="C406" s="1"/>
      <c r="D406" s="61"/>
      <c r="E406" s="61"/>
      <c r="F406" s="2"/>
      <c r="G406" s="2"/>
      <c r="H406" s="2"/>
      <c r="I406" s="2"/>
    </row>
    <row r="407" spans="1:9" ht="12" customHeight="1">
      <c r="A407" s="171"/>
      <c r="B407" s="1"/>
      <c r="C407" s="1"/>
      <c r="D407" s="61"/>
      <c r="E407" s="61"/>
      <c r="F407" s="2"/>
      <c r="G407" s="2"/>
      <c r="H407" s="2"/>
      <c r="I407" s="2"/>
    </row>
    <row r="408" spans="1:9" ht="12" customHeight="1">
      <c r="A408" s="171"/>
      <c r="B408" s="1"/>
      <c r="C408" s="1"/>
      <c r="D408" s="61"/>
      <c r="E408" s="61"/>
      <c r="F408" s="2"/>
      <c r="G408" s="2"/>
      <c r="H408" s="2"/>
      <c r="I408" s="2"/>
    </row>
    <row r="409" spans="1:9" ht="12" customHeight="1">
      <c r="A409" s="171"/>
      <c r="B409" s="1"/>
      <c r="C409" s="1"/>
      <c r="D409" s="61"/>
      <c r="E409" s="61"/>
      <c r="F409" s="2"/>
      <c r="G409" s="2"/>
      <c r="H409" s="2"/>
      <c r="I409" s="2"/>
    </row>
    <row r="410" spans="1:9" ht="12" customHeight="1">
      <c r="A410" s="171"/>
      <c r="B410" s="1"/>
      <c r="C410" s="1"/>
      <c r="D410" s="61"/>
      <c r="E410" s="61"/>
      <c r="F410" s="2"/>
      <c r="G410" s="2"/>
      <c r="H410" s="2"/>
      <c r="I410" s="2"/>
    </row>
    <row r="411" spans="1:9" ht="12" customHeight="1">
      <c r="A411" s="171"/>
      <c r="B411" s="1"/>
      <c r="C411" s="1"/>
      <c r="D411" s="61"/>
      <c r="E411" s="61"/>
      <c r="F411" s="2"/>
      <c r="G411" s="2"/>
      <c r="H411" s="2"/>
      <c r="I411" s="2"/>
    </row>
    <row r="412" spans="1:9" ht="12" customHeight="1">
      <c r="A412" s="171"/>
      <c r="B412" s="1"/>
      <c r="C412" s="1"/>
      <c r="D412" s="61"/>
      <c r="E412" s="61"/>
      <c r="F412" s="2"/>
      <c r="G412" s="2"/>
      <c r="H412" s="2"/>
      <c r="I412" s="2"/>
    </row>
    <row r="413" spans="1:9" ht="12" customHeight="1">
      <c r="A413" s="171"/>
      <c r="B413" s="1"/>
      <c r="C413" s="1"/>
      <c r="D413" s="61"/>
      <c r="E413" s="61"/>
      <c r="F413" s="2"/>
      <c r="G413" s="2"/>
      <c r="H413" s="2"/>
      <c r="I413" s="2"/>
    </row>
    <row r="414" spans="1:9" ht="12" customHeight="1">
      <c r="A414" s="171"/>
      <c r="B414" s="1"/>
      <c r="C414" s="1"/>
      <c r="D414" s="61"/>
      <c r="E414" s="61"/>
      <c r="F414" s="2"/>
      <c r="G414" s="2"/>
      <c r="H414" s="2"/>
      <c r="I414" s="2"/>
    </row>
    <row r="415" spans="1:9" ht="12" customHeight="1">
      <c r="A415" s="171"/>
      <c r="B415" s="1"/>
      <c r="C415" s="1"/>
      <c r="D415" s="61"/>
      <c r="E415" s="61"/>
      <c r="F415" s="2"/>
      <c r="G415" s="2"/>
      <c r="H415" s="2"/>
      <c r="I415" s="2"/>
    </row>
    <row r="416" spans="1:9" ht="12" customHeight="1">
      <c r="A416" s="171"/>
      <c r="B416" s="1"/>
      <c r="C416" s="1"/>
      <c r="D416" s="61"/>
      <c r="E416" s="61"/>
      <c r="F416" s="2"/>
      <c r="G416" s="2"/>
      <c r="H416" s="2"/>
      <c r="I416" s="2"/>
    </row>
    <row r="417" spans="1:9" ht="12" customHeight="1">
      <c r="A417" s="171"/>
      <c r="B417" s="1"/>
      <c r="C417" s="1"/>
      <c r="D417" s="61"/>
      <c r="E417" s="61"/>
      <c r="F417" s="2"/>
      <c r="G417" s="2"/>
      <c r="H417" s="2"/>
      <c r="I417" s="2"/>
    </row>
    <row r="418" spans="1:9" ht="12" customHeight="1">
      <c r="A418" s="171"/>
      <c r="B418" s="1"/>
      <c r="C418" s="1"/>
      <c r="D418" s="61"/>
      <c r="E418" s="61"/>
      <c r="F418" s="2"/>
      <c r="G418" s="2"/>
      <c r="H418" s="2"/>
      <c r="I418" s="2"/>
    </row>
    <row r="419" spans="1:9" ht="12" customHeight="1">
      <c r="A419" s="171"/>
      <c r="B419" s="1"/>
      <c r="C419" s="1"/>
      <c r="D419" s="61"/>
      <c r="E419" s="61"/>
      <c r="F419" s="2"/>
      <c r="G419" s="2"/>
      <c r="H419" s="2"/>
      <c r="I419" s="2"/>
    </row>
    <row r="420" spans="1:9" ht="12" customHeight="1">
      <c r="A420" s="171"/>
      <c r="B420" s="1"/>
      <c r="C420" s="1"/>
      <c r="D420" s="61"/>
      <c r="E420" s="61"/>
      <c r="F420" s="2"/>
      <c r="G420" s="2"/>
      <c r="H420" s="2"/>
      <c r="I420" s="2"/>
    </row>
    <row r="421" spans="1:9" ht="12" customHeight="1">
      <c r="A421" s="171"/>
      <c r="B421" s="1"/>
      <c r="C421" s="1"/>
      <c r="D421" s="61"/>
      <c r="E421" s="61"/>
      <c r="F421" s="2"/>
      <c r="G421" s="2"/>
      <c r="H421" s="2"/>
      <c r="I421" s="2"/>
    </row>
    <row r="422" spans="1:9" ht="12" customHeight="1">
      <c r="A422" s="171"/>
      <c r="B422" s="1"/>
      <c r="C422" s="1"/>
      <c r="D422" s="61"/>
      <c r="E422" s="61"/>
      <c r="F422" s="2"/>
      <c r="G422" s="2"/>
      <c r="H422" s="2"/>
      <c r="I422" s="2"/>
    </row>
    <row r="423" spans="1:9" ht="12" customHeight="1">
      <c r="A423" s="171"/>
      <c r="B423" s="1"/>
      <c r="C423" s="1"/>
      <c r="D423" s="61"/>
      <c r="E423" s="61"/>
      <c r="F423" s="2"/>
      <c r="G423" s="2"/>
      <c r="H423" s="2"/>
      <c r="I423" s="2"/>
    </row>
    <row r="424" spans="1:9" ht="12" customHeight="1">
      <c r="A424" s="171"/>
      <c r="B424" s="1"/>
      <c r="C424" s="1"/>
      <c r="D424" s="61"/>
      <c r="E424" s="61"/>
      <c r="F424" s="2"/>
      <c r="G424" s="2"/>
      <c r="H424" s="2"/>
      <c r="I424" s="2"/>
    </row>
    <row r="425" spans="1:9" ht="12" customHeight="1">
      <c r="A425" s="171"/>
      <c r="B425" s="1"/>
      <c r="C425" s="1"/>
      <c r="D425" s="61"/>
      <c r="E425" s="61"/>
      <c r="F425" s="2"/>
      <c r="G425" s="2"/>
      <c r="H425" s="2"/>
      <c r="I425" s="2"/>
    </row>
    <row r="426" spans="1:9" ht="12" customHeight="1">
      <c r="A426" s="171"/>
      <c r="B426" s="1"/>
      <c r="C426" s="1"/>
      <c r="D426" s="61"/>
      <c r="E426" s="61"/>
      <c r="F426" s="2"/>
      <c r="G426" s="2"/>
      <c r="H426" s="2"/>
      <c r="I426" s="2"/>
    </row>
    <row r="427" spans="1:9" ht="12" customHeight="1">
      <c r="A427" s="171"/>
      <c r="B427" s="1"/>
      <c r="C427" s="1"/>
      <c r="D427" s="61"/>
      <c r="E427" s="61"/>
      <c r="F427" s="2"/>
      <c r="G427" s="2"/>
      <c r="H427" s="2"/>
      <c r="I427" s="2"/>
    </row>
    <row r="428" spans="1:9" ht="12" customHeight="1">
      <c r="A428" s="171"/>
      <c r="B428" s="1"/>
      <c r="C428" s="1"/>
      <c r="D428" s="61"/>
      <c r="E428" s="61"/>
      <c r="F428" s="2"/>
      <c r="G428" s="2"/>
      <c r="H428" s="2"/>
      <c r="I428" s="2"/>
    </row>
    <row r="429" spans="1:9" ht="12" customHeight="1">
      <c r="A429" s="171"/>
      <c r="B429" s="1"/>
      <c r="C429" s="1"/>
      <c r="D429" s="61"/>
      <c r="E429" s="61"/>
      <c r="F429" s="2"/>
      <c r="G429" s="2"/>
      <c r="H429" s="2"/>
      <c r="I429" s="2"/>
    </row>
    <row r="430" spans="1:9" ht="12" customHeight="1">
      <c r="A430" s="171"/>
      <c r="B430" s="1"/>
      <c r="C430" s="1"/>
      <c r="D430" s="61"/>
      <c r="E430" s="61"/>
      <c r="F430" s="2"/>
      <c r="G430" s="2"/>
      <c r="H430" s="2"/>
      <c r="I430" s="2"/>
    </row>
    <row r="431" spans="1:9" ht="12" customHeight="1">
      <c r="A431" s="171"/>
      <c r="B431" s="1"/>
      <c r="C431" s="1"/>
      <c r="D431" s="61"/>
      <c r="E431" s="61"/>
      <c r="F431" s="2"/>
      <c r="G431" s="2"/>
      <c r="H431" s="2"/>
      <c r="I431" s="2"/>
    </row>
    <row r="432" spans="1:9" ht="12" customHeight="1">
      <c r="A432" s="171"/>
      <c r="B432" s="1"/>
      <c r="C432" s="1"/>
      <c r="D432" s="61"/>
      <c r="E432" s="61"/>
      <c r="F432" s="2"/>
      <c r="G432" s="2"/>
      <c r="H432" s="2"/>
      <c r="I432" s="2"/>
    </row>
    <row r="433" spans="1:9" ht="12" customHeight="1">
      <c r="A433" s="171"/>
      <c r="B433" s="1"/>
      <c r="C433" s="1"/>
      <c r="D433" s="61"/>
      <c r="E433" s="61"/>
      <c r="F433" s="2"/>
      <c r="G433" s="2"/>
      <c r="H433" s="2"/>
      <c r="I433" s="2"/>
    </row>
    <row r="434" spans="1:9" ht="12" customHeight="1">
      <c r="A434" s="171"/>
      <c r="B434" s="1"/>
      <c r="C434" s="1"/>
      <c r="D434" s="61"/>
      <c r="E434" s="61"/>
      <c r="F434" s="2"/>
      <c r="G434" s="2"/>
      <c r="H434" s="2"/>
      <c r="I434" s="2"/>
    </row>
    <row r="435" spans="1:9" ht="12" customHeight="1">
      <c r="A435" s="171"/>
      <c r="B435" s="1"/>
      <c r="C435" s="1"/>
      <c r="D435" s="61"/>
      <c r="E435" s="61"/>
      <c r="F435" s="2"/>
      <c r="G435" s="2"/>
      <c r="H435" s="2"/>
      <c r="I435" s="2"/>
    </row>
    <row r="436" spans="1:9" ht="12" customHeight="1">
      <c r="A436" s="171"/>
      <c r="B436" s="1"/>
      <c r="C436" s="1"/>
      <c r="D436" s="61"/>
      <c r="E436" s="61"/>
      <c r="F436" s="2"/>
      <c r="G436" s="2"/>
      <c r="H436" s="2"/>
      <c r="I436" s="2"/>
    </row>
    <row r="437" spans="1:9" ht="12" customHeight="1">
      <c r="A437" s="171"/>
      <c r="B437" s="1"/>
      <c r="C437" s="1"/>
      <c r="D437" s="61"/>
      <c r="E437" s="61"/>
      <c r="F437" s="2"/>
      <c r="G437" s="2"/>
      <c r="H437" s="2"/>
      <c r="I437" s="2"/>
    </row>
    <row r="438" spans="1:9" ht="12" customHeight="1">
      <c r="A438" s="171"/>
      <c r="B438" s="1"/>
      <c r="C438" s="1"/>
      <c r="D438" s="61"/>
      <c r="E438" s="61"/>
      <c r="F438" s="2"/>
      <c r="G438" s="2"/>
      <c r="H438" s="2"/>
      <c r="I438" s="2"/>
    </row>
    <row r="439" spans="1:9" ht="12" customHeight="1">
      <c r="A439" s="171"/>
      <c r="B439" s="1"/>
      <c r="C439" s="1"/>
      <c r="D439" s="61"/>
      <c r="E439" s="61"/>
      <c r="F439" s="2"/>
      <c r="G439" s="2"/>
      <c r="H439" s="2"/>
      <c r="I439" s="2"/>
    </row>
    <row r="440" spans="1:9" ht="12" customHeight="1">
      <c r="A440" s="171"/>
      <c r="B440" s="1"/>
      <c r="C440" s="1"/>
      <c r="D440" s="61"/>
      <c r="E440" s="61"/>
      <c r="F440" s="2"/>
      <c r="G440" s="2"/>
      <c r="H440" s="2"/>
      <c r="I440" s="2"/>
    </row>
    <row r="441" spans="1:9" ht="12" customHeight="1">
      <c r="A441" s="171"/>
      <c r="B441" s="1"/>
      <c r="C441" s="1"/>
      <c r="D441" s="61"/>
      <c r="E441" s="61"/>
      <c r="F441" s="2"/>
      <c r="G441" s="2"/>
      <c r="H441" s="2"/>
      <c r="I441" s="2"/>
    </row>
    <row r="442" spans="1:9" ht="12" customHeight="1">
      <c r="A442" s="171"/>
      <c r="B442" s="1"/>
      <c r="C442" s="1"/>
      <c r="D442" s="61"/>
      <c r="E442" s="61"/>
      <c r="F442" s="2"/>
      <c r="G442" s="2"/>
      <c r="H442" s="2"/>
      <c r="I442" s="2"/>
    </row>
    <row r="443" spans="1:9" ht="12" customHeight="1">
      <c r="A443" s="171"/>
      <c r="B443" s="1"/>
      <c r="C443" s="1"/>
      <c r="D443" s="61"/>
      <c r="E443" s="61"/>
      <c r="F443" s="2"/>
      <c r="G443" s="2"/>
      <c r="H443" s="2"/>
      <c r="I443" s="2"/>
    </row>
    <row r="444" spans="1:9" ht="12" customHeight="1">
      <c r="A444" s="171"/>
      <c r="B444" s="1"/>
      <c r="C444" s="1"/>
      <c r="D444" s="61"/>
      <c r="E444" s="61"/>
      <c r="F444" s="2"/>
      <c r="G444" s="2"/>
      <c r="H444" s="2"/>
      <c r="I444" s="2"/>
    </row>
    <row r="445" spans="1:9" ht="12" customHeight="1">
      <c r="A445" s="171"/>
      <c r="B445" s="1"/>
      <c r="C445" s="1"/>
      <c r="D445" s="61"/>
      <c r="E445" s="61"/>
      <c r="F445" s="2"/>
      <c r="G445" s="2"/>
      <c r="H445" s="2"/>
      <c r="I445" s="2"/>
    </row>
    <row r="446" spans="1:9" ht="12" customHeight="1">
      <c r="A446" s="171"/>
      <c r="B446" s="1"/>
      <c r="C446" s="1"/>
      <c r="D446" s="61"/>
      <c r="E446" s="61"/>
      <c r="F446" s="2"/>
      <c r="G446" s="2"/>
      <c r="H446" s="2"/>
      <c r="I446" s="2"/>
    </row>
    <row r="447" spans="1:9" ht="12" customHeight="1">
      <c r="A447" s="171"/>
      <c r="B447" s="1"/>
      <c r="C447" s="1"/>
      <c r="D447" s="61"/>
      <c r="E447" s="61"/>
      <c r="F447" s="2"/>
      <c r="G447" s="2"/>
      <c r="H447" s="2"/>
      <c r="I447" s="2"/>
    </row>
    <row r="448" spans="1:9" ht="12" customHeight="1">
      <c r="A448" s="171"/>
      <c r="B448" s="1"/>
      <c r="C448" s="1"/>
      <c r="D448" s="61"/>
      <c r="E448" s="61"/>
      <c r="F448" s="2"/>
      <c r="G448" s="2"/>
      <c r="H448" s="2"/>
      <c r="I448" s="2"/>
    </row>
    <row r="449" spans="1:9" ht="12" customHeight="1">
      <c r="A449" s="171"/>
      <c r="B449" s="1"/>
      <c r="C449" s="1"/>
      <c r="D449" s="61"/>
      <c r="E449" s="61"/>
      <c r="F449" s="2"/>
      <c r="G449" s="2"/>
      <c r="H449" s="2"/>
      <c r="I449" s="2"/>
    </row>
    <row r="450" spans="1:9" ht="12" customHeight="1">
      <c r="A450" s="171"/>
      <c r="B450" s="1"/>
      <c r="C450" s="1"/>
      <c r="D450" s="61"/>
      <c r="E450" s="61"/>
      <c r="F450" s="2"/>
      <c r="G450" s="2"/>
      <c r="H450" s="2"/>
      <c r="I450" s="2"/>
    </row>
    <row r="451" spans="1:9" ht="12" customHeight="1">
      <c r="A451" s="171"/>
      <c r="B451" s="1"/>
      <c r="C451" s="1"/>
      <c r="D451" s="61"/>
      <c r="E451" s="61"/>
      <c r="F451" s="2"/>
      <c r="G451" s="2"/>
      <c r="H451" s="2"/>
      <c r="I451" s="2"/>
    </row>
    <row r="452" spans="1:9" ht="12" customHeight="1">
      <c r="A452" s="171"/>
      <c r="B452" s="1"/>
      <c r="C452" s="1"/>
      <c r="D452" s="61"/>
      <c r="E452" s="61"/>
      <c r="F452" s="2"/>
      <c r="G452" s="2"/>
      <c r="H452" s="2"/>
      <c r="I452" s="2"/>
    </row>
    <row r="453" spans="1:9" ht="12" customHeight="1">
      <c r="A453" s="171"/>
      <c r="B453" s="1"/>
      <c r="C453" s="1"/>
      <c r="D453" s="61"/>
      <c r="E453" s="61"/>
      <c r="F453" s="2"/>
      <c r="G453" s="2"/>
      <c r="H453" s="2"/>
      <c r="I453" s="2"/>
    </row>
    <row r="454" spans="1:9" ht="12" customHeight="1">
      <c r="A454" s="171"/>
      <c r="B454" s="1"/>
      <c r="C454" s="1"/>
      <c r="D454" s="61"/>
      <c r="E454" s="61"/>
      <c r="F454" s="2"/>
      <c r="G454" s="2"/>
      <c r="H454" s="2"/>
      <c r="I454" s="2"/>
    </row>
    <row r="455" spans="1:9" ht="12" customHeight="1">
      <c r="A455" s="171"/>
      <c r="B455" s="1"/>
      <c r="C455" s="1"/>
      <c r="D455" s="61"/>
      <c r="E455" s="61"/>
      <c r="F455" s="2"/>
      <c r="G455" s="2"/>
      <c r="H455" s="2"/>
      <c r="I455" s="2"/>
    </row>
    <row r="456" spans="1:9" ht="12" customHeight="1">
      <c r="A456" s="171"/>
      <c r="B456" s="1"/>
      <c r="C456" s="1"/>
      <c r="D456" s="61"/>
      <c r="E456" s="61"/>
      <c r="F456" s="2"/>
      <c r="G456" s="2"/>
      <c r="H456" s="2"/>
      <c r="I456" s="2"/>
    </row>
    <row r="457" spans="1:9" ht="12" customHeight="1">
      <c r="A457" s="171"/>
      <c r="B457" s="1"/>
      <c r="C457" s="1"/>
      <c r="D457" s="61"/>
      <c r="E457" s="61"/>
      <c r="F457" s="2"/>
      <c r="G457" s="2"/>
      <c r="H457" s="2"/>
      <c r="I457" s="2"/>
    </row>
    <row r="458" spans="1:9" ht="12" customHeight="1">
      <c r="A458" s="171"/>
      <c r="B458" s="1"/>
      <c r="C458" s="1"/>
      <c r="D458" s="61"/>
      <c r="E458" s="61"/>
      <c r="F458" s="2"/>
      <c r="G458" s="2"/>
      <c r="H458" s="2"/>
      <c r="I458" s="2"/>
    </row>
    <row r="459" spans="1:9" ht="12" customHeight="1">
      <c r="A459" s="171"/>
      <c r="B459" s="1"/>
      <c r="C459" s="1"/>
      <c r="D459" s="61"/>
      <c r="E459" s="61"/>
      <c r="F459" s="2"/>
      <c r="G459" s="2"/>
      <c r="H459" s="2"/>
      <c r="I459" s="2"/>
    </row>
    <row r="460" spans="1:9" ht="12" customHeight="1">
      <c r="A460" s="171"/>
      <c r="B460" s="1"/>
      <c r="C460" s="1"/>
      <c r="D460" s="61"/>
      <c r="E460" s="61"/>
      <c r="F460" s="2"/>
      <c r="G460" s="2"/>
      <c r="H460" s="2"/>
      <c r="I460" s="2"/>
    </row>
    <row r="461" spans="1:9" ht="12" customHeight="1">
      <c r="A461" s="171"/>
      <c r="B461" s="1"/>
      <c r="C461" s="1"/>
      <c r="D461" s="61"/>
      <c r="E461" s="61"/>
      <c r="F461" s="2"/>
      <c r="G461" s="2"/>
      <c r="H461" s="2"/>
      <c r="I461" s="2"/>
    </row>
    <row r="462" spans="1:9" ht="12" customHeight="1">
      <c r="A462" s="171"/>
      <c r="B462" s="1"/>
      <c r="C462" s="1"/>
      <c r="D462" s="61"/>
      <c r="E462" s="61"/>
      <c r="F462" s="2"/>
      <c r="G462" s="2"/>
      <c r="H462" s="2"/>
      <c r="I462" s="2"/>
    </row>
    <row r="463" spans="1:9" ht="12" customHeight="1">
      <c r="A463" s="171"/>
      <c r="B463" s="1"/>
      <c r="C463" s="1"/>
      <c r="D463" s="61"/>
      <c r="E463" s="61"/>
      <c r="F463" s="2"/>
      <c r="G463" s="2"/>
      <c r="H463" s="2"/>
      <c r="I463" s="2"/>
    </row>
    <row r="464" spans="1:9" ht="12" customHeight="1">
      <c r="A464" s="171"/>
      <c r="B464" s="1"/>
      <c r="C464" s="1"/>
      <c r="D464" s="61"/>
      <c r="E464" s="61"/>
      <c r="F464" s="2"/>
      <c r="G464" s="2"/>
      <c r="H464" s="2"/>
      <c r="I464" s="2"/>
    </row>
    <row r="465" spans="1:9" ht="12" customHeight="1">
      <c r="A465" s="171"/>
      <c r="B465" s="1"/>
      <c r="C465" s="1"/>
      <c r="D465" s="61"/>
      <c r="E465" s="61"/>
      <c r="F465" s="2"/>
      <c r="G465" s="2"/>
      <c r="H465" s="2"/>
      <c r="I465" s="2"/>
    </row>
    <row r="466" spans="1:9" ht="12" customHeight="1">
      <c r="A466" s="171"/>
      <c r="B466" s="1"/>
      <c r="C466" s="1"/>
      <c r="D466" s="61"/>
      <c r="E466" s="61"/>
      <c r="F466" s="2"/>
      <c r="G466" s="2"/>
      <c r="H466" s="2"/>
      <c r="I466" s="2"/>
    </row>
    <row r="467" spans="1:9" ht="12" customHeight="1">
      <c r="A467" s="171"/>
      <c r="B467" s="1"/>
      <c r="C467" s="1"/>
      <c r="D467" s="61"/>
      <c r="E467" s="61"/>
      <c r="F467" s="2"/>
      <c r="G467" s="2"/>
      <c r="H467" s="2"/>
      <c r="I467" s="2"/>
    </row>
    <row r="468" spans="1:9" ht="12" customHeight="1">
      <c r="A468" s="171"/>
      <c r="B468" s="1"/>
      <c r="C468" s="1"/>
      <c r="D468" s="61"/>
      <c r="E468" s="61"/>
      <c r="F468" s="2"/>
      <c r="G468" s="2"/>
      <c r="H468" s="2"/>
      <c r="I468" s="2"/>
    </row>
    <row r="469" spans="1:9" ht="12" customHeight="1">
      <c r="A469" s="171"/>
      <c r="B469" s="1"/>
      <c r="C469" s="1"/>
      <c r="D469" s="61"/>
      <c r="E469" s="61"/>
      <c r="F469" s="2"/>
      <c r="G469" s="2"/>
      <c r="H469" s="2"/>
      <c r="I469" s="2"/>
    </row>
    <row r="470" spans="1:9" ht="12" customHeight="1">
      <c r="A470" s="171"/>
      <c r="B470" s="1"/>
      <c r="C470" s="1"/>
      <c r="D470" s="61"/>
      <c r="E470" s="61"/>
      <c r="F470" s="2"/>
      <c r="G470" s="2"/>
      <c r="H470" s="2"/>
      <c r="I470" s="2"/>
    </row>
    <row r="471" spans="1:9" ht="12" customHeight="1">
      <c r="A471" s="171"/>
      <c r="B471" s="1"/>
      <c r="C471" s="1"/>
      <c r="D471" s="61"/>
      <c r="E471" s="61"/>
      <c r="F471" s="2"/>
      <c r="G471" s="2"/>
      <c r="H471" s="2"/>
      <c r="I471" s="2"/>
    </row>
    <row r="472" spans="1:9" ht="12" customHeight="1">
      <c r="A472" s="171"/>
      <c r="B472" s="1"/>
      <c r="C472" s="1"/>
      <c r="D472" s="61"/>
      <c r="E472" s="61"/>
      <c r="F472" s="2"/>
      <c r="G472" s="2"/>
      <c r="H472" s="2"/>
      <c r="I472" s="2"/>
    </row>
    <row r="473" spans="1:9" ht="12" customHeight="1">
      <c r="A473" s="171"/>
      <c r="B473" s="1"/>
      <c r="C473" s="1"/>
      <c r="D473" s="61"/>
      <c r="E473" s="61"/>
      <c r="F473" s="2"/>
      <c r="G473" s="2"/>
      <c r="H473" s="2"/>
      <c r="I473" s="2"/>
    </row>
    <row r="474" spans="1:9" ht="12" customHeight="1">
      <c r="A474" s="171"/>
      <c r="B474" s="1"/>
      <c r="C474" s="1"/>
      <c r="D474" s="61"/>
      <c r="E474" s="61"/>
      <c r="F474" s="2"/>
      <c r="G474" s="2"/>
      <c r="H474" s="2"/>
      <c r="I474" s="2"/>
    </row>
    <row r="475" spans="1:9" ht="12" customHeight="1">
      <c r="A475" s="171"/>
      <c r="B475" s="1"/>
      <c r="C475" s="1"/>
      <c r="D475" s="61"/>
      <c r="E475" s="61"/>
      <c r="F475" s="2"/>
      <c r="G475" s="2"/>
      <c r="H475" s="2"/>
      <c r="I475" s="2"/>
    </row>
    <row r="476" spans="1:9" ht="12" customHeight="1">
      <c r="A476" s="171"/>
      <c r="B476" s="1"/>
      <c r="C476" s="1"/>
      <c r="D476" s="61"/>
      <c r="E476" s="61"/>
      <c r="F476" s="2"/>
      <c r="G476" s="2"/>
      <c r="H476" s="2"/>
      <c r="I476" s="2"/>
    </row>
    <row r="477" spans="1:9" ht="12" customHeight="1">
      <c r="A477" s="171"/>
      <c r="B477" s="1"/>
      <c r="C477" s="1"/>
      <c r="D477" s="61"/>
      <c r="E477" s="61"/>
      <c r="F477" s="2"/>
      <c r="G477" s="2"/>
      <c r="H477" s="2"/>
      <c r="I477" s="2"/>
    </row>
    <row r="478" spans="1:9" ht="12" customHeight="1">
      <c r="A478" s="171"/>
      <c r="B478" s="1"/>
      <c r="C478" s="1"/>
      <c r="D478" s="61"/>
      <c r="E478" s="61"/>
      <c r="F478" s="2"/>
      <c r="G478" s="2"/>
      <c r="H478" s="2"/>
      <c r="I478" s="2"/>
    </row>
    <row r="479" spans="1:9" ht="12" customHeight="1">
      <c r="A479" s="171"/>
      <c r="B479" s="1"/>
      <c r="C479" s="1"/>
      <c r="D479" s="61"/>
      <c r="E479" s="61"/>
      <c r="F479" s="2"/>
      <c r="G479" s="2"/>
      <c r="H479" s="2"/>
      <c r="I479" s="2"/>
    </row>
    <row r="480" spans="1:9" ht="12" customHeight="1">
      <c r="A480" s="171"/>
      <c r="B480" s="1"/>
      <c r="C480" s="1"/>
      <c r="D480" s="61"/>
      <c r="E480" s="61"/>
      <c r="F480" s="2"/>
      <c r="G480" s="2"/>
      <c r="H480" s="2"/>
      <c r="I480" s="2"/>
    </row>
    <row r="481" spans="1:9" ht="12" customHeight="1">
      <c r="A481" s="171"/>
      <c r="B481" s="1"/>
      <c r="C481" s="1"/>
      <c r="D481" s="61"/>
      <c r="E481" s="61"/>
      <c r="F481" s="2"/>
      <c r="G481" s="2"/>
      <c r="H481" s="2"/>
      <c r="I481" s="2"/>
    </row>
    <row r="482" spans="1:9" ht="12" customHeight="1">
      <c r="A482" s="171"/>
      <c r="B482" s="1"/>
      <c r="C482" s="1"/>
      <c r="D482" s="61"/>
      <c r="E482" s="61"/>
      <c r="F482" s="2"/>
      <c r="G482" s="2"/>
      <c r="H482" s="2"/>
      <c r="I482" s="2"/>
    </row>
    <row r="483" spans="1:9" ht="12" customHeight="1">
      <c r="A483" s="171"/>
      <c r="B483" s="1"/>
      <c r="C483" s="1"/>
      <c r="D483" s="61"/>
      <c r="E483" s="61"/>
      <c r="F483" s="2"/>
      <c r="G483" s="2"/>
      <c r="H483" s="2"/>
      <c r="I483" s="2"/>
    </row>
    <row r="484" spans="1:9" ht="12" customHeight="1">
      <c r="A484" s="171"/>
      <c r="B484" s="1"/>
      <c r="C484" s="1"/>
      <c r="D484" s="61"/>
      <c r="E484" s="61"/>
      <c r="F484" s="2"/>
      <c r="G484" s="2"/>
      <c r="H484" s="2"/>
      <c r="I484" s="2"/>
    </row>
    <row r="485" spans="1:9" ht="12" customHeight="1">
      <c r="A485" s="171"/>
      <c r="B485" s="1"/>
      <c r="C485" s="1"/>
      <c r="D485" s="61"/>
      <c r="E485" s="61"/>
      <c r="F485" s="2"/>
      <c r="G485" s="2"/>
      <c r="H485" s="2"/>
      <c r="I485" s="2"/>
    </row>
    <row r="486" spans="1:9" ht="12" customHeight="1">
      <c r="A486" s="171"/>
      <c r="B486" s="1"/>
      <c r="C486" s="1"/>
      <c r="D486" s="61"/>
      <c r="E486" s="61"/>
      <c r="F486" s="2"/>
      <c r="G486" s="2"/>
      <c r="H486" s="2"/>
      <c r="I486" s="2"/>
    </row>
    <row r="487" spans="1:9" ht="12" customHeight="1">
      <c r="A487" s="171"/>
      <c r="B487" s="1"/>
      <c r="C487" s="1"/>
      <c r="D487" s="61"/>
      <c r="E487" s="61"/>
      <c r="F487" s="2"/>
      <c r="G487" s="2"/>
      <c r="H487" s="2"/>
      <c r="I487" s="2"/>
    </row>
    <row r="488" spans="1:9" ht="12" customHeight="1">
      <c r="A488" s="171"/>
      <c r="B488" s="1"/>
      <c r="C488" s="1"/>
      <c r="D488" s="61"/>
      <c r="E488" s="61"/>
      <c r="F488" s="2"/>
      <c r="G488" s="2"/>
      <c r="H488" s="2"/>
      <c r="I488" s="2"/>
    </row>
    <row r="489" spans="1:9" ht="12" customHeight="1">
      <c r="A489" s="171"/>
      <c r="B489" s="1"/>
      <c r="C489" s="1"/>
      <c r="D489" s="61"/>
      <c r="E489" s="61"/>
      <c r="F489" s="2"/>
      <c r="G489" s="2"/>
      <c r="H489" s="2"/>
      <c r="I489" s="2"/>
    </row>
    <row r="490" spans="1:9" ht="12" customHeight="1">
      <c r="A490" s="171"/>
      <c r="B490" s="1"/>
      <c r="C490" s="1"/>
      <c r="D490" s="61"/>
      <c r="E490" s="61"/>
      <c r="F490" s="2"/>
      <c r="G490" s="2"/>
      <c r="H490" s="2"/>
      <c r="I490" s="2"/>
    </row>
    <row r="491" spans="1:9" ht="12" customHeight="1">
      <c r="A491" s="171"/>
      <c r="B491" s="1"/>
      <c r="C491" s="1"/>
      <c r="D491" s="61"/>
      <c r="E491" s="61"/>
      <c r="F491" s="2"/>
      <c r="G491" s="2"/>
      <c r="H491" s="2"/>
      <c r="I491" s="2"/>
    </row>
    <row r="492" spans="1:9" ht="12" customHeight="1">
      <c r="A492" s="171"/>
      <c r="B492" s="1"/>
      <c r="C492" s="1"/>
      <c r="D492" s="61"/>
      <c r="E492" s="61"/>
      <c r="F492" s="2"/>
      <c r="G492" s="2"/>
      <c r="H492" s="2"/>
      <c r="I492" s="2"/>
    </row>
    <row r="493" spans="1:9" ht="12" customHeight="1">
      <c r="A493" s="171"/>
      <c r="B493" s="1"/>
      <c r="C493" s="1"/>
      <c r="D493" s="61"/>
      <c r="E493" s="61"/>
      <c r="F493" s="2"/>
      <c r="G493" s="2"/>
      <c r="H493" s="2"/>
      <c r="I493" s="2"/>
    </row>
    <row r="494" spans="1:9" ht="12" customHeight="1">
      <c r="A494" s="171"/>
      <c r="B494" s="1"/>
      <c r="C494" s="1"/>
      <c r="D494" s="61"/>
      <c r="E494" s="61"/>
      <c r="F494" s="2"/>
      <c r="G494" s="2"/>
      <c r="H494" s="2"/>
      <c r="I494" s="2"/>
    </row>
    <row r="495" spans="1:9" ht="12" customHeight="1">
      <c r="A495" s="171"/>
      <c r="B495" s="1"/>
      <c r="C495" s="1"/>
      <c r="D495" s="61"/>
      <c r="E495" s="61"/>
      <c r="F495" s="2"/>
      <c r="G495" s="2"/>
      <c r="H495" s="2"/>
      <c r="I495" s="2"/>
    </row>
    <row r="496" spans="1:9" ht="12" customHeight="1">
      <c r="A496" s="171"/>
      <c r="B496" s="1"/>
      <c r="C496" s="1"/>
      <c r="D496" s="61"/>
      <c r="E496" s="61"/>
      <c r="F496" s="2"/>
      <c r="G496" s="2"/>
      <c r="H496" s="2"/>
      <c r="I496" s="2"/>
    </row>
    <row r="497" spans="1:9" ht="12" customHeight="1">
      <c r="A497" s="171"/>
      <c r="B497" s="1"/>
      <c r="C497" s="1"/>
      <c r="D497" s="61"/>
      <c r="E497" s="61"/>
      <c r="F497" s="2"/>
      <c r="G497" s="2"/>
      <c r="H497" s="2"/>
      <c r="I497" s="2"/>
    </row>
    <row r="498" spans="1:9" ht="12" customHeight="1">
      <c r="A498" s="171"/>
      <c r="B498" s="1"/>
      <c r="C498" s="1"/>
      <c r="D498" s="61"/>
      <c r="E498" s="61"/>
      <c r="F498" s="2"/>
      <c r="G498" s="2"/>
      <c r="H498" s="2"/>
      <c r="I498" s="2"/>
    </row>
    <row r="499" spans="1:9" ht="12" customHeight="1">
      <c r="A499" s="171"/>
      <c r="B499" s="1"/>
      <c r="C499" s="1"/>
      <c r="D499" s="61"/>
      <c r="E499" s="61"/>
      <c r="F499" s="2"/>
      <c r="G499" s="2"/>
      <c r="H499" s="2"/>
      <c r="I499" s="2"/>
    </row>
    <row r="500" spans="1:9" ht="12" customHeight="1">
      <c r="A500" s="171"/>
      <c r="B500" s="1"/>
      <c r="C500" s="1"/>
      <c r="D500" s="61"/>
      <c r="E500" s="61"/>
      <c r="F500" s="2"/>
      <c r="G500" s="2"/>
      <c r="H500" s="2"/>
      <c r="I500" s="2"/>
    </row>
    <row r="501" spans="1:9" ht="12" customHeight="1">
      <c r="A501" s="171"/>
      <c r="B501" s="1"/>
      <c r="C501" s="1"/>
      <c r="D501" s="61"/>
      <c r="E501" s="61"/>
      <c r="F501" s="2"/>
      <c r="G501" s="2"/>
      <c r="H501" s="2"/>
      <c r="I501" s="2"/>
    </row>
    <row r="502" spans="1:9" ht="12" customHeight="1">
      <c r="A502" s="171"/>
      <c r="B502" s="1"/>
      <c r="C502" s="1"/>
      <c r="D502" s="61"/>
      <c r="E502" s="61"/>
      <c r="F502" s="2"/>
      <c r="G502" s="2"/>
      <c r="H502" s="2"/>
      <c r="I502" s="2"/>
    </row>
    <row r="503" spans="1:9" ht="12" customHeight="1">
      <c r="A503" s="171"/>
      <c r="B503" s="1"/>
      <c r="C503" s="1"/>
      <c r="D503" s="61"/>
      <c r="E503" s="61"/>
      <c r="F503" s="2"/>
      <c r="G503" s="2"/>
      <c r="H503" s="2"/>
      <c r="I503" s="2"/>
    </row>
    <row r="504" spans="1:9" ht="12" customHeight="1">
      <c r="A504" s="171"/>
      <c r="B504" s="1"/>
      <c r="C504" s="1"/>
      <c r="D504" s="61"/>
      <c r="E504" s="61"/>
      <c r="F504" s="2"/>
      <c r="G504" s="2"/>
      <c r="H504" s="2"/>
      <c r="I504" s="2"/>
    </row>
    <row r="505" spans="1:9" ht="12" customHeight="1">
      <c r="A505" s="171"/>
      <c r="B505" s="1"/>
      <c r="C505" s="1"/>
      <c r="D505" s="61"/>
      <c r="E505" s="61"/>
      <c r="F505" s="2"/>
      <c r="G505" s="2"/>
      <c r="H505" s="2"/>
      <c r="I505" s="2"/>
    </row>
    <row r="506" spans="1:9" ht="12" customHeight="1">
      <c r="A506" s="171"/>
      <c r="B506" s="1"/>
      <c r="C506" s="1"/>
      <c r="D506" s="61"/>
      <c r="E506" s="61"/>
      <c r="F506" s="2"/>
      <c r="G506" s="2"/>
      <c r="H506" s="2"/>
      <c r="I506" s="2"/>
    </row>
    <row r="507" spans="1:9" ht="12" customHeight="1">
      <c r="A507" s="171"/>
      <c r="B507" s="1"/>
      <c r="C507" s="1"/>
      <c r="D507" s="61"/>
      <c r="E507" s="61"/>
      <c r="F507" s="2"/>
      <c r="G507" s="2"/>
      <c r="H507" s="2"/>
      <c r="I507" s="2"/>
    </row>
    <row r="508" spans="1:9" ht="12" customHeight="1">
      <c r="A508" s="171"/>
      <c r="B508" s="1"/>
      <c r="C508" s="1"/>
      <c r="D508" s="61"/>
      <c r="E508" s="61"/>
      <c r="F508" s="2"/>
      <c r="G508" s="2"/>
      <c r="H508" s="2"/>
      <c r="I508" s="2"/>
    </row>
    <row r="509" spans="1:9" ht="12" customHeight="1">
      <c r="A509" s="171"/>
      <c r="B509" s="1"/>
      <c r="C509" s="1"/>
      <c r="D509" s="61"/>
      <c r="E509" s="61"/>
      <c r="F509" s="2"/>
      <c r="G509" s="2"/>
      <c r="H509" s="2"/>
      <c r="I509" s="2"/>
    </row>
    <row r="510" spans="1:9" ht="12" customHeight="1">
      <c r="A510" s="171"/>
      <c r="B510" s="1"/>
      <c r="C510" s="1"/>
      <c r="D510" s="61"/>
      <c r="E510" s="61"/>
      <c r="F510" s="2"/>
      <c r="G510" s="2"/>
      <c r="H510" s="2"/>
      <c r="I510" s="2"/>
    </row>
    <row r="511" spans="1:9" ht="12" customHeight="1">
      <c r="A511" s="171"/>
      <c r="B511" s="1"/>
      <c r="C511" s="1"/>
      <c r="D511" s="61"/>
      <c r="E511" s="61"/>
      <c r="F511" s="2"/>
      <c r="G511" s="2"/>
      <c r="H511" s="2"/>
      <c r="I511" s="2"/>
    </row>
    <row r="512" spans="1:9" ht="12" customHeight="1">
      <c r="A512" s="171"/>
      <c r="B512" s="1"/>
      <c r="C512" s="1"/>
      <c r="D512" s="61"/>
      <c r="E512" s="61"/>
      <c r="F512" s="2"/>
      <c r="G512" s="2"/>
      <c r="H512" s="2"/>
      <c r="I512" s="2"/>
    </row>
    <row r="513" spans="1:9" ht="12" customHeight="1">
      <c r="A513" s="171"/>
      <c r="B513" s="1"/>
      <c r="C513" s="1"/>
      <c r="D513" s="61"/>
      <c r="E513" s="61"/>
      <c r="F513" s="2"/>
      <c r="G513" s="2"/>
      <c r="H513" s="2"/>
      <c r="I513" s="2"/>
    </row>
    <row r="514" spans="1:9" ht="12" customHeight="1">
      <c r="A514" s="171"/>
      <c r="B514" s="1"/>
      <c r="C514" s="1"/>
      <c r="D514" s="61"/>
      <c r="E514" s="61"/>
      <c r="F514" s="2"/>
      <c r="G514" s="2"/>
      <c r="H514" s="2"/>
      <c r="I514" s="2"/>
    </row>
    <row r="515" spans="1:9" ht="12" customHeight="1">
      <c r="A515" s="171"/>
      <c r="B515" s="1"/>
      <c r="C515" s="1"/>
      <c r="D515" s="61"/>
      <c r="E515" s="61"/>
      <c r="F515" s="2"/>
      <c r="G515" s="2"/>
      <c r="H515" s="2"/>
      <c r="I515" s="2"/>
    </row>
    <row r="516" spans="1:9" ht="12" customHeight="1">
      <c r="A516" s="171"/>
      <c r="B516" s="1"/>
      <c r="C516" s="1"/>
      <c r="D516" s="61"/>
      <c r="E516" s="61"/>
      <c r="F516" s="2"/>
      <c r="G516" s="2"/>
      <c r="H516" s="2"/>
      <c r="I516" s="2"/>
    </row>
    <row r="517" spans="1:9" ht="12" customHeight="1">
      <c r="A517" s="171"/>
      <c r="B517" s="1"/>
      <c r="C517" s="1"/>
      <c r="D517" s="61"/>
      <c r="E517" s="61"/>
      <c r="F517" s="2"/>
      <c r="G517" s="2"/>
      <c r="H517" s="2"/>
      <c r="I517" s="2"/>
    </row>
    <row r="518" spans="1:9" ht="12" customHeight="1">
      <c r="A518" s="171"/>
      <c r="B518" s="1"/>
      <c r="C518" s="1"/>
      <c r="D518" s="61"/>
      <c r="E518" s="61"/>
      <c r="F518" s="2"/>
      <c r="G518" s="2"/>
      <c r="H518" s="2"/>
      <c r="I518" s="2"/>
    </row>
    <row r="519" spans="1:9" ht="12" customHeight="1">
      <c r="A519" s="171"/>
      <c r="B519" s="1"/>
      <c r="C519" s="1"/>
      <c r="D519" s="61"/>
      <c r="E519" s="61"/>
      <c r="F519" s="2"/>
      <c r="G519" s="2"/>
      <c r="H519" s="2"/>
      <c r="I519" s="2"/>
    </row>
    <row r="520" spans="1:9" ht="12" customHeight="1">
      <c r="A520" s="171"/>
      <c r="B520" s="1"/>
      <c r="C520" s="1"/>
      <c r="D520" s="61"/>
      <c r="E520" s="61"/>
      <c r="F520" s="2"/>
      <c r="G520" s="2"/>
      <c r="H520" s="2"/>
      <c r="I520" s="2"/>
    </row>
    <row r="521" spans="1:9" ht="12" customHeight="1">
      <c r="A521" s="171"/>
      <c r="B521" s="1"/>
      <c r="C521" s="1"/>
      <c r="D521" s="61"/>
      <c r="E521" s="61"/>
      <c r="F521" s="2"/>
      <c r="G521" s="2"/>
      <c r="H521" s="2"/>
      <c r="I521" s="2"/>
    </row>
    <row r="522" spans="1:9" ht="12" customHeight="1">
      <c r="A522" s="171"/>
      <c r="B522" s="1"/>
      <c r="C522" s="1"/>
      <c r="D522" s="61"/>
      <c r="E522" s="61"/>
      <c r="F522" s="2"/>
      <c r="G522" s="2"/>
      <c r="H522" s="2"/>
      <c r="I522" s="2"/>
    </row>
    <row r="523" spans="1:9" ht="12" customHeight="1">
      <c r="A523" s="171"/>
      <c r="B523" s="1"/>
      <c r="C523" s="1"/>
      <c r="D523" s="61"/>
      <c r="E523" s="61"/>
      <c r="F523" s="2"/>
      <c r="G523" s="2"/>
      <c r="H523" s="2"/>
      <c r="I523" s="2"/>
    </row>
    <row r="524" spans="1:9" ht="12" customHeight="1">
      <c r="A524" s="171"/>
      <c r="B524" s="1"/>
      <c r="C524" s="1"/>
      <c r="D524" s="61"/>
      <c r="E524" s="61"/>
      <c r="F524" s="2"/>
      <c r="G524" s="2"/>
      <c r="H524" s="2"/>
      <c r="I524" s="2"/>
    </row>
    <row r="525" spans="1:9" ht="12" customHeight="1">
      <c r="A525" s="171"/>
      <c r="B525" s="1"/>
      <c r="C525" s="1"/>
      <c r="D525" s="61"/>
      <c r="E525" s="61"/>
      <c r="F525" s="2"/>
      <c r="G525" s="2"/>
      <c r="H525" s="2"/>
      <c r="I525" s="2"/>
    </row>
    <row r="526" spans="1:9" ht="12" customHeight="1">
      <c r="A526" s="171"/>
      <c r="B526" s="1"/>
      <c r="C526" s="1"/>
      <c r="D526" s="61"/>
      <c r="E526" s="61"/>
      <c r="F526" s="2"/>
      <c r="G526" s="2"/>
      <c r="H526" s="2"/>
      <c r="I526" s="2"/>
    </row>
    <row r="527" spans="1:9" ht="12" customHeight="1">
      <c r="A527" s="171"/>
      <c r="B527" s="1"/>
      <c r="C527" s="1"/>
      <c r="D527" s="61"/>
      <c r="E527" s="61"/>
      <c r="F527" s="2"/>
      <c r="G527" s="2"/>
      <c r="H527" s="2"/>
      <c r="I527" s="2"/>
    </row>
    <row r="528" spans="1:9" ht="12" customHeight="1">
      <c r="A528" s="171"/>
      <c r="B528" s="1"/>
      <c r="C528" s="1"/>
      <c r="D528" s="61"/>
      <c r="E528" s="61"/>
      <c r="F528" s="2"/>
      <c r="G528" s="2"/>
      <c r="H528" s="2"/>
      <c r="I528" s="2"/>
    </row>
    <row r="529" spans="1:9" ht="12" customHeight="1">
      <c r="A529" s="171"/>
      <c r="B529" s="1"/>
      <c r="C529" s="1"/>
      <c r="D529" s="61"/>
      <c r="E529" s="61"/>
      <c r="F529" s="2"/>
      <c r="G529" s="2"/>
      <c r="H529" s="2"/>
      <c r="I529" s="2"/>
    </row>
    <row r="530" spans="1:9" ht="12" customHeight="1">
      <c r="A530" s="171"/>
      <c r="B530" s="1"/>
      <c r="C530" s="1"/>
      <c r="D530" s="61"/>
      <c r="E530" s="61"/>
      <c r="F530" s="2"/>
      <c r="G530" s="2"/>
      <c r="H530" s="2"/>
      <c r="I530" s="2"/>
    </row>
    <row r="531" spans="1:9" ht="12" customHeight="1">
      <c r="A531" s="171"/>
      <c r="B531" s="1"/>
      <c r="C531" s="1"/>
      <c r="D531" s="61"/>
      <c r="E531" s="61"/>
      <c r="F531" s="2"/>
      <c r="G531" s="2"/>
      <c r="H531" s="2"/>
      <c r="I531" s="2"/>
    </row>
    <row r="532" spans="1:9" ht="12" customHeight="1">
      <c r="A532" s="171"/>
      <c r="B532" s="1"/>
      <c r="C532" s="1"/>
      <c r="D532" s="61"/>
      <c r="E532" s="61"/>
      <c r="F532" s="2"/>
      <c r="G532" s="2"/>
      <c r="H532" s="2"/>
      <c r="I532" s="2"/>
    </row>
    <row r="533" spans="1:9" ht="12" customHeight="1">
      <c r="A533" s="171"/>
      <c r="B533" s="1"/>
      <c r="C533" s="1"/>
      <c r="D533" s="61"/>
      <c r="E533" s="61"/>
      <c r="F533" s="2"/>
      <c r="G533" s="2"/>
      <c r="H533" s="2"/>
      <c r="I533" s="2"/>
    </row>
    <row r="534" spans="1:9" ht="12" customHeight="1">
      <c r="A534" s="171"/>
      <c r="B534" s="1"/>
      <c r="C534" s="1"/>
      <c r="D534" s="61"/>
      <c r="E534" s="61"/>
      <c r="F534" s="2"/>
      <c r="G534" s="2"/>
      <c r="H534" s="2"/>
      <c r="I534" s="2"/>
    </row>
    <row r="535" spans="1:9" ht="12" customHeight="1">
      <c r="A535" s="171"/>
      <c r="B535" s="1"/>
      <c r="C535" s="1"/>
      <c r="D535" s="61"/>
      <c r="E535" s="61"/>
      <c r="F535" s="2"/>
      <c r="G535" s="2"/>
      <c r="H535" s="2"/>
      <c r="I535" s="2"/>
    </row>
    <row r="536" spans="1:9" ht="12" customHeight="1">
      <c r="A536" s="171"/>
      <c r="B536" s="1"/>
      <c r="C536" s="1"/>
      <c r="D536" s="61"/>
      <c r="E536" s="61"/>
      <c r="F536" s="2"/>
      <c r="G536" s="2"/>
      <c r="H536" s="2"/>
      <c r="I536" s="2"/>
    </row>
    <row r="537" spans="1:9" ht="12.75">
      <c r="A537" s="171"/>
      <c r="B537" s="1"/>
      <c r="C537" s="1"/>
      <c r="D537" s="61"/>
      <c r="E537" s="61"/>
      <c r="F537" s="2"/>
      <c r="G537" s="2"/>
      <c r="H537" s="2"/>
      <c r="I537" s="2"/>
    </row>
    <row r="538" spans="1:9" ht="12.75">
      <c r="A538" s="171"/>
      <c r="B538" s="1"/>
      <c r="C538" s="1"/>
      <c r="D538" s="61"/>
      <c r="E538" s="61"/>
      <c r="F538" s="2"/>
      <c r="G538" s="2"/>
      <c r="H538" s="2"/>
      <c r="I538" s="2"/>
    </row>
    <row r="539" spans="1:9" ht="12.75">
      <c r="A539" s="171"/>
      <c r="B539" s="1"/>
      <c r="C539" s="1"/>
      <c r="D539" s="61"/>
      <c r="E539" s="61"/>
      <c r="F539" s="2"/>
      <c r="G539" s="2"/>
      <c r="H539" s="2"/>
      <c r="I539" s="2"/>
    </row>
    <row r="540" spans="1:9" ht="12.75">
      <c r="A540" s="171"/>
      <c r="B540" s="1"/>
      <c r="C540" s="1"/>
      <c r="D540" s="61"/>
      <c r="E540" s="61"/>
      <c r="F540" s="2"/>
      <c r="G540" s="2"/>
      <c r="H540" s="2"/>
      <c r="I540" s="2"/>
    </row>
    <row r="541" spans="1:9" ht="12.75">
      <c r="A541" s="171"/>
      <c r="B541" s="1"/>
      <c r="C541" s="1"/>
      <c r="D541" s="61"/>
      <c r="E541" s="61"/>
      <c r="F541" s="2"/>
      <c r="G541" s="2"/>
      <c r="H541" s="2"/>
      <c r="I541" s="2"/>
    </row>
    <row r="542" spans="1:9" ht="12.75">
      <c r="A542" s="171"/>
      <c r="B542" s="1"/>
      <c r="C542" s="1"/>
      <c r="D542" s="61"/>
      <c r="E542" s="61"/>
      <c r="F542" s="2"/>
      <c r="G542" s="2"/>
      <c r="H542" s="2"/>
      <c r="I542" s="2"/>
    </row>
    <row r="543" spans="1:9" ht="12.75">
      <c r="A543" s="171"/>
      <c r="B543" s="1"/>
      <c r="C543" s="1"/>
      <c r="D543" s="61"/>
      <c r="E543" s="61"/>
      <c r="F543" s="2"/>
      <c r="G543" s="2"/>
      <c r="H543" s="2"/>
      <c r="I543" s="2"/>
    </row>
    <row r="544" spans="1:9" ht="12.75">
      <c r="A544" s="171"/>
      <c r="B544" s="1"/>
      <c r="C544" s="1"/>
      <c r="D544" s="61"/>
      <c r="E544" s="61"/>
      <c r="F544" s="2"/>
      <c r="G544" s="2"/>
      <c r="H544" s="2"/>
      <c r="I544" s="2"/>
    </row>
    <row r="545" spans="1:9" ht="12.75">
      <c r="A545" s="171"/>
      <c r="B545" s="1"/>
      <c r="C545" s="1"/>
      <c r="D545" s="61"/>
      <c r="E545" s="61"/>
      <c r="F545" s="2"/>
      <c r="G545" s="2"/>
      <c r="H545" s="2"/>
      <c r="I545" s="2"/>
    </row>
    <row r="546" spans="1:9" ht="12.75">
      <c r="A546" s="171"/>
      <c r="B546" s="1"/>
      <c r="C546" s="1"/>
      <c r="D546" s="61"/>
      <c r="E546" s="61"/>
      <c r="F546" s="2"/>
      <c r="G546" s="2"/>
      <c r="H546" s="2"/>
      <c r="I546" s="2"/>
    </row>
    <row r="547" spans="1:9" ht="12.75">
      <c r="A547" s="171"/>
      <c r="B547" s="1"/>
      <c r="C547" s="1"/>
      <c r="D547" s="61"/>
      <c r="E547" s="61"/>
      <c r="F547" s="2"/>
      <c r="G547" s="2"/>
      <c r="H547" s="2"/>
      <c r="I547" s="2"/>
    </row>
    <row r="548" spans="1:9" ht="12.75">
      <c r="A548" s="171"/>
      <c r="B548" s="1"/>
      <c r="C548" s="1"/>
      <c r="D548" s="61"/>
      <c r="E548" s="61"/>
      <c r="F548" s="2"/>
      <c r="G548" s="2"/>
      <c r="H548" s="2"/>
      <c r="I548" s="2"/>
    </row>
    <row r="549" spans="1:9" ht="12.75">
      <c r="A549" s="171"/>
      <c r="B549" s="1"/>
      <c r="C549" s="1"/>
      <c r="D549" s="61"/>
      <c r="E549" s="61"/>
      <c r="F549" s="2"/>
      <c r="G549" s="2"/>
      <c r="H549" s="2"/>
      <c r="I549" s="2"/>
    </row>
    <row r="550" spans="1:9" ht="12.75">
      <c r="A550" s="171"/>
      <c r="B550" s="1"/>
      <c r="C550" s="1"/>
      <c r="D550" s="61"/>
      <c r="E550" s="61"/>
      <c r="F550" s="2"/>
      <c r="G550" s="2"/>
      <c r="H550" s="2"/>
      <c r="I550" s="2"/>
    </row>
    <row r="551" spans="1:9" ht="12.75">
      <c r="A551" s="171"/>
      <c r="B551" s="1"/>
      <c r="C551" s="1"/>
      <c r="D551" s="61"/>
      <c r="E551" s="61"/>
      <c r="F551" s="2"/>
      <c r="G551" s="2"/>
      <c r="H551" s="2"/>
      <c r="I551" s="2"/>
    </row>
    <row r="552" spans="1:9" ht="12.75">
      <c r="A552" s="171"/>
      <c r="B552" s="1"/>
      <c r="C552" s="1"/>
      <c r="D552" s="61"/>
      <c r="E552" s="61"/>
      <c r="F552" s="2"/>
      <c r="G552" s="2"/>
      <c r="H552" s="2"/>
      <c r="I552" s="2"/>
    </row>
    <row r="553" spans="1:9" ht="12.75">
      <c r="A553" s="171"/>
      <c r="B553" s="1"/>
      <c r="C553" s="1"/>
      <c r="D553" s="61"/>
      <c r="E553" s="61"/>
      <c r="F553" s="2"/>
      <c r="G553" s="2"/>
      <c r="H553" s="2"/>
      <c r="I553" s="2"/>
    </row>
    <row r="554" spans="1:9" ht="12.75">
      <c r="A554" s="171"/>
      <c r="B554" s="1"/>
      <c r="C554" s="1"/>
      <c r="D554" s="61"/>
      <c r="E554" s="61"/>
      <c r="F554" s="2"/>
      <c r="G554" s="2"/>
      <c r="H554" s="2"/>
      <c r="I554" s="2"/>
    </row>
    <row r="555" spans="1:9" ht="12.75">
      <c r="A555" s="171"/>
      <c r="B555" s="1"/>
      <c r="C555" s="1"/>
      <c r="D555" s="61"/>
      <c r="E555" s="61"/>
      <c r="F555" s="2"/>
      <c r="G555" s="2"/>
      <c r="H555" s="2"/>
      <c r="I555" s="2"/>
    </row>
    <row r="556" spans="1:9" ht="12.75">
      <c r="A556" s="171"/>
      <c r="B556" s="1"/>
      <c r="C556" s="1"/>
      <c r="D556" s="61"/>
      <c r="E556" s="61"/>
      <c r="F556" s="2"/>
      <c r="G556" s="2"/>
      <c r="H556" s="2"/>
      <c r="I556" s="2"/>
    </row>
    <row r="557" spans="1:9" ht="12.75">
      <c r="A557" s="171"/>
      <c r="B557" s="1"/>
      <c r="C557" s="1"/>
      <c r="D557" s="61"/>
      <c r="E557" s="61"/>
      <c r="F557" s="2"/>
      <c r="G557" s="2"/>
      <c r="H557" s="2"/>
      <c r="I557" s="2"/>
    </row>
    <row r="558" spans="1:9" ht="12.75">
      <c r="A558" s="171"/>
      <c r="B558" s="1"/>
      <c r="C558" s="1"/>
      <c r="D558" s="61"/>
      <c r="E558" s="61"/>
      <c r="F558" s="2"/>
      <c r="G558" s="2"/>
      <c r="H558" s="2"/>
      <c r="I558" s="2"/>
    </row>
    <row r="559" spans="1:9" ht="12.75">
      <c r="A559" s="171"/>
      <c r="B559" s="1"/>
      <c r="C559" s="1"/>
      <c r="D559" s="61"/>
      <c r="E559" s="61"/>
      <c r="F559" s="2"/>
      <c r="G559" s="2"/>
      <c r="H559" s="2"/>
      <c r="I559" s="2"/>
    </row>
    <row r="560" spans="1:9" ht="12.75">
      <c r="A560" s="171"/>
      <c r="B560" s="1"/>
      <c r="C560" s="1"/>
      <c r="D560" s="61"/>
      <c r="E560" s="61"/>
      <c r="F560" s="2"/>
      <c r="G560" s="2"/>
      <c r="H560" s="2"/>
      <c r="I560" s="2"/>
    </row>
    <row r="561" spans="1:9" ht="12.75">
      <c r="A561" s="171"/>
      <c r="B561" s="1"/>
      <c r="C561" s="1"/>
      <c r="D561" s="61"/>
      <c r="E561" s="61"/>
      <c r="F561" s="2"/>
      <c r="G561" s="2"/>
      <c r="H561" s="2"/>
      <c r="I561" s="2"/>
    </row>
    <row r="562" spans="1:9" ht="12.75">
      <c r="A562" s="171"/>
      <c r="B562" s="1"/>
      <c r="C562" s="1"/>
      <c r="D562" s="61"/>
      <c r="E562" s="61"/>
      <c r="F562" s="2"/>
      <c r="G562" s="2"/>
      <c r="H562" s="2"/>
      <c r="I562" s="2"/>
    </row>
    <row r="563" spans="1:9" ht="12.75">
      <c r="A563" s="171"/>
      <c r="B563" s="1"/>
      <c r="C563" s="1"/>
      <c r="D563" s="61"/>
      <c r="E563" s="61"/>
      <c r="F563" s="2"/>
      <c r="G563" s="2"/>
      <c r="H563" s="2"/>
      <c r="I563" s="2"/>
    </row>
    <row r="564" spans="1:9" ht="12.75">
      <c r="A564" s="171"/>
      <c r="B564" s="1"/>
      <c r="C564" s="1"/>
      <c r="D564" s="61"/>
      <c r="E564" s="61"/>
      <c r="F564" s="2"/>
      <c r="G564" s="2"/>
      <c r="H564" s="2"/>
      <c r="I564" s="2"/>
    </row>
    <row r="565" spans="1:9" ht="12.75">
      <c r="A565" s="171"/>
      <c r="B565" s="1"/>
      <c r="C565" s="1"/>
      <c r="D565" s="61"/>
      <c r="E565" s="61"/>
      <c r="F565" s="2"/>
      <c r="G565" s="2"/>
      <c r="H565" s="2"/>
      <c r="I565" s="2"/>
    </row>
    <row r="566" spans="1:9" ht="12.75">
      <c r="A566" s="171"/>
      <c r="B566" s="1"/>
      <c r="C566" s="1"/>
      <c r="D566" s="61"/>
      <c r="E566" s="61"/>
      <c r="F566" s="2"/>
      <c r="G566" s="2"/>
      <c r="H566" s="2"/>
      <c r="I566" s="2"/>
    </row>
    <row r="567" spans="1:9" ht="12.75">
      <c r="A567" s="171"/>
      <c r="B567" s="1"/>
      <c r="C567" s="1"/>
      <c r="D567" s="61"/>
      <c r="E567" s="61"/>
      <c r="F567" s="2"/>
      <c r="G567" s="2"/>
      <c r="H567" s="2"/>
      <c r="I567" s="2"/>
    </row>
    <row r="568" spans="1:9" ht="12.75">
      <c r="A568" s="171"/>
      <c r="B568" s="1"/>
      <c r="C568" s="1"/>
      <c r="D568" s="61"/>
      <c r="E568" s="61"/>
      <c r="F568" s="2"/>
      <c r="G568" s="2"/>
      <c r="H568" s="2"/>
      <c r="I568" s="2"/>
    </row>
    <row r="569" spans="1:9" ht="12.75">
      <c r="A569" s="171"/>
      <c r="B569" s="1"/>
      <c r="C569" s="1"/>
      <c r="D569" s="61"/>
      <c r="E569" s="61"/>
      <c r="F569" s="2"/>
      <c r="G569" s="2"/>
      <c r="H569" s="2"/>
      <c r="I569" s="2"/>
    </row>
    <row r="570" spans="1:9" ht="12.75">
      <c r="A570" s="171"/>
      <c r="B570" s="1"/>
      <c r="C570" s="1"/>
      <c r="D570" s="61"/>
      <c r="E570" s="61"/>
      <c r="F570" s="2"/>
      <c r="G570" s="2"/>
      <c r="H570" s="2"/>
      <c r="I570" s="2"/>
    </row>
    <row r="571" spans="1:9" ht="12.75">
      <c r="A571" s="171"/>
      <c r="B571" s="1"/>
      <c r="C571" s="1"/>
      <c r="D571" s="61"/>
      <c r="E571" s="61"/>
      <c r="F571" s="2"/>
      <c r="G571" s="2"/>
      <c r="H571" s="2"/>
      <c r="I571" s="2"/>
    </row>
    <row r="572" spans="1:9" ht="12.75">
      <c r="A572" s="171"/>
      <c r="B572" s="1"/>
      <c r="C572" s="1"/>
      <c r="D572" s="61"/>
      <c r="E572" s="61"/>
      <c r="F572" s="2"/>
      <c r="G572" s="2"/>
      <c r="H572" s="2"/>
      <c r="I572" s="2"/>
    </row>
    <row r="573" spans="1:9" ht="12.75">
      <c r="A573" s="171"/>
      <c r="B573" s="1"/>
      <c r="C573" s="1"/>
      <c r="D573" s="61"/>
      <c r="E573" s="61"/>
      <c r="F573" s="2"/>
      <c r="G573" s="2"/>
      <c r="H573" s="2"/>
      <c r="I573" s="2"/>
    </row>
    <row r="574" spans="1:9" ht="12.75">
      <c r="A574" s="171"/>
      <c r="B574" s="1"/>
      <c r="C574" s="1"/>
      <c r="D574" s="61"/>
      <c r="E574" s="61"/>
      <c r="F574" s="2"/>
      <c r="G574" s="2"/>
      <c r="H574" s="2"/>
      <c r="I574" s="2"/>
    </row>
    <row r="575" spans="1:9" ht="12.75">
      <c r="A575" s="171"/>
      <c r="B575" s="1"/>
      <c r="C575" s="1"/>
      <c r="D575" s="61"/>
      <c r="E575" s="61"/>
      <c r="F575" s="2"/>
      <c r="G575" s="2"/>
      <c r="H575" s="2"/>
      <c r="I575" s="2"/>
    </row>
    <row r="576" spans="1:9" ht="12.75">
      <c r="A576" s="171"/>
      <c r="B576" s="1"/>
      <c r="C576" s="1"/>
      <c r="D576" s="61"/>
      <c r="E576" s="61"/>
      <c r="F576" s="2"/>
      <c r="G576" s="2"/>
      <c r="H576" s="2"/>
      <c r="I576" s="2"/>
    </row>
    <row r="577" spans="1:9" ht="12.75">
      <c r="A577" s="171"/>
      <c r="B577" s="1"/>
      <c r="C577" s="1"/>
      <c r="D577" s="61"/>
      <c r="E577" s="61"/>
      <c r="F577" s="2"/>
      <c r="G577" s="2"/>
      <c r="H577" s="2"/>
      <c r="I577" s="2"/>
    </row>
    <row r="578" spans="1:9" ht="12.75">
      <c r="A578" s="171"/>
      <c r="B578" s="1"/>
      <c r="C578" s="1"/>
      <c r="D578" s="61"/>
      <c r="E578" s="61"/>
      <c r="F578" s="2"/>
      <c r="G578" s="2"/>
      <c r="H578" s="2"/>
      <c r="I578" s="2"/>
    </row>
    <row r="579" spans="1:9" ht="12.75">
      <c r="A579" s="171"/>
      <c r="B579" s="1"/>
      <c r="C579" s="1"/>
      <c r="D579" s="61"/>
      <c r="E579" s="61"/>
      <c r="F579" s="2"/>
      <c r="G579" s="2"/>
      <c r="H579" s="2"/>
      <c r="I579" s="2"/>
    </row>
    <row r="580" spans="1:9" ht="12.75">
      <c r="A580" s="171"/>
      <c r="B580" s="1"/>
      <c r="C580" s="1"/>
      <c r="D580" s="61"/>
      <c r="E580" s="61"/>
      <c r="F580" s="2"/>
      <c r="G580" s="2"/>
      <c r="H580" s="2"/>
      <c r="I580" s="2"/>
    </row>
    <row r="581" spans="1:9" ht="12.75">
      <c r="A581" s="171"/>
      <c r="B581" s="1"/>
      <c r="C581" s="1"/>
      <c r="D581" s="61"/>
      <c r="E581" s="61"/>
      <c r="F581" s="2"/>
      <c r="G581" s="2"/>
      <c r="H581" s="2"/>
      <c r="I581" s="2"/>
    </row>
    <row r="582" spans="1:9" ht="12.75">
      <c r="A582" s="171"/>
      <c r="B582" s="1"/>
      <c r="C582" s="1"/>
      <c r="D582" s="61"/>
      <c r="E582" s="61"/>
      <c r="F582" s="2"/>
      <c r="G582" s="2"/>
      <c r="H582" s="2"/>
      <c r="I582" s="2"/>
    </row>
    <row r="583" spans="1:9" ht="12.75">
      <c r="A583" s="171"/>
      <c r="B583" s="1"/>
      <c r="C583" s="1"/>
      <c r="D583" s="61"/>
      <c r="E583" s="61"/>
      <c r="F583" s="2"/>
      <c r="G583" s="2"/>
      <c r="H583" s="2"/>
      <c r="I583" s="2"/>
    </row>
    <row r="584" spans="1:9" ht="12.75">
      <c r="A584" s="171"/>
      <c r="B584" s="1"/>
      <c r="C584" s="1"/>
      <c r="D584" s="61"/>
      <c r="E584" s="61"/>
      <c r="F584" s="2"/>
      <c r="G584" s="2"/>
      <c r="H584" s="2"/>
      <c r="I584" s="2"/>
    </row>
    <row r="585" spans="1:9" ht="12.75">
      <c r="A585" s="171"/>
      <c r="B585" s="1"/>
      <c r="C585" s="1"/>
      <c r="D585" s="61"/>
      <c r="E585" s="61"/>
      <c r="F585" s="2"/>
      <c r="G585" s="2"/>
      <c r="H585" s="2"/>
      <c r="I585" s="2"/>
    </row>
    <row r="586" spans="1:9" ht="12.75">
      <c r="A586" s="171"/>
      <c r="B586" s="1"/>
      <c r="C586" s="1"/>
      <c r="D586" s="61"/>
      <c r="E586" s="61"/>
      <c r="F586" s="2"/>
      <c r="G586" s="2"/>
      <c r="H586" s="2"/>
      <c r="I586" s="2"/>
    </row>
    <row r="587" spans="1:9" ht="12.75">
      <c r="A587" s="171"/>
      <c r="B587" s="1"/>
      <c r="C587" s="1"/>
      <c r="D587" s="61"/>
      <c r="E587" s="61"/>
      <c r="F587" s="2"/>
      <c r="G587" s="2"/>
      <c r="H587" s="2"/>
      <c r="I587" s="2"/>
    </row>
    <row r="588" spans="1:9" ht="12.75">
      <c r="A588" s="171"/>
      <c r="B588" s="1"/>
      <c r="C588" s="1"/>
      <c r="D588" s="61"/>
      <c r="E588" s="61"/>
      <c r="F588" s="2"/>
      <c r="G588" s="2"/>
      <c r="H588" s="2"/>
      <c r="I588" s="2"/>
    </row>
    <row r="589" spans="1:9" ht="12.75">
      <c r="A589" s="171"/>
      <c r="B589" s="1"/>
      <c r="C589" s="1"/>
      <c r="D589" s="61"/>
      <c r="E589" s="61"/>
      <c r="F589" s="2"/>
      <c r="G589" s="2"/>
      <c r="H589" s="2"/>
      <c r="I589" s="2"/>
    </row>
    <row r="590" spans="1:9" ht="12.75">
      <c r="A590" s="171"/>
      <c r="B590" s="1"/>
      <c r="C590" s="1"/>
      <c r="D590" s="61"/>
      <c r="E590" s="61"/>
      <c r="F590" s="2"/>
      <c r="G590" s="2"/>
      <c r="H590" s="2"/>
      <c r="I590" s="2"/>
    </row>
    <row r="591" spans="1:9" ht="12.75">
      <c r="A591" s="171"/>
      <c r="B591" s="1"/>
      <c r="C591" s="1"/>
      <c r="D591" s="61"/>
      <c r="E591" s="61"/>
      <c r="F591" s="2"/>
      <c r="G591" s="2"/>
      <c r="H591" s="2"/>
      <c r="I591" s="2"/>
    </row>
    <row r="592" spans="1:9" ht="12.75">
      <c r="A592" s="171"/>
      <c r="B592" s="1"/>
      <c r="C592" s="1"/>
      <c r="D592" s="61"/>
      <c r="E592" s="61"/>
      <c r="F592" s="2"/>
      <c r="G592" s="2"/>
      <c r="H592" s="2"/>
      <c r="I592" s="2"/>
    </row>
    <row r="593" spans="1:9" ht="12.75">
      <c r="A593" s="171"/>
      <c r="B593" s="1"/>
      <c r="C593" s="1"/>
      <c r="D593" s="61"/>
      <c r="E593" s="61"/>
      <c r="F593" s="2"/>
      <c r="G593" s="2"/>
      <c r="H593" s="2"/>
      <c r="I593" s="2"/>
    </row>
    <row r="594" spans="1:9" ht="12.75">
      <c r="A594" s="171"/>
      <c r="B594" s="1"/>
      <c r="C594" s="1"/>
      <c r="D594" s="61"/>
      <c r="E594" s="61"/>
      <c r="F594" s="2"/>
      <c r="G594" s="2"/>
      <c r="H594" s="2"/>
      <c r="I594" s="2"/>
    </row>
    <row r="595" spans="1:9" ht="12.75">
      <c r="A595" s="171"/>
      <c r="B595" s="1"/>
      <c r="C595" s="1"/>
      <c r="D595" s="61"/>
      <c r="E595" s="61"/>
      <c r="F595" s="2"/>
      <c r="G595" s="2"/>
      <c r="H595" s="2"/>
      <c r="I595" s="2"/>
    </row>
    <row r="596" spans="1:9" ht="12.75">
      <c r="A596" s="171"/>
      <c r="B596" s="1"/>
      <c r="C596" s="1"/>
      <c r="D596" s="61"/>
      <c r="E596" s="61"/>
      <c r="F596" s="2"/>
      <c r="G596" s="2"/>
      <c r="H596" s="2"/>
      <c r="I596" s="2"/>
    </row>
    <row r="597" spans="1:9" ht="12.75">
      <c r="A597" s="171"/>
      <c r="B597" s="1"/>
      <c r="C597" s="1"/>
      <c r="D597" s="61"/>
      <c r="E597" s="61"/>
      <c r="F597" s="2"/>
      <c r="G597" s="2"/>
      <c r="H597" s="2"/>
      <c r="I597" s="2"/>
    </row>
    <row r="598" spans="1:9" ht="12.75">
      <c r="A598" s="171"/>
      <c r="B598" s="1"/>
      <c r="C598" s="1"/>
      <c r="D598" s="61"/>
      <c r="E598" s="61"/>
      <c r="F598" s="2"/>
      <c r="G598" s="2"/>
      <c r="H598" s="2"/>
      <c r="I598" s="2"/>
    </row>
    <row r="599" spans="1:9" ht="12.75">
      <c r="A599" s="171"/>
      <c r="B599" s="1"/>
      <c r="C599" s="1"/>
      <c r="D599" s="61"/>
      <c r="E599" s="61"/>
      <c r="F599" s="2"/>
      <c r="G599" s="2"/>
      <c r="H599" s="2"/>
      <c r="I599" s="2"/>
    </row>
    <row r="600" spans="1:9" ht="12.75">
      <c r="A600" s="171"/>
      <c r="B600" s="1"/>
      <c r="C600" s="1"/>
      <c r="D600" s="61"/>
      <c r="E600" s="61"/>
      <c r="F600" s="2"/>
      <c r="G600" s="2"/>
      <c r="H600" s="2"/>
      <c r="I600" s="2"/>
    </row>
    <row r="601" spans="1:9" ht="12.75">
      <c r="A601" s="171"/>
      <c r="B601" s="1"/>
      <c r="C601" s="1"/>
      <c r="D601" s="61"/>
      <c r="E601" s="61"/>
      <c r="F601" s="2"/>
      <c r="G601" s="2"/>
      <c r="H601" s="2"/>
      <c r="I601" s="2"/>
    </row>
    <row r="602" spans="1:9" ht="12.75">
      <c r="A602" s="171"/>
      <c r="B602" s="1"/>
      <c r="C602" s="1"/>
      <c r="D602" s="61"/>
      <c r="E602" s="61"/>
      <c r="F602" s="2"/>
      <c r="G602" s="2"/>
      <c r="H602" s="2"/>
      <c r="I602" s="2"/>
    </row>
    <row r="603" spans="1:9" ht="12.75">
      <c r="A603" s="171"/>
      <c r="B603" s="1"/>
      <c r="C603" s="1"/>
      <c r="D603" s="61"/>
      <c r="E603" s="61"/>
      <c r="F603" s="2"/>
      <c r="G603" s="2"/>
      <c r="H603" s="2"/>
      <c r="I603" s="2"/>
    </row>
    <row r="604" spans="1:9" ht="12.75">
      <c r="A604" s="171"/>
      <c r="B604" s="1"/>
      <c r="C604" s="1"/>
      <c r="D604" s="61"/>
      <c r="E604" s="61"/>
      <c r="F604" s="2"/>
      <c r="G604" s="2"/>
      <c r="H604" s="2"/>
      <c r="I604" s="2"/>
    </row>
    <row r="605" spans="1:9" ht="12.75">
      <c r="A605" s="171"/>
      <c r="B605" s="1"/>
      <c r="C605" s="1"/>
      <c r="D605" s="61"/>
      <c r="E605" s="61"/>
      <c r="F605" s="2"/>
      <c r="G605" s="2"/>
      <c r="H605" s="2"/>
      <c r="I605" s="2"/>
    </row>
    <row r="606" spans="1:9" ht="12.75">
      <c r="A606" s="171"/>
      <c r="B606" s="1"/>
      <c r="C606" s="1"/>
      <c r="D606" s="61"/>
      <c r="E606" s="61"/>
      <c r="F606" s="2"/>
      <c r="G606" s="2"/>
      <c r="H606" s="2"/>
      <c r="I606" s="2"/>
    </row>
    <row r="607" spans="1:9" ht="12.75">
      <c r="A607" s="171"/>
      <c r="B607" s="1"/>
      <c r="C607" s="1"/>
      <c r="D607" s="61"/>
      <c r="E607" s="61"/>
      <c r="F607" s="2"/>
      <c r="G607" s="2"/>
      <c r="H607" s="2"/>
      <c r="I607" s="2"/>
    </row>
    <row r="608" spans="1:9" ht="12.75">
      <c r="A608" s="171"/>
      <c r="B608" s="1"/>
      <c r="C608" s="1"/>
      <c r="D608" s="61"/>
      <c r="E608" s="61"/>
      <c r="F608" s="2"/>
      <c r="G608" s="2"/>
      <c r="H608" s="2"/>
      <c r="I608" s="2"/>
    </row>
    <row r="609" spans="1:9" ht="12.75">
      <c r="A609" s="171"/>
      <c r="B609" s="1"/>
      <c r="C609" s="1"/>
      <c r="D609" s="61"/>
      <c r="E609" s="61"/>
      <c r="F609" s="2"/>
      <c r="G609" s="2"/>
      <c r="H609" s="2"/>
      <c r="I609" s="2"/>
    </row>
    <row r="610" spans="1:9" ht="12.75">
      <c r="A610" s="171"/>
      <c r="B610" s="1"/>
      <c r="C610" s="1"/>
      <c r="D610" s="61"/>
      <c r="E610" s="61"/>
      <c r="F610" s="2"/>
      <c r="G610" s="2"/>
      <c r="H610" s="2"/>
      <c r="I610" s="2"/>
    </row>
    <row r="611" spans="1:9" ht="12.75">
      <c r="A611" s="171"/>
      <c r="B611" s="1"/>
      <c r="C611" s="1"/>
      <c r="D611" s="61"/>
      <c r="E611" s="61"/>
      <c r="F611" s="2"/>
      <c r="G611" s="2"/>
      <c r="H611" s="2"/>
      <c r="I611" s="2"/>
    </row>
    <row r="612" spans="1:9" ht="12.75">
      <c r="A612" s="171"/>
      <c r="B612" s="1"/>
      <c r="C612" s="1"/>
      <c r="D612" s="61"/>
      <c r="E612" s="61"/>
      <c r="F612" s="2"/>
      <c r="G612" s="2"/>
      <c r="H612" s="2"/>
      <c r="I612" s="2"/>
    </row>
    <row r="613" spans="1:9" ht="12.75">
      <c r="A613" s="171"/>
      <c r="B613" s="1"/>
      <c r="C613" s="1"/>
      <c r="D613" s="61"/>
      <c r="E613" s="61"/>
      <c r="F613" s="2"/>
      <c r="G613" s="2"/>
      <c r="H613" s="2"/>
      <c r="I613" s="2"/>
    </row>
    <row r="614" spans="1:9" ht="12.75">
      <c r="A614" s="171"/>
      <c r="B614" s="1"/>
      <c r="C614" s="1"/>
      <c r="D614" s="61"/>
      <c r="E614" s="61"/>
      <c r="F614" s="2"/>
      <c r="G614" s="2"/>
      <c r="H614" s="2"/>
      <c r="I614" s="2"/>
    </row>
    <row r="615" spans="1:9" ht="12.75">
      <c r="A615" s="171"/>
      <c r="B615" s="1"/>
      <c r="C615" s="1"/>
      <c r="D615" s="61"/>
      <c r="E615" s="61"/>
      <c r="F615" s="2"/>
      <c r="G615" s="2"/>
      <c r="H615" s="2"/>
      <c r="I615" s="2"/>
    </row>
    <row r="616" spans="1:9" ht="12.75">
      <c r="A616" s="171"/>
      <c r="B616" s="1"/>
      <c r="C616" s="1"/>
      <c r="D616" s="61"/>
      <c r="E616" s="61"/>
      <c r="F616" s="2"/>
      <c r="G616" s="2"/>
      <c r="H616" s="2"/>
      <c r="I616" s="2"/>
    </row>
    <row r="617" spans="1:9" ht="12.75">
      <c r="A617" s="171"/>
      <c r="B617" s="1"/>
      <c r="C617" s="1"/>
      <c r="D617" s="61"/>
      <c r="E617" s="61"/>
      <c r="F617" s="2"/>
      <c r="G617" s="2"/>
      <c r="H617" s="2"/>
      <c r="I617" s="2"/>
    </row>
    <row r="618" spans="1:9" ht="12.75">
      <c r="A618" s="171"/>
      <c r="B618" s="1"/>
      <c r="C618" s="1"/>
      <c r="D618" s="61"/>
      <c r="E618" s="61"/>
      <c r="F618" s="2"/>
      <c r="G618" s="2"/>
      <c r="H618" s="2"/>
      <c r="I618" s="2"/>
    </row>
    <row r="619" spans="1:9" ht="12.75">
      <c r="A619" s="171"/>
      <c r="B619" s="1"/>
      <c r="C619" s="1"/>
      <c r="D619" s="61"/>
      <c r="E619" s="61"/>
      <c r="F619" s="2"/>
      <c r="G619" s="2"/>
      <c r="H619" s="2"/>
      <c r="I619" s="2"/>
    </row>
    <row r="620" spans="1:9" ht="12.75">
      <c r="A620" s="171"/>
      <c r="B620" s="1"/>
      <c r="C620" s="1"/>
      <c r="D620" s="61"/>
      <c r="E620" s="61"/>
      <c r="F620" s="2"/>
      <c r="G620" s="2"/>
      <c r="H620" s="2"/>
      <c r="I620" s="2"/>
    </row>
    <row r="621" spans="1:9" ht="12.75">
      <c r="A621" s="171"/>
      <c r="B621" s="1"/>
      <c r="C621" s="1"/>
      <c r="D621" s="61"/>
      <c r="E621" s="61"/>
      <c r="F621" s="2"/>
      <c r="G621" s="2"/>
      <c r="H621" s="2"/>
      <c r="I621" s="2"/>
    </row>
    <row r="622" spans="1:9" ht="12.75">
      <c r="A622" s="171"/>
      <c r="B622" s="1"/>
      <c r="C622" s="1"/>
      <c r="D622" s="61"/>
      <c r="E622" s="61"/>
      <c r="F622" s="2"/>
      <c r="G622" s="2"/>
      <c r="H622" s="2"/>
      <c r="I622" s="2"/>
    </row>
    <row r="623" spans="1:9" ht="12.75">
      <c r="A623" s="171"/>
      <c r="B623" s="1"/>
      <c r="C623" s="1"/>
      <c r="D623" s="61"/>
      <c r="E623" s="61"/>
      <c r="F623" s="2"/>
      <c r="G623" s="2"/>
      <c r="H623" s="2"/>
      <c r="I623" s="2"/>
    </row>
    <row r="624" spans="1:9" ht="12.75">
      <c r="A624" s="171"/>
      <c r="B624" s="1"/>
      <c r="C624" s="1"/>
      <c r="D624" s="61"/>
      <c r="E624" s="61"/>
      <c r="F624" s="2"/>
      <c r="G624" s="2"/>
      <c r="H624" s="2"/>
      <c r="I624" s="2"/>
    </row>
    <row r="625" spans="1:9" ht="12.75">
      <c r="A625" s="171"/>
      <c r="B625" s="1"/>
      <c r="C625" s="1"/>
      <c r="D625" s="61"/>
      <c r="E625" s="61"/>
      <c r="F625" s="2"/>
      <c r="G625" s="2"/>
      <c r="H625" s="2"/>
      <c r="I625" s="2"/>
    </row>
    <row r="626" spans="1:9" ht="12.75">
      <c r="A626" s="171"/>
      <c r="B626" s="1"/>
      <c r="C626" s="1"/>
      <c r="D626" s="61"/>
      <c r="E626" s="61"/>
      <c r="F626" s="2"/>
      <c r="G626" s="2"/>
      <c r="H626" s="2"/>
      <c r="I626" s="2"/>
    </row>
    <row r="627" spans="1:9" ht="12.75">
      <c r="A627" s="171"/>
      <c r="B627" s="1"/>
      <c r="C627" s="1"/>
      <c r="D627" s="61"/>
      <c r="E627" s="61"/>
      <c r="F627" s="2"/>
      <c r="G627" s="2"/>
      <c r="H627" s="2"/>
      <c r="I627" s="2"/>
    </row>
    <row r="628" spans="1:9" ht="12.75">
      <c r="A628" s="171"/>
      <c r="B628" s="1"/>
      <c r="C628" s="1"/>
      <c r="D628" s="61"/>
      <c r="E628" s="61"/>
      <c r="F628" s="2"/>
      <c r="G628" s="2"/>
      <c r="H628" s="2"/>
      <c r="I628" s="2"/>
    </row>
    <row r="629" spans="1:9" ht="12.75">
      <c r="A629" s="171"/>
      <c r="B629" s="1"/>
      <c r="C629" s="1"/>
      <c r="D629" s="61"/>
      <c r="E629" s="61"/>
      <c r="F629" s="2"/>
      <c r="G629" s="2"/>
      <c r="H629" s="2"/>
      <c r="I629" s="2"/>
    </row>
    <row r="630" spans="1:9" ht="12.75">
      <c r="A630" s="171"/>
      <c r="B630" s="1"/>
      <c r="C630" s="1"/>
      <c r="D630" s="61"/>
      <c r="E630" s="61"/>
      <c r="F630" s="2"/>
      <c r="G630" s="2"/>
      <c r="H630" s="2"/>
      <c r="I630" s="2"/>
    </row>
    <row r="631" spans="1:9" ht="12.75">
      <c r="A631" s="171"/>
      <c r="B631" s="1"/>
      <c r="C631" s="1"/>
      <c r="D631" s="61"/>
      <c r="E631" s="61"/>
      <c r="F631" s="2"/>
      <c r="G631" s="2"/>
      <c r="H631" s="2"/>
      <c r="I631" s="2"/>
    </row>
    <row r="632" spans="1:9" ht="12.75">
      <c r="A632" s="171"/>
      <c r="B632" s="1"/>
      <c r="C632" s="1"/>
      <c r="D632" s="61"/>
      <c r="E632" s="61"/>
      <c r="F632" s="2"/>
      <c r="G632" s="2"/>
      <c r="H632" s="2"/>
      <c r="I632" s="2"/>
    </row>
    <row r="633" spans="1:9" ht="12.75">
      <c r="A633" s="171"/>
      <c r="B633" s="1"/>
      <c r="C633" s="1"/>
      <c r="D633" s="61"/>
      <c r="E633" s="61"/>
      <c r="F633" s="2"/>
      <c r="G633" s="2"/>
      <c r="H633" s="2"/>
      <c r="I633" s="2"/>
    </row>
    <row r="634" spans="1:9" ht="12.75">
      <c r="A634" s="171"/>
      <c r="B634" s="1"/>
      <c r="C634" s="1"/>
      <c r="D634" s="61"/>
      <c r="E634" s="61"/>
      <c r="F634" s="2"/>
      <c r="G634" s="2"/>
      <c r="H634" s="2"/>
      <c r="I634" s="2"/>
    </row>
    <row r="635" spans="1:9" ht="12.75">
      <c r="A635" s="171"/>
      <c r="B635" s="1"/>
      <c r="C635" s="1"/>
      <c r="D635" s="61"/>
      <c r="E635" s="61"/>
      <c r="F635" s="2"/>
      <c r="G635" s="2"/>
      <c r="H635" s="2"/>
      <c r="I635" s="2"/>
    </row>
    <row r="636" spans="1:9" ht="12.75">
      <c r="A636" s="171"/>
      <c r="B636" s="1"/>
      <c r="C636" s="1"/>
      <c r="D636" s="61"/>
      <c r="E636" s="61"/>
      <c r="F636" s="2"/>
      <c r="G636" s="2"/>
      <c r="H636" s="2"/>
      <c r="I636" s="2"/>
    </row>
    <row r="637" spans="1:9" ht="12.75">
      <c r="A637" s="171"/>
      <c r="B637" s="1"/>
      <c r="C637" s="1"/>
      <c r="D637" s="61"/>
      <c r="E637" s="61"/>
      <c r="F637" s="2"/>
      <c r="G637" s="2"/>
      <c r="H637" s="2"/>
      <c r="I637" s="2"/>
    </row>
    <row r="638" spans="1:9" ht="12.75">
      <c r="A638" s="171"/>
      <c r="B638" s="1"/>
      <c r="C638" s="1"/>
      <c r="D638" s="61"/>
      <c r="E638" s="61"/>
      <c r="F638" s="2"/>
      <c r="G638" s="2"/>
      <c r="H638" s="2"/>
      <c r="I638" s="2"/>
    </row>
    <row r="639" spans="1:9" ht="12.75">
      <c r="A639" s="171"/>
      <c r="B639" s="1"/>
      <c r="C639" s="1"/>
      <c r="D639" s="61"/>
      <c r="E639" s="61"/>
      <c r="F639" s="2"/>
      <c r="G639" s="2"/>
      <c r="H639" s="2"/>
      <c r="I639" s="2"/>
    </row>
    <row r="640" spans="1:9" ht="12.75">
      <c r="A640" s="171"/>
      <c r="B640" s="1"/>
      <c r="C640" s="1"/>
      <c r="D640" s="61"/>
      <c r="E640" s="61"/>
      <c r="F640" s="2"/>
      <c r="G640" s="2"/>
      <c r="H640" s="2"/>
      <c r="I640" s="2"/>
    </row>
    <row r="641" spans="1:9" ht="12.75">
      <c r="A641" s="171"/>
      <c r="B641" s="1"/>
      <c r="C641" s="1"/>
      <c r="D641" s="61"/>
      <c r="E641" s="61"/>
      <c r="F641" s="2"/>
      <c r="G641" s="2"/>
      <c r="H641" s="2"/>
      <c r="I641" s="2"/>
    </row>
    <row r="642" spans="1:9" ht="12.75">
      <c r="A642" s="171"/>
      <c r="B642" s="1"/>
      <c r="C642" s="1"/>
      <c r="D642" s="61"/>
      <c r="E642" s="61"/>
      <c r="F642" s="2"/>
      <c r="G642" s="2"/>
      <c r="H642" s="2"/>
      <c r="I642" s="2"/>
    </row>
    <row r="643" spans="1:9" ht="12.75">
      <c r="A643" s="171"/>
      <c r="B643" s="1"/>
      <c r="C643" s="1"/>
      <c r="D643" s="61"/>
      <c r="E643" s="61"/>
      <c r="F643" s="2"/>
      <c r="G643" s="2"/>
      <c r="H643" s="2"/>
      <c r="I643" s="2"/>
    </row>
    <row r="644" spans="1:9" ht="12.75">
      <c r="A644" s="171"/>
      <c r="B644" s="1"/>
      <c r="C644" s="1"/>
      <c r="D644" s="61"/>
      <c r="E644" s="61"/>
      <c r="F644" s="2"/>
      <c r="G644" s="2"/>
      <c r="H644" s="2"/>
      <c r="I644" s="2"/>
    </row>
    <row r="645" spans="1:9" ht="12.75">
      <c r="A645" s="171"/>
      <c r="B645" s="1"/>
      <c r="C645" s="1"/>
      <c r="D645" s="61"/>
      <c r="E645" s="61"/>
      <c r="F645" s="2"/>
      <c r="G645" s="2"/>
      <c r="H645" s="2"/>
      <c r="I645" s="2"/>
    </row>
    <row r="646" spans="1:9" ht="12.75">
      <c r="A646" s="171"/>
      <c r="B646" s="1"/>
      <c r="C646" s="1"/>
      <c r="D646" s="61"/>
      <c r="E646" s="61"/>
      <c r="F646" s="2"/>
      <c r="G646" s="2"/>
      <c r="H646" s="2"/>
      <c r="I646" s="2"/>
    </row>
    <row r="647" spans="1:9" ht="12.75">
      <c r="A647" s="171"/>
      <c r="B647" s="1"/>
      <c r="C647" s="1"/>
      <c r="D647" s="61"/>
      <c r="E647" s="61"/>
      <c r="F647" s="2"/>
      <c r="G647" s="2"/>
      <c r="H647" s="2"/>
      <c r="I647" s="2"/>
    </row>
    <row r="648" spans="1:9" ht="12.75">
      <c r="A648" s="171"/>
      <c r="B648" s="1"/>
      <c r="C648" s="1"/>
      <c r="D648" s="61"/>
      <c r="E648" s="61"/>
      <c r="F648" s="2"/>
      <c r="G648" s="2"/>
      <c r="H648" s="2"/>
      <c r="I648" s="2"/>
    </row>
    <row r="649" spans="1:9" ht="12.75">
      <c r="A649" s="171"/>
      <c r="B649" s="1"/>
      <c r="C649" s="1"/>
      <c r="D649" s="61"/>
      <c r="E649" s="61"/>
      <c r="F649" s="2"/>
      <c r="G649" s="2"/>
      <c r="H649" s="2"/>
      <c r="I649" s="2"/>
    </row>
    <row r="650" spans="1:9" ht="12.75">
      <c r="A650" s="171"/>
      <c r="B650" s="1"/>
      <c r="C650" s="1"/>
      <c r="D650" s="61"/>
      <c r="E650" s="61"/>
      <c r="F650" s="2"/>
      <c r="G650" s="2"/>
      <c r="H650" s="2"/>
      <c r="I650" s="2"/>
    </row>
    <row r="651" spans="1:9" ht="12.75">
      <c r="A651" s="171"/>
      <c r="B651" s="1"/>
      <c r="C651" s="1"/>
      <c r="D651" s="61"/>
      <c r="E651" s="61"/>
      <c r="F651" s="2"/>
      <c r="G651" s="2"/>
      <c r="H651" s="2"/>
      <c r="I651" s="2"/>
    </row>
    <row r="652" spans="1:9" ht="12.75">
      <c r="A652" s="171"/>
      <c r="B652" s="1"/>
      <c r="C652" s="1"/>
      <c r="D652" s="61"/>
      <c r="E652" s="61"/>
      <c r="F652" s="2"/>
      <c r="G652" s="2"/>
      <c r="H652" s="2"/>
      <c r="I652" s="2"/>
    </row>
    <row r="653" spans="1:9" ht="12.75">
      <c r="A653" s="171"/>
      <c r="B653" s="1"/>
      <c r="C653" s="1"/>
      <c r="D653" s="61"/>
      <c r="E653" s="61"/>
      <c r="F653" s="2"/>
      <c r="G653" s="2"/>
      <c r="H653" s="2"/>
      <c r="I653" s="2"/>
    </row>
    <row r="654" spans="1:9" ht="12.75">
      <c r="A654" s="171"/>
      <c r="B654" s="1"/>
      <c r="C654" s="1"/>
      <c r="D654" s="61"/>
      <c r="E654" s="61"/>
      <c r="F654" s="2"/>
      <c r="G654" s="2"/>
      <c r="H654" s="2"/>
      <c r="I654" s="2"/>
    </row>
    <row r="655" spans="1:9" ht="12.75">
      <c r="A655" s="171"/>
      <c r="B655" s="1"/>
      <c r="C655" s="1"/>
      <c r="D655" s="61"/>
      <c r="E655" s="61"/>
      <c r="F655" s="2"/>
      <c r="G655" s="2"/>
      <c r="H655" s="2"/>
      <c r="I655" s="2"/>
    </row>
    <row r="656" spans="1:9" ht="12.75">
      <c r="A656" s="171"/>
      <c r="B656" s="1"/>
      <c r="C656" s="1"/>
      <c r="D656" s="61"/>
      <c r="E656" s="61"/>
      <c r="F656" s="2"/>
      <c r="G656" s="2"/>
      <c r="H656" s="2"/>
      <c r="I656" s="2"/>
    </row>
    <row r="657" spans="1:9" ht="12.75">
      <c r="A657" s="171"/>
      <c r="B657" s="1"/>
      <c r="C657" s="1"/>
      <c r="D657" s="61"/>
      <c r="E657" s="61"/>
      <c r="F657" s="2"/>
      <c r="G657" s="2"/>
      <c r="H657" s="2"/>
      <c r="I657" s="2"/>
    </row>
    <row r="658" spans="1:9" ht="12.75">
      <c r="A658" s="171"/>
      <c r="B658" s="1"/>
      <c r="C658" s="1"/>
      <c r="D658" s="61"/>
      <c r="E658" s="61"/>
      <c r="F658" s="2"/>
      <c r="G658" s="2"/>
      <c r="H658" s="2"/>
      <c r="I658" s="2"/>
    </row>
    <row r="659" spans="1:9" ht="12.75">
      <c r="A659" s="171"/>
      <c r="B659" s="1"/>
      <c r="C659" s="1"/>
      <c r="D659" s="61"/>
      <c r="E659" s="61"/>
      <c r="F659" s="2"/>
      <c r="G659" s="2"/>
      <c r="H659" s="2"/>
      <c r="I659" s="2"/>
    </row>
    <row r="660" spans="1:9" ht="12.75">
      <c r="A660" s="171"/>
      <c r="B660" s="1"/>
      <c r="C660" s="1"/>
      <c r="D660" s="61"/>
      <c r="E660" s="61"/>
      <c r="F660" s="2"/>
      <c r="G660" s="2"/>
      <c r="H660" s="2"/>
      <c r="I660" s="2"/>
    </row>
    <row r="661" spans="1:9" ht="12.75">
      <c r="A661" s="171"/>
      <c r="B661" s="1"/>
      <c r="C661" s="1"/>
      <c r="D661" s="61"/>
      <c r="E661" s="61"/>
      <c r="F661" s="2"/>
      <c r="G661" s="2"/>
      <c r="H661" s="2"/>
      <c r="I661" s="2"/>
    </row>
    <row r="662" spans="1:9" ht="12.75">
      <c r="A662" s="171"/>
      <c r="B662" s="1"/>
      <c r="C662" s="1"/>
      <c r="D662" s="61"/>
      <c r="E662" s="61"/>
      <c r="F662" s="2"/>
      <c r="G662" s="2"/>
      <c r="H662" s="2"/>
      <c r="I662" s="2"/>
    </row>
    <row r="663" spans="1:9" ht="12.75">
      <c r="A663" s="171"/>
      <c r="B663" s="1"/>
      <c r="C663" s="1"/>
      <c r="D663" s="61"/>
      <c r="E663" s="61"/>
      <c r="F663" s="2"/>
      <c r="G663" s="2"/>
      <c r="H663" s="2"/>
      <c r="I663" s="2"/>
    </row>
    <row r="664" spans="1:9" ht="12.75">
      <c r="A664" s="171"/>
      <c r="B664" s="1"/>
      <c r="C664" s="1"/>
      <c r="D664" s="61"/>
      <c r="E664" s="61"/>
      <c r="F664" s="2"/>
      <c r="G664" s="2"/>
      <c r="H664" s="2"/>
      <c r="I664" s="2"/>
    </row>
    <row r="665" spans="1:9" ht="12.75">
      <c r="A665" s="171"/>
      <c r="B665" s="1"/>
      <c r="C665" s="1"/>
      <c r="D665" s="61"/>
      <c r="E665" s="61"/>
      <c r="F665" s="2"/>
      <c r="G665" s="2"/>
      <c r="H665" s="2"/>
      <c r="I665" s="2"/>
    </row>
    <row r="666" spans="1:9" ht="12.75">
      <c r="A666" s="171"/>
      <c r="B666" s="1"/>
      <c r="C666" s="1"/>
      <c r="D666" s="61"/>
      <c r="E666" s="61"/>
      <c r="F666" s="2"/>
      <c r="G666" s="2"/>
      <c r="H666" s="2"/>
      <c r="I666" s="2"/>
    </row>
    <row r="667" spans="1:9" ht="12.75">
      <c r="A667" s="171"/>
      <c r="B667" s="1"/>
      <c r="C667" s="1"/>
      <c r="D667" s="61"/>
      <c r="E667" s="61"/>
      <c r="F667" s="2"/>
      <c r="G667" s="2"/>
      <c r="H667" s="2"/>
      <c r="I667" s="2"/>
    </row>
    <row r="668" spans="1:9" ht="12.75">
      <c r="A668" s="171"/>
      <c r="B668" s="1"/>
      <c r="C668" s="1"/>
      <c r="D668" s="61"/>
      <c r="E668" s="61"/>
      <c r="F668" s="2"/>
      <c r="G668" s="2"/>
      <c r="H668" s="2"/>
      <c r="I668" s="2"/>
    </row>
    <row r="669" spans="1:9" ht="12.75">
      <c r="A669" s="171"/>
      <c r="B669" s="1"/>
      <c r="C669" s="1"/>
      <c r="D669" s="61"/>
      <c r="E669" s="61"/>
      <c r="F669" s="2"/>
      <c r="G669" s="2"/>
      <c r="H669" s="2"/>
      <c r="I669" s="2"/>
    </row>
    <row r="670" spans="1:9" ht="12.75">
      <c r="A670" s="171"/>
      <c r="B670" s="1"/>
      <c r="C670" s="1"/>
      <c r="D670" s="61"/>
      <c r="E670" s="61"/>
      <c r="F670" s="2"/>
      <c r="G670" s="2"/>
      <c r="H670" s="2"/>
      <c r="I670" s="2"/>
    </row>
    <row r="671" spans="1:9" ht="12.75">
      <c r="A671" s="171"/>
      <c r="B671" s="1"/>
      <c r="C671" s="1"/>
      <c r="D671" s="61"/>
      <c r="E671" s="61"/>
      <c r="F671" s="2"/>
      <c r="G671" s="2"/>
      <c r="H671" s="2"/>
      <c r="I671" s="2"/>
    </row>
    <row r="672" spans="1:9" ht="12.75">
      <c r="A672" s="171"/>
      <c r="B672" s="1"/>
      <c r="C672" s="1"/>
      <c r="D672" s="61"/>
      <c r="E672" s="61"/>
      <c r="F672" s="2"/>
      <c r="G672" s="2"/>
      <c r="H672" s="2"/>
      <c r="I672" s="2"/>
    </row>
    <row r="673" spans="1:9" ht="12.75">
      <c r="A673" s="171"/>
      <c r="B673" s="1"/>
      <c r="C673" s="1"/>
      <c r="D673" s="61"/>
      <c r="E673" s="61"/>
      <c r="F673" s="2"/>
      <c r="G673" s="2"/>
      <c r="H673" s="2"/>
      <c r="I673" s="2"/>
    </row>
    <row r="674" spans="1:9" ht="12.75">
      <c r="A674" s="171"/>
      <c r="B674" s="1"/>
      <c r="C674" s="1"/>
      <c r="D674" s="61"/>
      <c r="E674" s="61"/>
      <c r="F674" s="2"/>
      <c r="G674" s="2"/>
      <c r="H674" s="2"/>
      <c r="I674" s="2"/>
    </row>
    <row r="675" spans="1:9" ht="12.75">
      <c r="A675" s="171"/>
      <c r="B675" s="1"/>
      <c r="C675" s="1"/>
      <c r="D675" s="61"/>
      <c r="E675" s="61"/>
      <c r="F675" s="2"/>
      <c r="G675" s="2"/>
      <c r="H675" s="2"/>
      <c r="I675" s="2"/>
    </row>
    <row r="676" spans="1:9" ht="12.75">
      <c r="A676" s="171"/>
      <c r="B676" s="1"/>
      <c r="C676" s="1"/>
      <c r="D676" s="61"/>
      <c r="E676" s="61"/>
      <c r="F676" s="2"/>
      <c r="G676" s="2"/>
      <c r="H676" s="2"/>
      <c r="I676" s="2"/>
    </row>
    <row r="677" spans="1:9" ht="12.75">
      <c r="A677" s="171"/>
      <c r="B677" s="1"/>
      <c r="C677" s="1"/>
      <c r="D677" s="61"/>
      <c r="E677" s="61"/>
      <c r="F677" s="2"/>
      <c r="G677" s="2"/>
      <c r="H677" s="2"/>
      <c r="I677" s="2"/>
    </row>
    <row r="678" spans="1:9" ht="12.75">
      <c r="A678" s="171"/>
      <c r="B678" s="1"/>
      <c r="C678" s="1"/>
      <c r="D678" s="61"/>
      <c r="E678" s="61"/>
      <c r="F678" s="2"/>
      <c r="G678" s="2"/>
      <c r="H678" s="2"/>
      <c r="I678" s="2"/>
    </row>
    <row r="679" spans="1:9" ht="12.75">
      <c r="A679" s="171"/>
      <c r="B679" s="1"/>
      <c r="C679" s="1"/>
      <c r="D679" s="61"/>
      <c r="E679" s="61"/>
      <c r="F679" s="2"/>
      <c r="G679" s="2"/>
      <c r="H679" s="2"/>
      <c r="I679" s="2"/>
    </row>
    <row r="680" spans="1:9" ht="12.75">
      <c r="A680" s="171"/>
      <c r="B680" s="1"/>
      <c r="C680" s="1"/>
      <c r="D680" s="61"/>
      <c r="E680" s="61"/>
      <c r="F680" s="2"/>
      <c r="G680" s="2"/>
      <c r="H680" s="2"/>
      <c r="I680" s="2"/>
    </row>
    <row r="681" spans="1:9" ht="12.75">
      <c r="A681" s="171"/>
      <c r="B681" s="1"/>
      <c r="C681" s="1"/>
      <c r="D681" s="61"/>
      <c r="E681" s="61"/>
      <c r="F681" s="2"/>
      <c r="G681" s="2"/>
      <c r="H681" s="2"/>
      <c r="I681" s="2"/>
    </row>
    <row r="682" spans="1:9" ht="12.75">
      <c r="A682" s="171"/>
      <c r="B682" s="1"/>
      <c r="C682" s="1"/>
      <c r="D682" s="61"/>
      <c r="E682" s="61"/>
      <c r="F682" s="2"/>
      <c r="G682" s="2"/>
      <c r="H682" s="2"/>
      <c r="I682" s="2"/>
    </row>
    <row r="683" spans="1:9" ht="12.75">
      <c r="A683" s="171"/>
      <c r="B683" s="1"/>
      <c r="C683" s="1"/>
      <c r="D683" s="61"/>
      <c r="E683" s="61"/>
      <c r="F683" s="2"/>
      <c r="G683" s="2"/>
      <c r="H683" s="2"/>
      <c r="I683" s="2"/>
    </row>
    <row r="684" spans="1:9" ht="12.75">
      <c r="A684" s="171"/>
      <c r="B684" s="1"/>
      <c r="C684" s="1"/>
      <c r="D684" s="61"/>
      <c r="E684" s="61"/>
      <c r="F684" s="2"/>
      <c r="G684" s="2"/>
      <c r="H684" s="2"/>
      <c r="I684" s="2"/>
    </row>
    <row r="685" spans="1:9" ht="12.75">
      <c r="A685" s="171"/>
      <c r="B685" s="1"/>
      <c r="C685" s="1"/>
      <c r="D685" s="61"/>
      <c r="E685" s="61"/>
      <c r="F685" s="2"/>
      <c r="G685" s="2"/>
      <c r="H685" s="2"/>
      <c r="I685" s="2"/>
    </row>
    <row r="686" spans="1:9" ht="12.75">
      <c r="A686" s="171"/>
      <c r="B686" s="1"/>
      <c r="C686" s="1"/>
      <c r="D686" s="61"/>
      <c r="E686" s="61"/>
      <c r="F686" s="2"/>
      <c r="G686" s="2"/>
      <c r="H686" s="2"/>
      <c r="I686" s="2"/>
    </row>
    <row r="687" spans="1:9" ht="12.75">
      <c r="A687" s="171"/>
      <c r="B687" s="1"/>
      <c r="C687" s="1"/>
      <c r="D687" s="61"/>
      <c r="E687" s="61"/>
      <c r="F687" s="2"/>
      <c r="G687" s="2"/>
      <c r="H687" s="2"/>
      <c r="I687" s="2"/>
    </row>
    <row r="688" spans="1:9" ht="12.75">
      <c r="A688" s="171"/>
      <c r="B688" s="1"/>
      <c r="C688" s="1"/>
      <c r="D688" s="61"/>
      <c r="E688" s="61"/>
      <c r="F688" s="2"/>
      <c r="G688" s="2"/>
      <c r="H688" s="2"/>
      <c r="I688" s="2"/>
    </row>
    <row r="689" spans="1:9" ht="12.75">
      <c r="A689" s="171"/>
      <c r="B689" s="1"/>
      <c r="C689" s="1"/>
      <c r="D689" s="61"/>
      <c r="E689" s="61"/>
      <c r="F689" s="2"/>
      <c r="G689" s="2"/>
      <c r="H689" s="2"/>
      <c r="I689" s="2"/>
    </row>
    <row r="690" spans="1:9" ht="12.75">
      <c r="A690" s="171"/>
      <c r="B690" s="1"/>
      <c r="C690" s="1"/>
      <c r="D690" s="61"/>
      <c r="E690" s="61"/>
      <c r="F690" s="2"/>
      <c r="G690" s="2"/>
      <c r="H690" s="2"/>
      <c r="I690" s="2"/>
    </row>
    <row r="691" spans="1:9" ht="12.75">
      <c r="A691" s="171"/>
      <c r="B691" s="1"/>
      <c r="C691" s="1"/>
      <c r="D691" s="61"/>
      <c r="E691" s="61"/>
      <c r="F691" s="2"/>
      <c r="G691" s="2"/>
      <c r="H691" s="2"/>
      <c r="I691" s="2"/>
    </row>
    <row r="692" spans="1:9" ht="12.75">
      <c r="A692" s="171"/>
      <c r="B692" s="1"/>
      <c r="C692" s="1"/>
      <c r="D692" s="61"/>
      <c r="E692" s="61"/>
      <c r="F692" s="2"/>
      <c r="G692" s="2"/>
      <c r="H692" s="2"/>
      <c r="I692" s="2"/>
    </row>
    <row r="693" spans="1:9" ht="12.75">
      <c r="A693" s="171"/>
      <c r="B693" s="1"/>
      <c r="C693" s="1"/>
      <c r="D693" s="61"/>
      <c r="E693" s="61"/>
      <c r="F693" s="2"/>
      <c r="G693" s="2"/>
      <c r="H693" s="2"/>
      <c r="I693" s="2"/>
    </row>
    <row r="694" spans="1:9" ht="12.75">
      <c r="A694" s="171"/>
      <c r="B694" s="1"/>
      <c r="C694" s="1"/>
      <c r="D694" s="61"/>
      <c r="E694" s="61"/>
      <c r="F694" s="2"/>
      <c r="G694" s="2"/>
      <c r="H694" s="2"/>
      <c r="I694" s="2"/>
    </row>
    <row r="695" spans="1:9" ht="12.75">
      <c r="A695" s="171"/>
      <c r="B695" s="1"/>
      <c r="C695" s="1"/>
      <c r="D695" s="61"/>
      <c r="E695" s="61"/>
      <c r="F695" s="2"/>
      <c r="G695" s="2"/>
      <c r="H695" s="2"/>
      <c r="I695" s="2"/>
    </row>
    <row r="696" spans="1:9" ht="12.75">
      <c r="A696" s="171"/>
      <c r="B696" s="1"/>
      <c r="C696" s="1"/>
      <c r="D696" s="61"/>
      <c r="E696" s="61"/>
      <c r="F696" s="2"/>
      <c r="G696" s="2"/>
      <c r="H696" s="2"/>
      <c r="I696" s="2"/>
    </row>
    <row r="697" spans="1:9" ht="12.75">
      <c r="A697" s="171"/>
      <c r="B697" s="1"/>
      <c r="C697" s="1"/>
      <c r="D697" s="61"/>
      <c r="E697" s="61"/>
      <c r="F697" s="2"/>
      <c r="G697" s="2"/>
      <c r="H697" s="2"/>
      <c r="I697" s="2"/>
    </row>
    <row r="698" spans="1:9" ht="12.75">
      <c r="A698" s="171"/>
      <c r="B698" s="1"/>
      <c r="C698" s="1"/>
      <c r="D698" s="61"/>
      <c r="E698" s="61"/>
      <c r="F698" s="2"/>
      <c r="G698" s="2"/>
      <c r="H698" s="2"/>
      <c r="I698" s="2"/>
    </row>
    <row r="699" spans="1:9" ht="12.75">
      <c r="A699" s="171"/>
      <c r="B699" s="1"/>
      <c r="C699" s="1"/>
      <c r="D699" s="61"/>
      <c r="E699" s="61"/>
      <c r="F699" s="2"/>
      <c r="G699" s="2"/>
      <c r="H699" s="2"/>
      <c r="I699" s="2"/>
    </row>
    <row r="700" spans="1:9" ht="12.75">
      <c r="A700" s="171"/>
      <c r="B700" s="1"/>
      <c r="C700" s="1"/>
      <c r="D700" s="61"/>
      <c r="E700" s="61"/>
      <c r="F700" s="2"/>
      <c r="G700" s="2"/>
      <c r="H700" s="2"/>
      <c r="I700" s="2"/>
    </row>
    <row r="701" spans="1:9" ht="12.75">
      <c r="A701" s="171"/>
      <c r="B701" s="1"/>
      <c r="C701" s="1"/>
      <c r="D701" s="61"/>
      <c r="E701" s="61"/>
      <c r="F701" s="2"/>
      <c r="G701" s="2"/>
      <c r="H701" s="2"/>
      <c r="I701" s="2"/>
    </row>
    <row r="702" spans="1:9" ht="12.75">
      <c r="A702" s="171"/>
      <c r="B702" s="1"/>
      <c r="C702" s="1"/>
      <c r="D702" s="61"/>
      <c r="E702" s="61"/>
      <c r="F702" s="2"/>
      <c r="G702" s="2"/>
      <c r="H702" s="2"/>
      <c r="I702" s="2"/>
    </row>
    <row r="703" spans="1:9" ht="12.75">
      <c r="A703" s="171"/>
      <c r="B703" s="1"/>
      <c r="C703" s="1"/>
      <c r="D703" s="61"/>
      <c r="E703" s="61"/>
      <c r="F703" s="2"/>
      <c r="G703" s="2"/>
      <c r="H703" s="2"/>
      <c r="I703" s="2"/>
    </row>
    <row r="704" spans="1:9" ht="12.75">
      <c r="A704" s="171"/>
      <c r="B704" s="1"/>
      <c r="C704" s="1"/>
      <c r="D704" s="61"/>
      <c r="E704" s="61"/>
      <c r="F704" s="2"/>
      <c r="G704" s="2"/>
      <c r="H704" s="2"/>
      <c r="I704" s="2"/>
    </row>
    <row r="705" spans="1:9" ht="12.75">
      <c r="A705" s="171"/>
      <c r="B705" s="1"/>
      <c r="C705" s="1"/>
      <c r="D705" s="61"/>
      <c r="E705" s="61"/>
      <c r="F705" s="2"/>
      <c r="G705" s="2"/>
      <c r="H705" s="2"/>
      <c r="I705" s="2"/>
    </row>
    <row r="706" spans="1:9" ht="12.75">
      <c r="A706" s="171"/>
      <c r="B706" s="1"/>
      <c r="C706" s="1"/>
      <c r="D706" s="61"/>
      <c r="E706" s="61"/>
      <c r="F706" s="2"/>
      <c r="G706" s="2"/>
      <c r="H706" s="2"/>
      <c r="I706" s="2"/>
    </row>
    <row r="707" spans="1:9" ht="12.75">
      <c r="A707" s="171"/>
      <c r="B707" s="1"/>
      <c r="C707" s="1"/>
      <c r="D707" s="61"/>
      <c r="E707" s="61"/>
      <c r="F707" s="2"/>
      <c r="G707" s="2"/>
      <c r="H707" s="2"/>
      <c r="I707" s="2"/>
    </row>
    <row r="708" spans="1:9" ht="12.75">
      <c r="A708" s="171"/>
      <c r="B708" s="1"/>
      <c r="C708" s="1"/>
      <c r="D708" s="61"/>
      <c r="E708" s="61"/>
      <c r="F708" s="2"/>
      <c r="G708" s="2"/>
      <c r="H708" s="2"/>
      <c r="I708" s="2"/>
    </row>
    <row r="709" spans="1:9" ht="12.75">
      <c r="A709" s="171"/>
      <c r="B709" s="1"/>
      <c r="C709" s="1"/>
      <c r="D709" s="61"/>
      <c r="E709" s="61"/>
      <c r="F709" s="2"/>
      <c r="G709" s="2"/>
      <c r="H709" s="2"/>
      <c r="I709" s="2"/>
    </row>
    <row r="710" spans="1:9" ht="12.75">
      <c r="A710" s="171"/>
      <c r="B710" s="1"/>
      <c r="C710" s="1"/>
      <c r="D710" s="61"/>
      <c r="E710" s="61"/>
      <c r="F710" s="2"/>
      <c r="G710" s="2"/>
      <c r="H710" s="2"/>
      <c r="I710" s="2"/>
    </row>
    <row r="711" spans="1:9" ht="12.75">
      <c r="A711" s="171"/>
      <c r="B711" s="1"/>
      <c r="C711" s="1"/>
      <c r="D711" s="61"/>
      <c r="E711" s="61"/>
      <c r="F711" s="2"/>
      <c r="G711" s="2"/>
      <c r="H711" s="2"/>
      <c r="I711" s="2"/>
    </row>
    <row r="712" spans="1:9" ht="12.75">
      <c r="A712" s="171"/>
      <c r="B712" s="1"/>
      <c r="C712" s="1"/>
      <c r="D712" s="61"/>
      <c r="E712" s="61"/>
      <c r="F712" s="2"/>
      <c r="G712" s="2"/>
      <c r="H712" s="2"/>
      <c r="I712" s="2"/>
    </row>
    <row r="713" spans="1:9" ht="12.75">
      <c r="A713" s="171"/>
      <c r="B713" s="1"/>
      <c r="C713" s="1"/>
      <c r="D713" s="61"/>
      <c r="E713" s="61"/>
      <c r="F713" s="2"/>
      <c r="G713" s="2"/>
      <c r="H713" s="2"/>
      <c r="I713" s="2"/>
    </row>
    <row r="714" spans="1:9" ht="12.75">
      <c r="A714" s="171"/>
      <c r="B714" s="1"/>
      <c r="C714" s="1"/>
      <c r="D714" s="61"/>
      <c r="E714" s="61"/>
      <c r="F714" s="2"/>
      <c r="G714" s="2"/>
      <c r="H714" s="2"/>
      <c r="I714" s="2"/>
    </row>
    <row r="715" spans="1:9" ht="12.75">
      <c r="A715" s="171"/>
      <c r="B715" s="1"/>
      <c r="C715" s="1"/>
      <c r="D715" s="61"/>
      <c r="E715" s="61"/>
      <c r="F715" s="2"/>
      <c r="G715" s="2"/>
      <c r="H715" s="2"/>
      <c r="I715" s="2"/>
    </row>
    <row r="716" spans="1:9" ht="12.75">
      <c r="A716" s="171"/>
      <c r="B716" s="1"/>
      <c r="C716" s="1"/>
      <c r="D716" s="61"/>
      <c r="E716" s="61"/>
      <c r="F716" s="2"/>
      <c r="G716" s="2"/>
      <c r="H716" s="2"/>
      <c r="I716" s="2"/>
    </row>
    <row r="717" spans="1:9" ht="12.75">
      <c r="A717" s="171"/>
      <c r="B717" s="1"/>
      <c r="C717" s="1"/>
      <c r="D717" s="61"/>
      <c r="E717" s="61"/>
      <c r="F717" s="2"/>
      <c r="G717" s="2"/>
      <c r="H717" s="2"/>
      <c r="I717" s="2"/>
    </row>
    <row r="718" spans="1:9" ht="12.75">
      <c r="A718" s="171"/>
      <c r="B718" s="1"/>
      <c r="C718" s="1"/>
      <c r="D718" s="61"/>
      <c r="E718" s="61"/>
      <c r="F718" s="2"/>
      <c r="G718" s="2"/>
      <c r="H718" s="2"/>
      <c r="I718" s="2"/>
    </row>
    <row r="719" spans="1:9" ht="12.75">
      <c r="A719" s="171"/>
      <c r="B719" s="1"/>
      <c r="C719" s="1"/>
      <c r="D719" s="61"/>
      <c r="E719" s="61"/>
      <c r="F719" s="2"/>
      <c r="G719" s="2"/>
      <c r="H719" s="2"/>
      <c r="I719" s="2"/>
    </row>
    <row r="720" spans="1:9" ht="12.75">
      <c r="A720" s="171"/>
      <c r="B720" s="1"/>
      <c r="C720" s="1"/>
      <c r="D720" s="61"/>
      <c r="E720" s="61"/>
      <c r="F720" s="2"/>
      <c r="G720" s="2"/>
      <c r="H720" s="2"/>
      <c r="I720" s="2"/>
    </row>
    <row r="721" spans="1:9" ht="12.75">
      <c r="A721" s="171"/>
      <c r="B721" s="1"/>
      <c r="C721" s="1"/>
      <c r="D721" s="61"/>
      <c r="E721" s="61"/>
      <c r="F721" s="2"/>
      <c r="G721" s="2"/>
      <c r="H721" s="2"/>
      <c r="I721" s="2"/>
    </row>
    <row r="722" spans="1:9" ht="12.75">
      <c r="A722" s="171"/>
      <c r="B722" s="1"/>
      <c r="C722" s="1"/>
      <c r="D722" s="61"/>
      <c r="E722" s="61"/>
      <c r="F722" s="2"/>
      <c r="G722" s="2"/>
      <c r="H722" s="2"/>
      <c r="I722" s="2"/>
    </row>
    <row r="723" spans="1:9" ht="12.75">
      <c r="A723" s="171"/>
      <c r="B723" s="1"/>
      <c r="C723" s="1"/>
      <c r="D723" s="61"/>
      <c r="E723" s="61"/>
      <c r="F723" s="2"/>
      <c r="G723" s="2"/>
      <c r="H723" s="2"/>
      <c r="I723" s="2"/>
    </row>
    <row r="724" spans="1:9" ht="12.75">
      <c r="A724" s="171"/>
      <c r="B724" s="1"/>
      <c r="C724" s="1"/>
      <c r="D724" s="61"/>
      <c r="E724" s="61"/>
      <c r="F724" s="2"/>
      <c r="G724" s="2"/>
      <c r="H724" s="2"/>
      <c r="I724" s="2"/>
    </row>
    <row r="725" spans="1:9" ht="12.75">
      <c r="A725" s="171"/>
      <c r="B725" s="1"/>
      <c r="C725" s="1"/>
      <c r="D725" s="61"/>
      <c r="E725" s="61"/>
      <c r="F725" s="2"/>
      <c r="G725" s="2"/>
      <c r="H725" s="2"/>
      <c r="I725" s="2"/>
    </row>
    <row r="726" spans="1:9" ht="12.75">
      <c r="A726" s="171"/>
      <c r="B726" s="1"/>
      <c r="C726" s="1"/>
      <c r="D726" s="61"/>
      <c r="E726" s="61"/>
      <c r="F726" s="2"/>
      <c r="G726" s="2"/>
      <c r="H726" s="2"/>
      <c r="I726" s="2"/>
    </row>
    <row r="727" spans="1:9" ht="12.75">
      <c r="A727" s="171"/>
      <c r="B727" s="1"/>
      <c r="C727" s="1"/>
      <c r="D727" s="61"/>
      <c r="E727" s="61"/>
      <c r="F727" s="2"/>
      <c r="G727" s="2"/>
      <c r="H727" s="2"/>
      <c r="I727" s="2"/>
    </row>
    <row r="728" spans="1:9" ht="12.75">
      <c r="A728" s="171"/>
      <c r="B728" s="1"/>
      <c r="C728" s="1"/>
      <c r="D728" s="61"/>
      <c r="E728" s="61"/>
      <c r="F728" s="2"/>
      <c r="G728" s="2"/>
      <c r="H728" s="2"/>
      <c r="I728" s="2"/>
    </row>
    <row r="729" spans="1:9" ht="12.75">
      <c r="A729" s="171"/>
      <c r="B729" s="1"/>
      <c r="C729" s="1"/>
      <c r="D729" s="61"/>
      <c r="E729" s="61"/>
      <c r="F729" s="2"/>
      <c r="G729" s="2"/>
      <c r="H729" s="2"/>
      <c r="I729" s="2"/>
    </row>
    <row r="730" spans="1:9" ht="12.75">
      <c r="A730" s="171"/>
      <c r="B730" s="1"/>
      <c r="C730" s="1"/>
      <c r="D730" s="61"/>
      <c r="E730" s="61"/>
      <c r="F730" s="2"/>
      <c r="G730" s="2"/>
      <c r="H730" s="2"/>
      <c r="I730" s="2"/>
    </row>
    <row r="731" spans="1:9" ht="12.75">
      <c r="A731" s="171"/>
      <c r="B731" s="1"/>
      <c r="C731" s="1"/>
      <c r="D731" s="61"/>
      <c r="E731" s="61"/>
      <c r="F731" s="2"/>
      <c r="G731" s="2"/>
      <c r="H731" s="2"/>
      <c r="I731" s="2"/>
    </row>
    <row r="732" spans="1:9" ht="12.75">
      <c r="A732" s="171"/>
      <c r="B732" s="1"/>
      <c r="C732" s="1"/>
      <c r="D732" s="61"/>
      <c r="E732" s="61"/>
      <c r="F732" s="2"/>
      <c r="G732" s="2"/>
      <c r="H732" s="2"/>
      <c r="I732" s="2"/>
    </row>
    <row r="733" spans="1:9" ht="12.75">
      <c r="A733" s="171"/>
      <c r="B733" s="1"/>
      <c r="C733" s="1"/>
      <c r="D733" s="61"/>
      <c r="E733" s="61"/>
      <c r="F733" s="2"/>
      <c r="G733" s="2"/>
      <c r="H733" s="2"/>
      <c r="I733" s="2"/>
    </row>
    <row r="734" spans="1:9" ht="12.75">
      <c r="A734" s="171"/>
      <c r="B734" s="1"/>
      <c r="C734" s="1"/>
      <c r="D734" s="61"/>
      <c r="E734" s="61"/>
      <c r="F734" s="2"/>
      <c r="G734" s="2"/>
      <c r="H734" s="2"/>
      <c r="I734" s="2"/>
    </row>
    <row r="735" spans="1:9" ht="12.75">
      <c r="A735" s="171"/>
      <c r="B735" s="1"/>
      <c r="C735" s="1"/>
      <c r="D735" s="61"/>
      <c r="E735" s="61"/>
      <c r="F735" s="2"/>
      <c r="G735" s="2"/>
      <c r="H735" s="2"/>
      <c r="I735" s="2"/>
    </row>
    <row r="736" spans="1:9" ht="12.75">
      <c r="A736" s="171"/>
      <c r="B736" s="1"/>
      <c r="C736" s="1"/>
      <c r="D736" s="61"/>
      <c r="E736" s="61"/>
      <c r="F736" s="2"/>
      <c r="G736" s="2"/>
      <c r="H736" s="2"/>
      <c r="I736" s="2"/>
    </row>
    <row r="737" spans="1:9" ht="12.75">
      <c r="A737" s="171"/>
      <c r="B737" s="1"/>
      <c r="C737" s="1"/>
      <c r="D737" s="61"/>
      <c r="E737" s="61"/>
      <c r="F737" s="2"/>
      <c r="G737" s="2"/>
      <c r="H737" s="2"/>
      <c r="I737" s="2"/>
    </row>
    <row r="738" spans="1:9" ht="12.75">
      <c r="A738" s="171"/>
      <c r="B738" s="1"/>
      <c r="C738" s="1"/>
      <c r="D738" s="61"/>
      <c r="E738" s="61"/>
      <c r="F738" s="2"/>
      <c r="G738" s="2"/>
      <c r="H738" s="2"/>
      <c r="I738" s="2"/>
    </row>
    <row r="739" spans="1:9" ht="12.75">
      <c r="A739" s="171"/>
      <c r="B739" s="1"/>
      <c r="C739" s="1"/>
      <c r="D739" s="61"/>
      <c r="E739" s="61"/>
      <c r="F739" s="2"/>
      <c r="G739" s="2"/>
      <c r="H739" s="2"/>
      <c r="I739" s="2"/>
    </row>
    <row r="740" spans="1:9" ht="12.75">
      <c r="A740" s="171"/>
      <c r="B740" s="1"/>
      <c r="C740" s="1"/>
      <c r="D740" s="61"/>
      <c r="E740" s="61"/>
      <c r="F740" s="2"/>
      <c r="G740" s="2"/>
      <c r="H740" s="2"/>
      <c r="I740" s="2"/>
    </row>
    <row r="741" spans="1:9" ht="12.75">
      <c r="A741" s="171"/>
      <c r="B741" s="1"/>
      <c r="C741" s="1"/>
      <c r="D741" s="61"/>
      <c r="E741" s="61"/>
      <c r="F741" s="2"/>
      <c r="G741" s="2"/>
      <c r="H741" s="2"/>
      <c r="I741" s="2"/>
    </row>
    <row r="742" spans="1:9" ht="12.75">
      <c r="A742" s="171"/>
      <c r="B742" s="1"/>
      <c r="C742" s="1"/>
      <c r="D742" s="61"/>
      <c r="E742" s="61"/>
      <c r="F742" s="2"/>
      <c r="G742" s="2"/>
      <c r="H742" s="2"/>
      <c r="I742" s="2"/>
    </row>
    <row r="743" spans="1:9" ht="12.75">
      <c r="A743" s="171"/>
      <c r="B743" s="1"/>
      <c r="C743" s="1"/>
      <c r="D743" s="61"/>
      <c r="E743" s="61"/>
      <c r="F743" s="2"/>
      <c r="G743" s="2"/>
      <c r="H743" s="2"/>
      <c r="I743" s="2"/>
    </row>
    <row r="744" spans="1:9" ht="12.75">
      <c r="A744" s="171"/>
      <c r="B744" s="1"/>
      <c r="C744" s="1"/>
      <c r="D744" s="61"/>
      <c r="E744" s="61"/>
      <c r="F744" s="2"/>
      <c r="G744" s="2"/>
      <c r="H744" s="2"/>
      <c r="I744" s="2"/>
    </row>
    <row r="745" spans="1:9" ht="12.75">
      <c r="A745" s="171"/>
      <c r="B745" s="1"/>
      <c r="C745" s="1"/>
      <c r="D745" s="61"/>
      <c r="E745" s="61"/>
      <c r="F745" s="2"/>
      <c r="G745" s="2"/>
      <c r="H745" s="2"/>
      <c r="I745" s="2"/>
    </row>
    <row r="746" spans="1:9" ht="12.75">
      <c r="A746" s="171"/>
      <c r="B746" s="1"/>
      <c r="C746" s="1"/>
      <c r="D746" s="61"/>
      <c r="E746" s="61"/>
      <c r="F746" s="2"/>
      <c r="G746" s="2"/>
      <c r="H746" s="2"/>
      <c r="I746" s="2"/>
    </row>
    <row r="747" spans="1:9" ht="12.75">
      <c r="A747" s="171"/>
      <c r="B747" s="1"/>
      <c r="C747" s="1"/>
      <c r="D747" s="61"/>
      <c r="E747" s="61"/>
      <c r="F747" s="2"/>
      <c r="G747" s="2"/>
      <c r="H747" s="2"/>
      <c r="I747" s="2"/>
    </row>
    <row r="748" spans="1:9" ht="12.75">
      <c r="A748" s="171"/>
      <c r="B748" s="1"/>
      <c r="C748" s="1"/>
      <c r="D748" s="61"/>
      <c r="E748" s="61"/>
      <c r="F748" s="2"/>
      <c r="G748" s="2"/>
      <c r="H748" s="2"/>
      <c r="I748" s="2"/>
    </row>
    <row r="749" spans="1:9" ht="12.75">
      <c r="A749" s="171"/>
      <c r="B749" s="1"/>
      <c r="C749" s="1"/>
      <c r="D749" s="61"/>
      <c r="E749" s="61"/>
      <c r="F749" s="2"/>
      <c r="G749" s="2"/>
      <c r="H749" s="2"/>
      <c r="I749" s="2"/>
    </row>
    <row r="750" spans="1:9" ht="12.75">
      <c r="A750" s="171"/>
      <c r="B750" s="1"/>
      <c r="C750" s="1"/>
      <c r="D750" s="61"/>
      <c r="E750" s="61"/>
      <c r="F750" s="2"/>
      <c r="G750" s="2"/>
      <c r="H750" s="2"/>
      <c r="I750" s="2"/>
    </row>
    <row r="751" spans="1:9" ht="12.75">
      <c r="A751" s="171"/>
      <c r="B751" s="1"/>
      <c r="C751" s="1"/>
      <c r="D751" s="61"/>
      <c r="E751" s="61"/>
      <c r="F751" s="2"/>
      <c r="G751" s="2"/>
      <c r="H751" s="2"/>
      <c r="I751" s="2"/>
    </row>
    <row r="752" spans="1:9" ht="12.75">
      <c r="A752" s="171"/>
      <c r="B752" s="1"/>
      <c r="C752" s="1"/>
      <c r="D752" s="61"/>
      <c r="E752" s="61"/>
      <c r="F752" s="2"/>
      <c r="G752" s="2"/>
      <c r="H752" s="2"/>
      <c r="I752" s="2"/>
    </row>
    <row r="753" spans="1:9" ht="12.75">
      <c r="A753" s="171"/>
      <c r="B753" s="1"/>
      <c r="C753" s="1"/>
      <c r="D753" s="61"/>
      <c r="E753" s="61"/>
      <c r="F753" s="2"/>
      <c r="G753" s="2"/>
      <c r="H753" s="2"/>
      <c r="I753" s="2"/>
    </row>
    <row r="754" spans="1:9" ht="12.75">
      <c r="A754" s="171"/>
      <c r="B754" s="1"/>
      <c r="C754" s="1"/>
      <c r="D754" s="61"/>
      <c r="E754" s="61"/>
      <c r="F754" s="2"/>
      <c r="G754" s="2"/>
      <c r="H754" s="2"/>
      <c r="I754" s="2"/>
    </row>
    <row r="755" spans="1:9" ht="12.75">
      <c r="A755" s="171"/>
      <c r="B755" s="1"/>
      <c r="C755" s="1"/>
      <c r="D755" s="61"/>
      <c r="E755" s="61"/>
      <c r="F755" s="2"/>
      <c r="G755" s="2"/>
      <c r="H755" s="2"/>
      <c r="I755" s="2"/>
    </row>
    <row r="756" spans="1:9" ht="12.75">
      <c r="A756" s="171"/>
      <c r="B756" s="1"/>
      <c r="C756" s="1"/>
      <c r="D756" s="61"/>
      <c r="E756" s="61"/>
      <c r="F756" s="2"/>
      <c r="G756" s="2"/>
      <c r="H756" s="2"/>
      <c r="I756" s="2"/>
    </row>
    <row r="757" spans="1:9" ht="12.75">
      <c r="A757" s="171"/>
      <c r="B757" s="1"/>
      <c r="C757" s="1"/>
      <c r="D757" s="61"/>
      <c r="E757" s="61"/>
      <c r="F757" s="2"/>
      <c r="G757" s="2"/>
      <c r="H757" s="2"/>
      <c r="I757" s="2"/>
    </row>
    <row r="758" spans="1:9" ht="12.75">
      <c r="A758" s="171"/>
      <c r="B758" s="1"/>
      <c r="C758" s="1"/>
      <c r="D758" s="61"/>
      <c r="E758" s="61"/>
      <c r="F758" s="2"/>
      <c r="G758" s="2"/>
      <c r="H758" s="2"/>
      <c r="I758" s="2"/>
    </row>
    <row r="759" spans="1:9" ht="12.75">
      <c r="A759" s="171"/>
      <c r="B759" s="1"/>
      <c r="C759" s="1"/>
      <c r="D759" s="61"/>
      <c r="E759" s="61"/>
      <c r="F759" s="2"/>
      <c r="G759" s="2"/>
      <c r="H759" s="2"/>
      <c r="I759" s="2"/>
    </row>
    <row r="760" spans="1:9" ht="12.75">
      <c r="A760" s="171"/>
      <c r="B760" s="1"/>
      <c r="C760" s="1"/>
      <c r="D760" s="61"/>
      <c r="E760" s="61"/>
      <c r="F760" s="2"/>
      <c r="G760" s="2"/>
      <c r="H760" s="2"/>
      <c r="I760" s="2"/>
    </row>
    <row r="761" spans="1:9" ht="12.75">
      <c r="A761" s="171"/>
      <c r="B761" s="1"/>
      <c r="C761" s="1"/>
      <c r="D761" s="61"/>
      <c r="E761" s="61"/>
      <c r="F761" s="2"/>
      <c r="G761" s="2"/>
      <c r="H761" s="2"/>
      <c r="I761" s="2"/>
    </row>
    <row r="762" spans="1:9" ht="12.75">
      <c r="A762" s="171"/>
      <c r="B762" s="1"/>
      <c r="C762" s="1"/>
      <c r="D762" s="61"/>
      <c r="E762" s="61"/>
      <c r="F762" s="2"/>
      <c r="G762" s="2"/>
      <c r="H762" s="2"/>
      <c r="I762" s="2"/>
    </row>
    <row r="763" spans="1:9" ht="12.75">
      <c r="A763" s="171"/>
      <c r="B763" s="1"/>
      <c r="C763" s="1"/>
      <c r="D763" s="61"/>
      <c r="E763" s="61"/>
      <c r="F763" s="2"/>
      <c r="G763" s="2"/>
      <c r="H763" s="2"/>
      <c r="I763" s="2"/>
    </row>
    <row r="764" spans="1:9" ht="12.75">
      <c r="A764" s="171"/>
      <c r="B764" s="1"/>
      <c r="C764" s="1"/>
      <c r="D764" s="61"/>
      <c r="E764" s="61"/>
      <c r="F764" s="2"/>
      <c r="G764" s="2"/>
      <c r="H764" s="2"/>
      <c r="I764" s="2"/>
    </row>
    <row r="765" spans="1:9" ht="12.75">
      <c r="A765" s="171"/>
      <c r="B765" s="1"/>
      <c r="C765" s="1"/>
      <c r="D765" s="61"/>
      <c r="E765" s="61"/>
      <c r="F765" s="2"/>
      <c r="G765" s="2"/>
      <c r="H765" s="2"/>
      <c r="I765" s="2"/>
    </row>
    <row r="766" spans="1:9" ht="12.75">
      <c r="A766" s="171"/>
      <c r="B766" s="1"/>
      <c r="C766" s="1"/>
      <c r="D766" s="61"/>
      <c r="E766" s="61"/>
      <c r="F766" s="2"/>
      <c r="G766" s="2"/>
      <c r="H766" s="2"/>
      <c r="I766" s="2"/>
    </row>
    <row r="767" spans="1:9" ht="12.75">
      <c r="A767" s="171"/>
      <c r="B767" s="1"/>
      <c r="C767" s="1"/>
      <c r="D767" s="61"/>
      <c r="E767" s="61"/>
      <c r="F767" s="2"/>
      <c r="G767" s="2"/>
      <c r="H767" s="2"/>
      <c r="I767" s="2"/>
    </row>
    <row r="768" spans="1:9" ht="12.75">
      <c r="A768" s="171"/>
      <c r="B768" s="1"/>
      <c r="C768" s="1"/>
      <c r="D768" s="61"/>
      <c r="E768" s="61"/>
      <c r="F768" s="2"/>
      <c r="G768" s="2"/>
      <c r="H768" s="2"/>
      <c r="I768" s="2"/>
    </row>
    <row r="769" spans="1:9" ht="12.75">
      <c r="A769" s="171"/>
      <c r="B769" s="1"/>
      <c r="C769" s="1"/>
      <c r="D769" s="61"/>
      <c r="E769" s="61"/>
      <c r="F769" s="2"/>
      <c r="G769" s="2"/>
      <c r="H769" s="2"/>
      <c r="I769" s="2"/>
    </row>
    <row r="770" spans="1:9" ht="12.75">
      <c r="A770" s="171"/>
      <c r="B770" s="1"/>
      <c r="C770" s="1"/>
      <c r="D770" s="61"/>
      <c r="E770" s="61"/>
      <c r="F770" s="2"/>
      <c r="G770" s="2"/>
      <c r="H770" s="2"/>
      <c r="I770" s="2"/>
    </row>
    <row r="771" spans="1:9" ht="12.75">
      <c r="A771" s="171"/>
      <c r="B771" s="1"/>
      <c r="C771" s="1"/>
      <c r="D771" s="61"/>
      <c r="E771" s="61"/>
      <c r="F771" s="2"/>
      <c r="G771" s="2"/>
      <c r="H771" s="2"/>
      <c r="I771" s="2"/>
    </row>
    <row r="772" spans="1:9" ht="12.75">
      <c r="A772" s="171"/>
      <c r="B772" s="1"/>
      <c r="C772" s="1"/>
      <c r="D772" s="61"/>
      <c r="E772" s="61"/>
      <c r="F772" s="2"/>
      <c r="G772" s="2"/>
      <c r="H772" s="2"/>
      <c r="I772" s="2"/>
    </row>
    <row r="773" spans="1:9" ht="12.75">
      <c r="A773" s="171"/>
      <c r="B773" s="1"/>
      <c r="C773" s="1"/>
      <c r="D773" s="61"/>
      <c r="E773" s="61"/>
      <c r="F773" s="2"/>
      <c r="G773" s="2"/>
      <c r="H773" s="2"/>
      <c r="I773" s="2"/>
    </row>
    <row r="774" spans="1:9" ht="12.75">
      <c r="A774" s="171"/>
      <c r="B774" s="1"/>
      <c r="C774" s="1"/>
      <c r="D774" s="61"/>
      <c r="E774" s="61"/>
      <c r="F774" s="2"/>
      <c r="G774" s="2"/>
      <c r="H774" s="2"/>
      <c r="I774" s="2"/>
    </row>
    <row r="775" spans="1:9" ht="12.75">
      <c r="A775" s="171"/>
      <c r="B775" s="1"/>
      <c r="C775" s="1"/>
      <c r="D775" s="61"/>
      <c r="E775" s="61"/>
      <c r="F775" s="2"/>
      <c r="G775" s="2"/>
      <c r="H775" s="2"/>
      <c r="I775" s="2"/>
    </row>
    <row r="776" spans="1:9" ht="12.75">
      <c r="A776" s="171"/>
      <c r="B776" s="1"/>
      <c r="C776" s="1"/>
      <c r="D776" s="61"/>
      <c r="E776" s="61"/>
      <c r="F776" s="2"/>
      <c r="G776" s="2"/>
      <c r="H776" s="2"/>
      <c r="I776" s="2"/>
    </row>
    <row r="777" spans="1:9" ht="12.75">
      <c r="A777" s="171"/>
      <c r="B777" s="1"/>
      <c r="C777" s="1"/>
      <c r="D777" s="61"/>
      <c r="E777" s="61"/>
      <c r="F777" s="2"/>
      <c r="G777" s="2"/>
      <c r="H777" s="2"/>
      <c r="I777" s="2"/>
    </row>
    <row r="778" spans="1:9" ht="12.75">
      <c r="A778" s="171"/>
      <c r="B778" s="1"/>
      <c r="C778" s="1"/>
      <c r="D778" s="61"/>
      <c r="E778" s="61"/>
      <c r="F778" s="2"/>
      <c r="G778" s="2"/>
      <c r="H778" s="2"/>
      <c r="I778" s="2"/>
    </row>
    <row r="779" spans="1:9" ht="12.75">
      <c r="A779" s="171"/>
      <c r="B779" s="1"/>
      <c r="C779" s="1"/>
      <c r="D779" s="61"/>
      <c r="E779" s="61"/>
      <c r="F779" s="2"/>
      <c r="G779" s="2"/>
      <c r="H779" s="2"/>
      <c r="I779" s="2"/>
    </row>
    <row r="780" spans="1:9" ht="12.75">
      <c r="A780" s="171"/>
      <c r="B780" s="1"/>
      <c r="C780" s="1"/>
      <c r="D780" s="61"/>
      <c r="E780" s="61"/>
      <c r="F780" s="2"/>
      <c r="G780" s="2"/>
      <c r="H780" s="2"/>
      <c r="I780" s="2"/>
    </row>
    <row r="781" spans="1:9" ht="12.75">
      <c r="A781" s="171"/>
      <c r="B781" s="1"/>
      <c r="C781" s="1"/>
      <c r="D781" s="61"/>
      <c r="E781" s="61"/>
      <c r="F781" s="2"/>
      <c r="G781" s="2"/>
      <c r="H781" s="2"/>
      <c r="I781" s="2"/>
    </row>
    <row r="782" spans="1:9" ht="12.75">
      <c r="A782" s="171"/>
      <c r="B782" s="1"/>
      <c r="C782" s="1"/>
      <c r="D782" s="61"/>
      <c r="E782" s="61"/>
      <c r="F782" s="2"/>
      <c r="G782" s="2"/>
      <c r="H782" s="2"/>
      <c r="I782" s="2"/>
    </row>
    <row r="783" spans="1:9" ht="12.75">
      <c r="A783" s="171"/>
      <c r="B783" s="1"/>
      <c r="C783" s="1"/>
      <c r="D783" s="61"/>
      <c r="E783" s="61"/>
      <c r="F783" s="2"/>
      <c r="G783" s="2"/>
      <c r="H783" s="2"/>
      <c r="I783" s="2"/>
    </row>
    <row r="784" spans="1:9" ht="12.75">
      <c r="A784" s="171"/>
      <c r="B784" s="1"/>
      <c r="C784" s="1"/>
      <c r="D784" s="61"/>
      <c r="E784" s="61"/>
      <c r="F784" s="2"/>
      <c r="G784" s="2"/>
      <c r="H784" s="2"/>
      <c r="I784" s="2"/>
    </row>
    <row r="785" spans="1:9" ht="12.75">
      <c r="A785" s="171"/>
      <c r="B785" s="1"/>
      <c r="C785" s="1"/>
      <c r="D785" s="61"/>
      <c r="E785" s="61"/>
      <c r="F785" s="2"/>
      <c r="G785" s="2"/>
      <c r="H785" s="2"/>
      <c r="I785" s="2"/>
    </row>
    <row r="786" spans="1:9" ht="12.75">
      <c r="A786" s="171"/>
      <c r="B786" s="1"/>
      <c r="C786" s="1"/>
      <c r="D786" s="61"/>
      <c r="E786" s="61"/>
      <c r="F786" s="2"/>
      <c r="G786" s="2"/>
      <c r="H786" s="2"/>
      <c r="I786" s="2"/>
    </row>
    <row r="787" spans="1:9" ht="12.75">
      <c r="A787" s="171"/>
      <c r="B787" s="1"/>
      <c r="C787" s="1"/>
      <c r="D787" s="61"/>
      <c r="E787" s="61"/>
      <c r="F787" s="2"/>
      <c r="G787" s="2"/>
      <c r="H787" s="2"/>
      <c r="I787" s="2"/>
    </row>
    <row r="788" spans="1:9" ht="12.75">
      <c r="A788" s="171"/>
      <c r="B788" s="1"/>
      <c r="C788" s="1"/>
      <c r="D788" s="61"/>
      <c r="E788" s="61"/>
      <c r="F788" s="2"/>
      <c r="G788" s="2"/>
      <c r="H788" s="2"/>
      <c r="I788" s="2"/>
    </row>
    <row r="789" spans="1:9" ht="12.75">
      <c r="A789" s="171"/>
      <c r="B789" s="1"/>
      <c r="C789" s="1"/>
      <c r="D789" s="61"/>
      <c r="E789" s="61"/>
      <c r="F789" s="2"/>
      <c r="G789" s="2"/>
      <c r="H789" s="2"/>
      <c r="I789" s="2"/>
    </row>
    <row r="790" spans="1:9" ht="12.75">
      <c r="A790" s="171"/>
      <c r="B790" s="1"/>
      <c r="C790" s="1"/>
      <c r="D790" s="61"/>
      <c r="E790" s="61"/>
      <c r="F790" s="2"/>
      <c r="G790" s="2"/>
      <c r="H790" s="2"/>
      <c r="I790" s="2"/>
    </row>
    <row r="791" spans="1:9" ht="12.75">
      <c r="A791" s="171"/>
      <c r="B791" s="1"/>
      <c r="C791" s="1"/>
      <c r="D791" s="61"/>
      <c r="E791" s="61"/>
      <c r="F791" s="2"/>
      <c r="G791" s="2"/>
      <c r="H791" s="2"/>
      <c r="I791" s="2"/>
    </row>
    <row r="792" spans="1:9" ht="12.75">
      <c r="A792" s="171"/>
      <c r="B792" s="1"/>
      <c r="C792" s="1"/>
      <c r="D792" s="61"/>
      <c r="E792" s="61"/>
      <c r="F792" s="2"/>
      <c r="G792" s="2"/>
      <c r="H792" s="2"/>
      <c r="I792" s="2"/>
    </row>
    <row r="793" spans="1:9" ht="12.75">
      <c r="A793" s="171"/>
      <c r="B793" s="1"/>
      <c r="C793" s="1"/>
      <c r="D793" s="61"/>
      <c r="E793" s="61"/>
      <c r="F793" s="2"/>
      <c r="G793" s="2"/>
      <c r="H793" s="2"/>
      <c r="I793" s="2"/>
    </row>
    <row r="794" spans="1:9" ht="12.75">
      <c r="A794" s="171"/>
      <c r="B794" s="1"/>
      <c r="C794" s="1"/>
      <c r="D794" s="61"/>
      <c r="E794" s="61"/>
      <c r="F794" s="2"/>
      <c r="G794" s="2"/>
      <c r="H794" s="2"/>
      <c r="I794" s="2"/>
    </row>
    <row r="795" spans="1:9" ht="12.75">
      <c r="A795" s="171"/>
      <c r="B795" s="1"/>
      <c r="C795" s="1"/>
      <c r="D795" s="61"/>
      <c r="E795" s="61"/>
      <c r="F795" s="2"/>
      <c r="G795" s="2"/>
      <c r="H795" s="2"/>
      <c r="I795" s="2"/>
    </row>
    <row r="796" spans="1:9" ht="12.75">
      <c r="A796" s="171"/>
      <c r="B796" s="1"/>
      <c r="C796" s="1"/>
      <c r="D796" s="61"/>
      <c r="E796" s="61"/>
      <c r="F796" s="2"/>
      <c r="G796" s="2"/>
      <c r="H796" s="2"/>
      <c r="I796" s="2"/>
    </row>
    <row r="797" spans="1:9" ht="12.75">
      <c r="A797" s="171"/>
      <c r="B797" s="1"/>
      <c r="C797" s="1"/>
      <c r="D797" s="61"/>
      <c r="E797" s="61"/>
      <c r="F797" s="2"/>
      <c r="G797" s="2"/>
      <c r="H797" s="2"/>
      <c r="I797" s="2"/>
    </row>
    <row r="798" spans="1:9" ht="12.75">
      <c r="A798" s="171"/>
      <c r="B798" s="1"/>
      <c r="C798" s="1"/>
      <c r="D798" s="61"/>
      <c r="E798" s="61"/>
      <c r="F798" s="2"/>
      <c r="G798" s="2"/>
      <c r="H798" s="2"/>
      <c r="I798" s="2"/>
    </row>
    <row r="799" spans="1:9" ht="12.75">
      <c r="A799" s="171"/>
      <c r="B799" s="1"/>
      <c r="C799" s="1"/>
      <c r="D799" s="61"/>
      <c r="E799" s="61"/>
      <c r="F799" s="2"/>
      <c r="G799" s="2"/>
      <c r="H799" s="2"/>
      <c r="I799" s="2"/>
    </row>
    <row r="800" spans="1:9" ht="12.75">
      <c r="A800" s="171"/>
      <c r="B800" s="1"/>
      <c r="C800" s="1"/>
      <c r="D800" s="61"/>
      <c r="E800" s="61"/>
      <c r="F800" s="2"/>
      <c r="G800" s="2"/>
      <c r="H800" s="2"/>
      <c r="I800" s="2"/>
    </row>
    <row r="801" spans="1:9" ht="12.75">
      <c r="A801" s="171"/>
      <c r="B801" s="1"/>
      <c r="C801" s="1"/>
      <c r="D801" s="61"/>
      <c r="E801" s="61"/>
      <c r="F801" s="2"/>
      <c r="G801" s="2"/>
      <c r="H801" s="2"/>
      <c r="I801" s="2"/>
    </row>
    <row r="802" spans="1:9" ht="12.75">
      <c r="A802" s="171"/>
      <c r="B802" s="1"/>
      <c r="C802" s="1"/>
      <c r="D802" s="61"/>
      <c r="E802" s="61"/>
      <c r="F802" s="2"/>
      <c r="G802" s="2"/>
      <c r="H802" s="2"/>
      <c r="I802" s="2"/>
    </row>
    <row r="803" spans="1:9" ht="12.75">
      <c r="A803" s="171"/>
      <c r="B803" s="1"/>
      <c r="C803" s="1"/>
      <c r="D803" s="61"/>
      <c r="E803" s="61"/>
      <c r="F803" s="2"/>
      <c r="G803" s="2"/>
      <c r="H803" s="2"/>
      <c r="I803" s="2"/>
    </row>
    <row r="804" spans="1:9" ht="12.75">
      <c r="A804" s="171"/>
      <c r="B804" s="1"/>
      <c r="C804" s="1"/>
      <c r="D804" s="61"/>
      <c r="E804" s="61"/>
      <c r="F804" s="2"/>
      <c r="G804" s="2"/>
      <c r="H804" s="2"/>
      <c r="I804" s="2"/>
    </row>
    <row r="805" spans="1:9" ht="12.75">
      <c r="A805" s="171"/>
      <c r="B805" s="1"/>
      <c r="C805" s="1"/>
      <c r="D805" s="61"/>
      <c r="E805" s="61"/>
      <c r="F805" s="2"/>
      <c r="G805" s="2"/>
      <c r="H805" s="2"/>
      <c r="I805" s="2"/>
    </row>
    <row r="806" spans="1:9" ht="12.75">
      <c r="A806" s="171"/>
      <c r="B806" s="1"/>
      <c r="C806" s="1"/>
      <c r="D806" s="61"/>
      <c r="E806" s="61"/>
      <c r="F806" s="2"/>
      <c r="G806" s="2"/>
      <c r="H806" s="2"/>
      <c r="I806" s="2"/>
    </row>
    <row r="807" spans="1:9" ht="12.75">
      <c r="A807" s="171"/>
      <c r="B807" s="1"/>
      <c r="C807" s="1"/>
      <c r="D807" s="61"/>
      <c r="E807" s="61"/>
      <c r="F807" s="2"/>
      <c r="G807" s="2"/>
      <c r="H807" s="2"/>
      <c r="I807" s="2"/>
    </row>
    <row r="808" spans="1:9" ht="12.75">
      <c r="A808" s="171"/>
      <c r="B808" s="1"/>
      <c r="C808" s="1"/>
      <c r="D808" s="61"/>
      <c r="E808" s="61"/>
      <c r="F808" s="2"/>
      <c r="G808" s="2"/>
      <c r="H808" s="2"/>
      <c r="I808" s="2"/>
    </row>
    <row r="809" spans="1:9" ht="12.75">
      <c r="A809" s="171"/>
      <c r="B809" s="1"/>
      <c r="C809" s="1"/>
      <c r="D809" s="61"/>
      <c r="E809" s="61"/>
      <c r="F809" s="2"/>
      <c r="G809" s="2"/>
      <c r="H809" s="2"/>
      <c r="I809" s="2"/>
    </row>
    <row r="810" spans="1:9" ht="12.75">
      <c r="A810" s="171"/>
      <c r="B810" s="1"/>
      <c r="C810" s="1"/>
      <c r="D810" s="61"/>
      <c r="E810" s="61"/>
      <c r="F810" s="2"/>
      <c r="G810" s="2"/>
      <c r="H810" s="2"/>
      <c r="I810" s="2"/>
    </row>
    <row r="811" spans="1:9" ht="12.75">
      <c r="A811" s="171"/>
      <c r="B811" s="1"/>
      <c r="C811" s="1"/>
      <c r="D811" s="61"/>
      <c r="E811" s="61"/>
      <c r="F811" s="2"/>
      <c r="G811" s="2"/>
      <c r="H811" s="2"/>
      <c r="I811" s="2"/>
    </row>
    <row r="812" spans="1:9" ht="12.75">
      <c r="A812" s="171"/>
      <c r="B812" s="1"/>
      <c r="C812" s="1"/>
      <c r="D812" s="61"/>
      <c r="E812" s="61"/>
      <c r="F812" s="2"/>
      <c r="G812" s="2"/>
      <c r="H812" s="2"/>
      <c r="I812" s="2"/>
    </row>
    <row r="813" spans="1:9" ht="12.75">
      <c r="A813" s="171"/>
      <c r="B813" s="1"/>
      <c r="C813" s="1"/>
      <c r="D813" s="61"/>
      <c r="E813" s="61"/>
      <c r="F813" s="2"/>
      <c r="G813" s="2"/>
      <c r="H813" s="2"/>
      <c r="I813" s="2"/>
    </row>
    <row r="814" spans="1:9" ht="12.75">
      <c r="A814" s="171"/>
      <c r="B814" s="1"/>
      <c r="C814" s="1"/>
      <c r="D814" s="61"/>
      <c r="E814" s="61"/>
      <c r="F814" s="2"/>
      <c r="G814" s="2"/>
      <c r="H814" s="2"/>
      <c r="I814" s="2"/>
    </row>
    <row r="815" spans="1:9" ht="12.75">
      <c r="A815" s="171"/>
      <c r="B815" s="1"/>
      <c r="C815" s="1"/>
      <c r="D815" s="61"/>
      <c r="E815" s="61"/>
      <c r="F815" s="2"/>
      <c r="G815" s="2"/>
      <c r="H815" s="2"/>
      <c r="I815" s="2"/>
    </row>
    <row r="816" spans="1:9" ht="12.75">
      <c r="A816" s="171"/>
      <c r="B816" s="1"/>
      <c r="C816" s="1"/>
      <c r="D816" s="61"/>
      <c r="E816" s="61"/>
      <c r="F816" s="2"/>
      <c r="G816" s="2"/>
      <c r="H816" s="2"/>
      <c r="I816" s="2"/>
    </row>
    <row r="817" spans="1:9" ht="12.75">
      <c r="A817" s="171"/>
      <c r="B817" s="1"/>
      <c r="C817" s="1"/>
      <c r="D817" s="61"/>
      <c r="E817" s="61"/>
      <c r="F817" s="2"/>
      <c r="G817" s="2"/>
      <c r="H817" s="2"/>
      <c r="I817" s="2"/>
    </row>
    <row r="818" spans="1:9" ht="12.75">
      <c r="A818" s="171"/>
      <c r="B818" s="1"/>
      <c r="C818" s="1"/>
      <c r="D818" s="61"/>
      <c r="E818" s="61"/>
      <c r="F818" s="2"/>
      <c r="G818" s="2"/>
      <c r="H818" s="2"/>
      <c r="I818" s="2"/>
    </row>
    <row r="819" spans="1:9" ht="12.75">
      <c r="A819" s="171"/>
      <c r="B819" s="1"/>
      <c r="C819" s="1"/>
      <c r="D819" s="61"/>
      <c r="E819" s="61"/>
      <c r="F819" s="2"/>
      <c r="G819" s="2"/>
      <c r="H819" s="2"/>
      <c r="I819" s="2"/>
    </row>
    <row r="820" spans="1:9" ht="12.75">
      <c r="A820" s="171"/>
      <c r="B820" s="1"/>
      <c r="C820" s="1"/>
      <c r="D820" s="61"/>
      <c r="E820" s="61"/>
      <c r="F820" s="2"/>
      <c r="G820" s="2"/>
      <c r="H820" s="2"/>
      <c r="I820" s="2"/>
    </row>
    <row r="821" spans="1:9" ht="12.75">
      <c r="A821" s="171"/>
      <c r="B821" s="1"/>
      <c r="C821" s="1"/>
      <c r="D821" s="61"/>
      <c r="E821" s="61"/>
      <c r="F821" s="2"/>
      <c r="G821" s="2"/>
      <c r="H821" s="2"/>
      <c r="I821" s="2"/>
    </row>
    <row r="822" spans="1:9" ht="12.75">
      <c r="A822" s="171"/>
      <c r="B822" s="1"/>
      <c r="C822" s="1"/>
      <c r="D822" s="61"/>
      <c r="E822" s="61"/>
      <c r="F822" s="2"/>
      <c r="G822" s="2"/>
      <c r="H822" s="2"/>
      <c r="I822" s="2"/>
    </row>
    <row r="823" spans="1:9" ht="12.75">
      <c r="A823" s="171"/>
      <c r="B823" s="1"/>
      <c r="C823" s="1"/>
      <c r="D823" s="61"/>
      <c r="E823" s="61"/>
      <c r="F823" s="2"/>
      <c r="G823" s="2"/>
      <c r="H823" s="2"/>
      <c r="I823" s="2"/>
    </row>
    <row r="824" spans="1:9" ht="12.75">
      <c r="A824" s="171"/>
      <c r="B824" s="1"/>
      <c r="C824" s="1"/>
      <c r="D824" s="61"/>
      <c r="E824" s="61"/>
      <c r="F824" s="2"/>
      <c r="G824" s="2"/>
      <c r="H824" s="2"/>
      <c r="I824" s="2"/>
    </row>
    <row r="825" spans="1:9" ht="12.75">
      <c r="A825" s="171"/>
      <c r="B825" s="1"/>
      <c r="C825" s="1"/>
      <c r="D825" s="61"/>
      <c r="E825" s="61"/>
      <c r="F825" s="2"/>
      <c r="G825" s="2"/>
      <c r="H825" s="2"/>
      <c r="I825" s="2"/>
    </row>
    <row r="826" spans="1:9" ht="12.75">
      <c r="A826" s="171"/>
      <c r="B826" s="1"/>
      <c r="C826" s="1"/>
      <c r="D826" s="61"/>
      <c r="E826" s="61"/>
      <c r="F826" s="2"/>
      <c r="G826" s="2"/>
      <c r="H826" s="2"/>
      <c r="I826" s="2"/>
    </row>
    <row r="827" spans="1:9" ht="12.75">
      <c r="A827" s="171"/>
      <c r="B827" s="1"/>
      <c r="C827" s="1"/>
      <c r="D827" s="61"/>
      <c r="E827" s="61"/>
      <c r="F827" s="2"/>
      <c r="G827" s="2"/>
      <c r="H827" s="2"/>
      <c r="I827" s="2"/>
    </row>
    <row r="828" spans="1:9" ht="12.75">
      <c r="A828" s="171"/>
      <c r="B828" s="1"/>
      <c r="C828" s="1"/>
      <c r="D828" s="61"/>
      <c r="E828" s="61"/>
      <c r="F828" s="2"/>
      <c r="G828" s="2"/>
      <c r="H828" s="2"/>
      <c r="I828" s="2"/>
    </row>
    <row r="829" spans="1:9" ht="12.75">
      <c r="A829" s="171"/>
      <c r="B829" s="1"/>
      <c r="C829" s="1"/>
      <c r="D829" s="61"/>
      <c r="E829" s="61"/>
      <c r="F829" s="2"/>
      <c r="G829" s="2"/>
      <c r="H829" s="2"/>
      <c r="I829" s="2"/>
    </row>
    <row r="830" spans="1:9" ht="12.75">
      <c r="A830" s="171"/>
      <c r="B830" s="1"/>
      <c r="C830" s="1"/>
      <c r="D830" s="61"/>
      <c r="E830" s="61"/>
      <c r="F830" s="2"/>
      <c r="G830" s="2"/>
      <c r="H830" s="2"/>
      <c r="I830" s="2"/>
    </row>
    <row r="831" spans="1:9" ht="12.75">
      <c r="A831" s="171"/>
      <c r="B831" s="1"/>
      <c r="C831" s="1"/>
      <c r="D831" s="61"/>
      <c r="E831" s="61"/>
      <c r="F831" s="2"/>
      <c r="G831" s="2"/>
      <c r="H831" s="2"/>
      <c r="I831" s="2"/>
    </row>
    <row r="832" spans="1:9" ht="12.75">
      <c r="A832" s="171"/>
      <c r="B832" s="1"/>
      <c r="C832" s="1"/>
      <c r="D832" s="61"/>
      <c r="E832" s="61"/>
      <c r="F832" s="2"/>
      <c r="G832" s="2"/>
      <c r="H832" s="2"/>
      <c r="I832" s="2"/>
    </row>
    <row r="833" spans="1:9" ht="12.75">
      <c r="A833" s="171"/>
      <c r="D833" s="61"/>
      <c r="E833" s="61"/>
      <c r="F833" s="2"/>
      <c r="G833" s="2"/>
      <c r="H833" s="2"/>
      <c r="I833" s="2"/>
    </row>
    <row r="834" spans="1:9" ht="12.75">
      <c r="A834" s="171"/>
      <c r="D834" s="61"/>
      <c r="E834" s="61"/>
      <c r="F834" s="2"/>
      <c r="G834" s="2"/>
      <c r="H834" s="2"/>
      <c r="I834" s="2"/>
    </row>
    <row r="835" spans="1:9" ht="12.75">
      <c r="A835" s="171"/>
      <c r="D835" s="61"/>
      <c r="E835" s="61"/>
      <c r="F835" s="2"/>
      <c r="G835" s="2"/>
      <c r="H835" s="2"/>
      <c r="I835" s="2"/>
    </row>
    <row r="836" spans="1:9" ht="12.75">
      <c r="A836" s="171"/>
      <c r="D836" s="61"/>
      <c r="E836" s="61"/>
      <c r="F836" s="2"/>
      <c r="G836" s="2"/>
      <c r="H836" s="2"/>
      <c r="I836" s="2"/>
    </row>
    <row r="837" spans="1:9" ht="12.75">
      <c r="A837" s="171"/>
      <c r="D837" s="61"/>
      <c r="E837" s="61"/>
      <c r="F837" s="2"/>
      <c r="G837" s="2"/>
      <c r="H837" s="2"/>
      <c r="I837" s="2"/>
    </row>
    <row r="838" spans="1:9" ht="12.75">
      <c r="A838" s="171"/>
      <c r="D838" s="61"/>
      <c r="E838" s="61"/>
      <c r="F838" s="2"/>
      <c r="G838" s="2"/>
      <c r="H838" s="2"/>
      <c r="I838" s="2"/>
    </row>
    <row r="839" spans="1:9" ht="12.75">
      <c r="A839" s="171"/>
      <c r="D839" s="61"/>
      <c r="E839" s="61"/>
      <c r="F839" s="2"/>
      <c r="G839" s="2"/>
      <c r="H839" s="2"/>
      <c r="I839" s="2"/>
    </row>
    <row r="840" spans="1:9" ht="12.75">
      <c r="A840" s="171"/>
      <c r="D840" s="61"/>
      <c r="E840" s="61"/>
      <c r="F840" s="2"/>
      <c r="G840" s="2"/>
      <c r="H840" s="2"/>
      <c r="I840" s="2"/>
    </row>
    <row r="841" spans="1:9" ht="12.75">
      <c r="A841" s="171"/>
      <c r="D841" s="61"/>
      <c r="E841" s="61"/>
      <c r="F841" s="2"/>
      <c r="G841" s="2"/>
      <c r="H841" s="2"/>
      <c r="I841" s="2"/>
    </row>
    <row r="842" spans="1:9" ht="12.75">
      <c r="A842" s="171"/>
      <c r="D842" s="61"/>
      <c r="E842" s="61"/>
      <c r="F842" s="2"/>
      <c r="G842" s="2"/>
      <c r="H842" s="2"/>
      <c r="I842" s="2"/>
    </row>
    <row r="843" spans="1:9" ht="12.75">
      <c r="A843" s="171"/>
      <c r="B843" s="171"/>
      <c r="C843" s="171"/>
      <c r="D843" s="61"/>
      <c r="E843" s="61"/>
      <c r="F843" s="2"/>
      <c r="G843" s="2"/>
      <c r="H843" s="2"/>
      <c r="I843" s="2"/>
    </row>
    <row r="844" spans="1:9" ht="12.75">
      <c r="A844" s="171"/>
      <c r="B844" s="171"/>
      <c r="C844" s="171"/>
      <c r="D844" s="61"/>
      <c r="E844" s="61"/>
      <c r="F844" s="2"/>
      <c r="G844" s="2"/>
      <c r="H844" s="2"/>
      <c r="I844" s="2"/>
    </row>
    <row r="845" spans="1:9" ht="12.75">
      <c r="A845" s="171"/>
      <c r="B845" s="171"/>
      <c r="C845" s="171"/>
      <c r="D845" s="61"/>
      <c r="E845" s="61"/>
      <c r="F845" s="2"/>
      <c r="G845" s="2"/>
      <c r="H845" s="2"/>
      <c r="I845" s="2"/>
    </row>
    <row r="846" spans="1:9" ht="12.75">
      <c r="A846" s="171"/>
      <c r="B846" s="171"/>
      <c r="C846" s="171"/>
      <c r="D846" s="61"/>
      <c r="E846" s="61"/>
      <c r="F846" s="2"/>
      <c r="G846" s="2"/>
      <c r="H846" s="2"/>
      <c r="I846" s="2"/>
    </row>
    <row r="847" spans="1:9" ht="12.75">
      <c r="A847" s="171"/>
      <c r="B847" s="171"/>
      <c r="C847" s="171"/>
      <c r="D847" s="61"/>
      <c r="E847" s="61"/>
      <c r="F847" s="2"/>
      <c r="G847" s="2"/>
      <c r="H847" s="2"/>
      <c r="I847" s="2"/>
    </row>
    <row r="848" spans="1:9" ht="12.75">
      <c r="A848" s="171"/>
      <c r="B848" s="171"/>
      <c r="C848" s="171"/>
      <c r="D848" s="61"/>
      <c r="E848" s="61"/>
      <c r="F848" s="2"/>
      <c r="G848" s="2"/>
      <c r="H848" s="2"/>
      <c r="I848" s="2"/>
    </row>
    <row r="849" spans="1:9" ht="12.75">
      <c r="A849" s="171"/>
      <c r="B849" s="171"/>
      <c r="C849" s="171"/>
      <c r="D849" s="61"/>
      <c r="E849" s="61"/>
      <c r="F849" s="2"/>
      <c r="G849" s="2"/>
      <c r="H849" s="2"/>
      <c r="I849" s="2"/>
    </row>
    <row r="850" spans="1:9" ht="12.75">
      <c r="A850" s="171"/>
      <c r="B850" s="171"/>
      <c r="C850" s="171"/>
      <c r="D850" s="61"/>
      <c r="E850" s="61"/>
      <c r="F850" s="2"/>
      <c r="G850" s="2"/>
      <c r="H850" s="2"/>
      <c r="I850" s="2"/>
    </row>
    <row r="851" spans="1:9" ht="12.75">
      <c r="A851" s="171"/>
      <c r="B851" s="171"/>
      <c r="C851" s="171"/>
      <c r="D851" s="61"/>
      <c r="E851" s="61"/>
      <c r="F851" s="2"/>
      <c r="G851" s="2"/>
      <c r="H851" s="2"/>
      <c r="I851" s="2"/>
    </row>
    <row r="852" spans="1:9" ht="12.75">
      <c r="A852" s="171"/>
      <c r="B852" s="171"/>
      <c r="C852" s="171"/>
      <c r="D852" s="61"/>
      <c r="E852" s="61"/>
      <c r="F852" s="2"/>
      <c r="G852" s="2"/>
      <c r="H852" s="2"/>
      <c r="I852" s="2"/>
    </row>
    <row r="853" spans="1:9" ht="12.75">
      <c r="A853" s="171"/>
      <c r="B853" s="171"/>
      <c r="C853" s="171"/>
      <c r="D853" s="61"/>
      <c r="E853" s="61"/>
      <c r="F853" s="2"/>
      <c r="G853" s="2"/>
      <c r="H853" s="2"/>
      <c r="I853" s="2"/>
    </row>
    <row r="854" spans="1:9" ht="12.75">
      <c r="A854" s="171"/>
      <c r="B854" s="171"/>
      <c r="C854" s="171"/>
      <c r="D854" s="61"/>
      <c r="E854" s="61"/>
      <c r="F854" s="2"/>
      <c r="G854" s="2"/>
      <c r="H854" s="2"/>
      <c r="I854" s="2"/>
    </row>
    <row r="855" spans="1:9" ht="12.75">
      <c r="A855" s="171"/>
      <c r="B855" s="171"/>
      <c r="C855" s="171"/>
      <c r="D855" s="61"/>
      <c r="E855" s="61"/>
      <c r="F855" s="2"/>
      <c r="G855" s="2"/>
      <c r="H855" s="2"/>
      <c r="I855" s="2"/>
    </row>
    <row r="856" spans="1:9" ht="12.75">
      <c r="A856" s="171"/>
      <c r="B856" s="171"/>
      <c r="C856" s="171"/>
      <c r="D856" s="61"/>
      <c r="E856" s="61"/>
      <c r="F856" s="2"/>
      <c r="G856" s="2"/>
      <c r="H856" s="2"/>
      <c r="I856" s="2"/>
    </row>
    <row r="857" spans="1:9" ht="12.75">
      <c r="A857" s="171"/>
      <c r="B857" s="171"/>
      <c r="C857" s="171"/>
      <c r="D857" s="61"/>
      <c r="E857" s="61"/>
      <c r="F857" s="2"/>
      <c r="G857" s="2"/>
      <c r="H857" s="2"/>
      <c r="I857" s="2"/>
    </row>
    <row r="858" spans="1:9" ht="12.75">
      <c r="A858" s="171"/>
      <c r="B858" s="171"/>
      <c r="C858" s="171"/>
      <c r="D858" s="61"/>
      <c r="E858" s="61"/>
      <c r="F858" s="2"/>
      <c r="G858" s="2"/>
      <c r="H858" s="2"/>
      <c r="I858" s="2"/>
    </row>
    <row r="859" spans="1:9" ht="12.75">
      <c r="A859" s="171"/>
      <c r="B859" s="171"/>
      <c r="C859" s="171"/>
      <c r="D859" s="61"/>
      <c r="E859" s="61"/>
      <c r="F859" s="2"/>
      <c r="G859" s="2"/>
      <c r="H859" s="2"/>
      <c r="I859" s="2"/>
    </row>
    <row r="860" spans="1:9" ht="12.75">
      <c r="A860" s="171"/>
      <c r="B860" s="171"/>
      <c r="C860" s="171"/>
      <c r="D860" s="61"/>
      <c r="E860" s="61"/>
      <c r="F860" s="2"/>
      <c r="G860" s="2"/>
      <c r="H860" s="2"/>
      <c r="I860" s="2"/>
    </row>
    <row r="861" spans="1:9" ht="12.75">
      <c r="A861" s="171"/>
      <c r="B861" s="171"/>
      <c r="C861" s="171"/>
      <c r="D861" s="61"/>
      <c r="E861" s="61"/>
      <c r="F861" s="2"/>
      <c r="G861" s="2"/>
      <c r="H861" s="2"/>
      <c r="I861" s="2"/>
    </row>
    <row r="862" spans="1:9" ht="12.75">
      <c r="A862" s="171"/>
      <c r="B862" s="171"/>
      <c r="C862" s="171"/>
      <c r="D862" s="61"/>
      <c r="E862" s="61"/>
      <c r="F862" s="2"/>
      <c r="G862" s="2"/>
      <c r="H862" s="2"/>
      <c r="I862" s="2"/>
    </row>
    <row r="863" spans="1:9" ht="12.75">
      <c r="A863" s="171"/>
      <c r="B863" s="171"/>
      <c r="C863" s="171"/>
      <c r="D863" s="61"/>
      <c r="E863" s="61"/>
      <c r="F863" s="2"/>
      <c r="G863" s="2"/>
      <c r="H863" s="2"/>
      <c r="I863" s="2"/>
    </row>
    <row r="864" spans="1:9" ht="12.75">
      <c r="A864" s="171"/>
      <c r="B864" s="171"/>
      <c r="C864" s="171"/>
      <c r="D864" s="61"/>
      <c r="E864" s="61"/>
      <c r="F864" s="2"/>
      <c r="G864" s="2"/>
      <c r="H864" s="2"/>
      <c r="I864" s="2"/>
    </row>
    <row r="865" spans="1:9" ht="12.75">
      <c r="A865" s="171"/>
      <c r="B865" s="171"/>
      <c r="C865" s="171"/>
      <c r="D865" s="61"/>
      <c r="E865" s="61"/>
      <c r="F865" s="2"/>
      <c r="G865" s="2"/>
      <c r="H865" s="2"/>
      <c r="I865" s="2"/>
    </row>
    <row r="866" spans="1:9" ht="12.75">
      <c r="A866" s="171"/>
      <c r="B866" s="171"/>
      <c r="C866" s="171"/>
      <c r="D866" s="61"/>
      <c r="E866" s="61"/>
      <c r="F866" s="2"/>
      <c r="G866" s="2"/>
      <c r="H866" s="2"/>
      <c r="I866" s="2"/>
    </row>
    <row r="867" spans="1:9" ht="12.75">
      <c r="A867" s="171"/>
      <c r="B867" s="171"/>
      <c r="C867" s="171"/>
      <c r="D867" s="61"/>
      <c r="E867" s="61"/>
      <c r="F867" s="2"/>
      <c r="G867" s="2"/>
      <c r="H867" s="2"/>
      <c r="I867" s="2"/>
    </row>
    <row r="868" spans="1:9" ht="12.75">
      <c r="A868" s="171"/>
      <c r="B868" s="171"/>
      <c r="C868" s="171"/>
      <c r="D868" s="61"/>
      <c r="E868" s="61"/>
      <c r="F868" s="2"/>
      <c r="G868" s="2"/>
      <c r="H868" s="2"/>
      <c r="I868" s="2"/>
    </row>
    <row r="869" spans="1:9" ht="12.75">
      <c r="A869" s="171"/>
      <c r="B869" s="171"/>
      <c r="C869" s="171"/>
      <c r="D869" s="61"/>
      <c r="E869" s="61"/>
      <c r="F869" s="2"/>
      <c r="G869" s="2"/>
      <c r="H869" s="2"/>
      <c r="I869" s="2"/>
    </row>
    <row r="870" spans="1:9" ht="12.75">
      <c r="A870" s="171"/>
      <c r="B870" s="171"/>
      <c r="C870" s="171"/>
      <c r="D870" s="61"/>
      <c r="E870" s="61"/>
      <c r="F870" s="2"/>
      <c r="G870" s="2"/>
      <c r="H870" s="2"/>
      <c r="I870" s="2"/>
    </row>
    <row r="871" spans="1:9" ht="12.75">
      <c r="A871" s="171"/>
      <c r="B871" s="171"/>
      <c r="C871" s="171"/>
      <c r="D871" s="61"/>
      <c r="E871" s="61"/>
      <c r="F871" s="2"/>
      <c r="G871" s="2"/>
      <c r="H871" s="2"/>
      <c r="I871" s="2"/>
    </row>
    <row r="872" spans="1:9" ht="12.75">
      <c r="A872" s="171"/>
      <c r="B872" s="171"/>
      <c r="C872" s="171"/>
      <c r="D872" s="61"/>
      <c r="E872" s="61"/>
      <c r="F872" s="2"/>
      <c r="G872" s="2"/>
      <c r="H872" s="2"/>
      <c r="I872" s="2"/>
    </row>
    <row r="873" spans="1:9" ht="12.75">
      <c r="A873" s="171"/>
      <c r="B873" s="171"/>
      <c r="C873" s="171"/>
      <c r="D873" s="61"/>
      <c r="E873" s="61"/>
      <c r="F873" s="2"/>
      <c r="G873" s="2"/>
      <c r="H873" s="2"/>
      <c r="I873" s="2"/>
    </row>
    <row r="874" spans="1:9" ht="12.75">
      <c r="A874" s="171"/>
      <c r="B874" s="171"/>
      <c r="C874" s="171"/>
      <c r="D874" s="61"/>
      <c r="E874" s="61"/>
      <c r="F874" s="2"/>
      <c r="G874" s="2"/>
      <c r="H874" s="2"/>
      <c r="I874" s="2"/>
    </row>
    <row r="875" spans="1:9" ht="12.75">
      <c r="A875" s="171"/>
      <c r="B875" s="171"/>
      <c r="C875" s="171"/>
      <c r="D875" s="61"/>
      <c r="E875" s="61"/>
      <c r="F875" s="2"/>
      <c r="G875" s="2"/>
      <c r="H875" s="2"/>
      <c r="I875" s="2"/>
    </row>
    <row r="876" spans="1:9" ht="12.75">
      <c r="A876" s="171"/>
      <c r="B876" s="171"/>
      <c r="C876" s="171"/>
      <c r="D876" s="61"/>
      <c r="E876" s="61"/>
      <c r="F876" s="2"/>
      <c r="G876" s="2"/>
      <c r="H876" s="2"/>
      <c r="I876" s="2"/>
    </row>
    <row r="877" spans="1:9" ht="12.75">
      <c r="A877" s="171"/>
      <c r="B877" s="171"/>
      <c r="C877" s="171"/>
      <c r="D877" s="61"/>
      <c r="E877" s="61"/>
      <c r="F877" s="2"/>
      <c r="G877" s="2"/>
      <c r="H877" s="2"/>
      <c r="I877" s="2"/>
    </row>
    <row r="878" spans="1:9" ht="12.75">
      <c r="A878" s="171"/>
      <c r="B878" s="171"/>
      <c r="C878" s="171"/>
      <c r="D878" s="61"/>
      <c r="E878" s="61"/>
      <c r="F878" s="2"/>
      <c r="G878" s="2"/>
      <c r="H878" s="2"/>
      <c r="I878" s="2"/>
    </row>
    <row r="879" spans="1:9" ht="12.75">
      <c r="A879" s="171"/>
      <c r="B879" s="171"/>
      <c r="C879" s="171"/>
      <c r="D879" s="61"/>
      <c r="E879" s="61"/>
      <c r="F879" s="2"/>
      <c r="G879" s="2"/>
      <c r="H879" s="2"/>
      <c r="I879" s="2"/>
    </row>
    <row r="880" spans="1:9" ht="12.75">
      <c r="A880" s="171"/>
      <c r="B880" s="171"/>
      <c r="C880" s="171"/>
      <c r="D880" s="61"/>
      <c r="E880" s="61"/>
      <c r="F880" s="2"/>
      <c r="G880" s="2"/>
      <c r="H880" s="2"/>
      <c r="I880" s="2"/>
    </row>
    <row r="881" spans="1:9" ht="12.75">
      <c r="A881" s="171"/>
      <c r="B881" s="171"/>
      <c r="C881" s="171"/>
      <c r="D881" s="61"/>
      <c r="E881" s="61"/>
      <c r="F881" s="2"/>
      <c r="G881" s="2"/>
      <c r="H881" s="2"/>
      <c r="I881" s="2"/>
    </row>
    <row r="882" spans="1:9" ht="12.75">
      <c r="A882" s="171"/>
      <c r="B882" s="171"/>
      <c r="C882" s="171"/>
      <c r="D882" s="61"/>
      <c r="E882" s="61"/>
      <c r="F882" s="2"/>
      <c r="G882" s="2"/>
      <c r="H882" s="2"/>
      <c r="I882" s="2"/>
    </row>
    <row r="883" spans="1:9" ht="12.75">
      <c r="A883" s="171"/>
      <c r="B883" s="171"/>
      <c r="C883" s="171"/>
      <c r="D883" s="61"/>
      <c r="E883" s="61"/>
      <c r="F883" s="2"/>
      <c r="G883" s="2"/>
      <c r="H883" s="2"/>
      <c r="I883" s="2"/>
    </row>
    <row r="884" spans="1:9" ht="12.75">
      <c r="A884" s="171"/>
      <c r="B884" s="171"/>
      <c r="C884" s="171"/>
      <c r="D884" s="61"/>
      <c r="E884" s="61"/>
      <c r="F884" s="2"/>
      <c r="G884" s="2"/>
      <c r="H884" s="2"/>
      <c r="I884" s="2"/>
    </row>
    <row r="885" spans="1:9" ht="12.75">
      <c r="A885" s="171"/>
      <c r="B885" s="171"/>
      <c r="C885" s="171"/>
      <c r="D885" s="61"/>
      <c r="E885" s="61"/>
      <c r="F885" s="2"/>
      <c r="G885" s="2"/>
      <c r="H885" s="2"/>
      <c r="I885" s="2"/>
    </row>
    <row r="886" spans="1:9" ht="12.75">
      <c r="A886" s="171"/>
      <c r="B886" s="171"/>
      <c r="C886" s="171"/>
      <c r="D886" s="61"/>
      <c r="E886" s="61"/>
      <c r="F886" s="2"/>
      <c r="G886" s="2"/>
      <c r="H886" s="2"/>
      <c r="I886" s="2"/>
    </row>
    <row r="887" spans="1:9" ht="12.75">
      <c r="A887" s="171"/>
      <c r="B887" s="171"/>
      <c r="C887" s="171"/>
      <c r="D887" s="61"/>
      <c r="E887" s="61"/>
      <c r="F887" s="2"/>
      <c r="G887" s="2"/>
      <c r="H887" s="2"/>
      <c r="I887" s="2"/>
    </row>
    <row r="888" spans="1:9" ht="12.75">
      <c r="A888" s="171"/>
      <c r="B888" s="171"/>
      <c r="C888" s="171"/>
      <c r="D888" s="61"/>
      <c r="E888" s="61"/>
      <c r="F888" s="2"/>
      <c r="G888" s="2"/>
      <c r="H888" s="2"/>
      <c r="I888" s="2"/>
    </row>
    <row r="889" spans="1:9" ht="12.75">
      <c r="A889" s="171"/>
      <c r="B889" s="171"/>
      <c r="C889" s="171"/>
      <c r="D889" s="61"/>
      <c r="E889" s="61"/>
      <c r="F889" s="2"/>
      <c r="G889" s="2"/>
      <c r="H889" s="2"/>
      <c r="I889" s="2"/>
    </row>
    <row r="890" spans="1:9" ht="12.75">
      <c r="A890" s="171"/>
      <c r="B890" s="171"/>
      <c r="C890" s="171"/>
      <c r="D890" s="61"/>
      <c r="E890" s="61"/>
      <c r="F890" s="2"/>
      <c r="G890" s="2"/>
      <c r="H890" s="2"/>
      <c r="I890" s="2"/>
    </row>
    <row r="891" spans="1:9" ht="12.75">
      <c r="A891" s="171"/>
      <c r="B891" s="171"/>
      <c r="C891" s="171"/>
      <c r="D891" s="61"/>
      <c r="E891" s="61"/>
      <c r="F891" s="2"/>
      <c r="G891" s="2"/>
      <c r="H891" s="2"/>
      <c r="I891" s="2"/>
    </row>
    <row r="892" spans="1:9" ht="12.75">
      <c r="A892" s="171"/>
      <c r="B892" s="171"/>
      <c r="C892" s="171"/>
      <c r="D892" s="61"/>
      <c r="E892" s="61"/>
      <c r="F892" s="2"/>
      <c r="G892" s="2"/>
      <c r="H892" s="2"/>
      <c r="I892" s="2"/>
    </row>
    <row r="893" spans="1:9" ht="12.75">
      <c r="A893" s="171"/>
      <c r="B893" s="171"/>
      <c r="C893" s="171"/>
      <c r="D893" s="61"/>
      <c r="E893" s="61"/>
      <c r="F893" s="2"/>
      <c r="G893" s="2"/>
      <c r="H893" s="2"/>
      <c r="I893" s="2"/>
    </row>
    <row r="894" spans="1:9" ht="12.75">
      <c r="A894" s="171"/>
      <c r="B894" s="171"/>
      <c r="C894" s="171"/>
      <c r="D894" s="61"/>
      <c r="E894" s="61"/>
      <c r="F894" s="2"/>
      <c r="G894" s="2"/>
      <c r="H894" s="2"/>
      <c r="I894" s="2"/>
    </row>
    <row r="895" spans="1:9" ht="12.75">
      <c r="A895" s="171"/>
      <c r="B895" s="171"/>
      <c r="C895" s="171"/>
      <c r="D895" s="61"/>
      <c r="E895" s="61"/>
      <c r="F895" s="2"/>
      <c r="G895" s="2"/>
      <c r="H895" s="2"/>
      <c r="I895" s="2"/>
    </row>
    <row r="896" spans="1:9" ht="12.75">
      <c r="A896" s="171"/>
      <c r="B896" s="171"/>
      <c r="C896" s="171"/>
      <c r="D896" s="61"/>
      <c r="E896" s="61"/>
      <c r="F896" s="2"/>
      <c r="G896" s="2"/>
      <c r="H896" s="2"/>
      <c r="I896" s="2"/>
    </row>
    <row r="897" spans="1:9" ht="12.75">
      <c r="A897" s="171"/>
      <c r="B897" s="171"/>
      <c r="C897" s="171"/>
      <c r="D897" s="61"/>
      <c r="E897" s="61"/>
      <c r="F897" s="2"/>
      <c r="G897" s="2"/>
      <c r="H897" s="2"/>
      <c r="I897" s="2"/>
    </row>
    <row r="898" spans="1:9" ht="12.75">
      <c r="A898" s="171"/>
      <c r="B898" s="171"/>
      <c r="C898" s="171"/>
      <c r="D898" s="61"/>
      <c r="E898" s="61"/>
      <c r="F898" s="2"/>
      <c r="G898" s="2"/>
      <c r="H898" s="2"/>
      <c r="I898" s="2"/>
    </row>
    <row r="899" spans="1:9" ht="12.75">
      <c r="A899" s="171"/>
      <c r="B899" s="171"/>
      <c r="C899" s="171"/>
      <c r="D899" s="61"/>
      <c r="E899" s="61"/>
      <c r="F899" s="2"/>
      <c r="G899" s="2"/>
      <c r="H899" s="2"/>
      <c r="I899" s="2"/>
    </row>
    <row r="900" spans="1:9" ht="12.75">
      <c r="A900" s="171"/>
      <c r="B900" s="171"/>
      <c r="C900" s="171"/>
      <c r="D900" s="61"/>
      <c r="E900" s="61"/>
      <c r="F900" s="2"/>
      <c r="G900" s="2"/>
      <c r="H900" s="2"/>
      <c r="I900" s="2"/>
    </row>
    <row r="901" spans="1:9" ht="12.75">
      <c r="A901" s="171"/>
      <c r="B901" s="171"/>
      <c r="C901" s="171"/>
      <c r="D901" s="61"/>
      <c r="E901" s="61"/>
      <c r="F901" s="2"/>
      <c r="G901" s="2"/>
      <c r="H901" s="2"/>
      <c r="I901" s="2"/>
    </row>
    <row r="902" spans="1:9" ht="12.75">
      <c r="A902" s="171"/>
      <c r="B902" s="171"/>
      <c r="C902" s="171"/>
      <c r="D902" s="61"/>
      <c r="E902" s="61"/>
      <c r="F902" s="2"/>
      <c r="G902" s="2"/>
      <c r="H902" s="2"/>
      <c r="I902" s="2"/>
    </row>
    <row r="903" spans="1:9" ht="12.75">
      <c r="A903" s="171"/>
      <c r="B903" s="171"/>
      <c r="C903" s="171"/>
      <c r="D903" s="61"/>
      <c r="E903" s="61"/>
      <c r="F903" s="2"/>
      <c r="G903" s="2"/>
      <c r="H903" s="2"/>
      <c r="I903" s="2"/>
    </row>
    <row r="904" spans="1:9" ht="12.75">
      <c r="A904" s="171"/>
      <c r="B904" s="171"/>
      <c r="C904" s="171"/>
      <c r="D904" s="61"/>
      <c r="E904" s="61"/>
      <c r="F904" s="2"/>
      <c r="G904" s="2"/>
      <c r="H904" s="2"/>
      <c r="I904" s="2"/>
    </row>
    <row r="905" spans="1:9" ht="12.75">
      <c r="A905" s="171"/>
      <c r="B905" s="171"/>
      <c r="C905" s="171"/>
      <c r="D905" s="61"/>
      <c r="E905" s="61"/>
      <c r="F905" s="2"/>
      <c r="G905" s="2"/>
      <c r="H905" s="2"/>
      <c r="I905" s="2"/>
    </row>
    <row r="906" spans="1:9" ht="12.75">
      <c r="A906" s="171"/>
      <c r="B906" s="171"/>
      <c r="C906" s="171"/>
      <c r="D906" s="61"/>
      <c r="E906" s="61"/>
      <c r="F906" s="2"/>
      <c r="G906" s="2"/>
      <c r="H906" s="2"/>
      <c r="I906" s="2"/>
    </row>
    <row r="907" spans="1:9" ht="12.75">
      <c r="A907" s="171"/>
      <c r="B907" s="171"/>
      <c r="C907" s="171"/>
      <c r="D907" s="61"/>
      <c r="E907" s="61"/>
      <c r="F907" s="2"/>
      <c r="G907" s="2"/>
      <c r="H907" s="2"/>
      <c r="I907" s="2"/>
    </row>
    <row r="908" spans="1:9" ht="12.75">
      <c r="A908" s="171"/>
      <c r="B908" s="171"/>
      <c r="C908" s="171"/>
      <c r="D908" s="61"/>
      <c r="E908" s="61"/>
      <c r="F908" s="2"/>
      <c r="G908" s="2"/>
      <c r="H908" s="2"/>
      <c r="I908" s="2"/>
    </row>
    <row r="909" spans="1:9" ht="12.75">
      <c r="A909" s="171"/>
      <c r="B909" s="171"/>
      <c r="C909" s="171"/>
      <c r="D909" s="61"/>
      <c r="E909" s="61"/>
      <c r="F909" s="2"/>
      <c r="G909" s="2"/>
      <c r="H909" s="2"/>
      <c r="I909" s="2"/>
    </row>
    <row r="910" spans="1:9" ht="12.75">
      <c r="A910" s="171"/>
      <c r="B910" s="171"/>
      <c r="C910" s="171"/>
      <c r="D910" s="61"/>
      <c r="E910" s="61"/>
      <c r="F910" s="2"/>
      <c r="G910" s="2"/>
      <c r="H910" s="2"/>
      <c r="I910" s="2"/>
    </row>
    <row r="911" spans="1:9" ht="12.75">
      <c r="A911" s="171"/>
      <c r="B911" s="171"/>
      <c r="C911" s="171"/>
      <c r="D911" s="61"/>
      <c r="E911" s="61"/>
      <c r="F911" s="2"/>
      <c r="G911" s="2"/>
      <c r="H911" s="2"/>
      <c r="I911" s="2"/>
    </row>
    <row r="912" spans="1:9" ht="12.75">
      <c r="A912" s="171"/>
      <c r="B912" s="171"/>
      <c r="C912" s="171"/>
      <c r="D912" s="61"/>
      <c r="E912" s="61"/>
      <c r="F912" s="2"/>
      <c r="G912" s="2"/>
      <c r="H912" s="2"/>
      <c r="I912" s="2"/>
    </row>
    <row r="913" spans="1:9" ht="12.75">
      <c r="A913" s="171"/>
      <c r="B913" s="171"/>
      <c r="C913" s="171"/>
      <c r="D913" s="61"/>
      <c r="E913" s="61"/>
      <c r="F913" s="2"/>
      <c r="G913" s="2"/>
      <c r="H913" s="2"/>
      <c r="I913" s="2"/>
    </row>
    <row r="914" spans="1:9" ht="12.75">
      <c r="A914" s="171"/>
      <c r="B914" s="171"/>
      <c r="C914" s="171"/>
      <c r="D914" s="61"/>
      <c r="E914" s="61"/>
      <c r="F914" s="2"/>
      <c r="G914" s="2"/>
      <c r="H914" s="2"/>
      <c r="I914" s="2"/>
    </row>
    <row r="915" spans="1:9" ht="12.75">
      <c r="A915" s="171"/>
      <c r="B915" s="171"/>
      <c r="C915" s="171"/>
      <c r="D915" s="61"/>
      <c r="E915" s="61"/>
      <c r="F915" s="2"/>
      <c r="G915" s="2"/>
      <c r="H915" s="2"/>
      <c r="I915" s="2"/>
    </row>
    <row r="916" spans="1:9" ht="12.75">
      <c r="A916" s="171"/>
      <c r="B916" s="171"/>
      <c r="C916" s="171"/>
      <c r="D916" s="61"/>
      <c r="E916" s="61"/>
      <c r="F916" s="2"/>
      <c r="G916" s="2"/>
      <c r="H916" s="2"/>
      <c r="I916" s="2"/>
    </row>
    <row r="917" spans="1:9" ht="12.75">
      <c r="A917" s="171"/>
      <c r="B917" s="171"/>
      <c r="C917" s="171"/>
      <c r="D917" s="61"/>
      <c r="E917" s="61"/>
      <c r="F917" s="2"/>
      <c r="G917" s="2"/>
      <c r="H917" s="2"/>
      <c r="I917" s="2"/>
    </row>
    <row r="918" spans="1:9" ht="12.75">
      <c r="A918" s="171"/>
      <c r="B918" s="171"/>
      <c r="C918" s="171"/>
      <c r="D918" s="61"/>
      <c r="E918" s="61"/>
      <c r="F918" s="2"/>
      <c r="G918" s="2"/>
      <c r="H918" s="2"/>
      <c r="I918" s="2"/>
    </row>
    <row r="919" spans="1:9" ht="12.75">
      <c r="A919" s="171"/>
      <c r="B919" s="171"/>
      <c r="C919" s="171"/>
      <c r="D919" s="61"/>
      <c r="E919" s="61"/>
      <c r="F919" s="2"/>
      <c r="G919" s="2"/>
      <c r="H919" s="2"/>
      <c r="I919" s="2"/>
    </row>
    <row r="920" spans="1:9" ht="12.75">
      <c r="A920" s="171"/>
      <c r="B920" s="171"/>
      <c r="C920" s="171"/>
      <c r="D920" s="61"/>
      <c r="E920" s="61"/>
      <c r="F920" s="2"/>
      <c r="G920" s="2"/>
      <c r="H920" s="2"/>
      <c r="I920" s="2"/>
    </row>
    <row r="921" spans="1:9" ht="12.75">
      <c r="A921" s="171"/>
      <c r="B921" s="171"/>
      <c r="C921" s="171"/>
      <c r="D921" s="61"/>
      <c r="E921" s="61"/>
      <c r="F921" s="2"/>
      <c r="G921" s="2"/>
      <c r="H921" s="2"/>
      <c r="I921" s="2"/>
    </row>
    <row r="922" spans="1:9" ht="12.75">
      <c r="A922" s="171"/>
      <c r="B922" s="171"/>
      <c r="C922" s="171"/>
      <c r="D922" s="61"/>
      <c r="E922" s="61"/>
      <c r="F922" s="2"/>
      <c r="G922" s="2"/>
      <c r="H922" s="2"/>
      <c r="I922" s="2"/>
    </row>
    <row r="923" spans="1:9" ht="12.75">
      <c r="A923" s="171"/>
      <c r="B923" s="171"/>
      <c r="C923" s="171"/>
      <c r="D923" s="61"/>
      <c r="E923" s="61"/>
      <c r="F923" s="2"/>
      <c r="G923" s="2"/>
      <c r="H923" s="2"/>
      <c r="I923" s="2"/>
    </row>
    <row r="924" spans="1:9" ht="12.75">
      <c r="A924" s="171"/>
      <c r="B924" s="171"/>
      <c r="C924" s="171"/>
      <c r="D924" s="61"/>
      <c r="E924" s="61"/>
      <c r="F924" s="2"/>
      <c r="G924" s="2"/>
      <c r="H924" s="2"/>
      <c r="I924" s="2"/>
    </row>
    <row r="925" spans="1:9" ht="12.75">
      <c r="A925" s="171"/>
      <c r="B925" s="171"/>
      <c r="C925" s="171"/>
      <c r="D925" s="61"/>
      <c r="E925" s="61"/>
      <c r="F925" s="2"/>
      <c r="G925" s="2"/>
      <c r="H925" s="2"/>
      <c r="I925" s="2"/>
    </row>
    <row r="926" spans="1:9" ht="12.75">
      <c r="A926" s="171"/>
      <c r="B926" s="171"/>
      <c r="C926" s="171"/>
      <c r="D926" s="61"/>
      <c r="E926" s="61"/>
      <c r="F926" s="2"/>
      <c r="G926" s="2"/>
      <c r="H926" s="2"/>
      <c r="I926" s="2"/>
    </row>
    <row r="927" spans="1:9" ht="12.75">
      <c r="A927" s="171"/>
      <c r="B927" s="171"/>
      <c r="C927" s="171"/>
      <c r="D927" s="61"/>
      <c r="E927" s="61"/>
      <c r="F927" s="2"/>
      <c r="G927" s="2"/>
      <c r="H927" s="2"/>
      <c r="I927" s="2"/>
    </row>
    <row r="928" spans="1:9" ht="12.75">
      <c r="A928" s="171"/>
      <c r="B928" s="171"/>
      <c r="C928" s="171"/>
      <c r="D928" s="61"/>
      <c r="E928" s="61"/>
      <c r="F928" s="2"/>
      <c r="G928" s="2"/>
      <c r="H928" s="2"/>
      <c r="I928" s="2"/>
    </row>
    <row r="929" spans="1:9" ht="12.75">
      <c r="A929" s="171"/>
      <c r="B929" s="171"/>
      <c r="C929" s="171"/>
      <c r="D929" s="61"/>
      <c r="E929" s="61"/>
      <c r="F929" s="2"/>
      <c r="G929" s="2"/>
      <c r="H929" s="2"/>
      <c r="I929" s="2"/>
    </row>
    <row r="930" spans="1:9" ht="12.75">
      <c r="A930" s="171"/>
      <c r="B930" s="171"/>
      <c r="C930" s="171"/>
      <c r="D930" s="61"/>
      <c r="E930" s="61"/>
      <c r="F930" s="2"/>
      <c r="G930" s="2"/>
      <c r="H930" s="2"/>
      <c r="I930" s="2"/>
    </row>
    <row r="931" spans="1:9" ht="12.75">
      <c r="A931" s="171"/>
      <c r="B931" s="171"/>
      <c r="C931" s="171"/>
      <c r="D931" s="61"/>
      <c r="E931" s="61"/>
      <c r="F931" s="2"/>
      <c r="G931" s="2"/>
      <c r="H931" s="2"/>
      <c r="I931" s="2"/>
    </row>
    <row r="932" spans="1:9" ht="12.75">
      <c r="A932" s="171"/>
      <c r="B932" s="171"/>
      <c r="C932" s="171"/>
      <c r="D932" s="61"/>
      <c r="E932" s="61"/>
      <c r="F932" s="2"/>
      <c r="G932" s="2"/>
      <c r="H932" s="2"/>
      <c r="I932" s="2"/>
    </row>
    <row r="933" spans="1:9" ht="12.75">
      <c r="A933" s="171"/>
      <c r="B933" s="171"/>
      <c r="C933" s="171"/>
      <c r="D933" s="61"/>
      <c r="E933" s="61"/>
      <c r="F933" s="2"/>
      <c r="G933" s="2"/>
      <c r="H933" s="2"/>
      <c r="I933" s="2"/>
    </row>
    <row r="934" spans="1:9" ht="12.75">
      <c r="A934" s="171"/>
      <c r="B934" s="171"/>
      <c r="C934" s="171"/>
      <c r="D934" s="61"/>
      <c r="E934" s="61"/>
      <c r="F934" s="2"/>
      <c r="G934" s="2"/>
      <c r="H934" s="2"/>
      <c r="I934" s="2"/>
    </row>
    <row r="935" spans="1:9" ht="12.75">
      <c r="A935" s="171"/>
      <c r="B935" s="171"/>
      <c r="C935" s="171"/>
      <c r="D935" s="61"/>
      <c r="E935" s="61"/>
      <c r="F935" s="2"/>
      <c r="G935" s="2"/>
      <c r="H935" s="2"/>
      <c r="I935" s="2"/>
    </row>
    <row r="936" spans="1:9" ht="12.75">
      <c r="A936" s="171"/>
      <c r="B936" s="171"/>
      <c r="C936" s="171"/>
      <c r="D936" s="61"/>
      <c r="E936" s="61"/>
      <c r="F936" s="2"/>
      <c r="G936" s="2"/>
      <c r="H936" s="2"/>
      <c r="I936" s="2"/>
    </row>
    <row r="937" spans="1:9" ht="12.75">
      <c r="A937" s="171"/>
      <c r="B937" s="171"/>
      <c r="C937" s="171"/>
      <c r="D937" s="61"/>
      <c r="E937" s="61"/>
      <c r="F937" s="2"/>
      <c r="G937" s="2"/>
      <c r="H937" s="2"/>
      <c r="I937" s="2"/>
    </row>
    <row r="938" spans="1:9" ht="12.75">
      <c r="A938" s="171"/>
      <c r="B938" s="171"/>
      <c r="C938" s="171"/>
      <c r="D938" s="61"/>
      <c r="E938" s="61"/>
      <c r="F938" s="2"/>
      <c r="G938" s="2"/>
      <c r="H938" s="2"/>
      <c r="I938" s="2"/>
    </row>
    <row r="939" spans="1:9" ht="12.75">
      <c r="A939" s="171"/>
      <c r="B939" s="171"/>
      <c r="C939" s="171"/>
      <c r="D939" s="61"/>
      <c r="E939" s="61"/>
      <c r="F939" s="2"/>
      <c r="G939" s="2"/>
      <c r="H939" s="2"/>
      <c r="I939" s="2"/>
    </row>
    <row r="940" spans="1:9" ht="12.75">
      <c r="A940" s="171"/>
      <c r="B940" s="171"/>
      <c r="C940" s="171"/>
      <c r="D940" s="61"/>
      <c r="E940" s="61"/>
      <c r="F940" s="2"/>
      <c r="G940" s="2"/>
      <c r="H940" s="2"/>
      <c r="I940" s="2"/>
    </row>
    <row r="941" spans="1:9" ht="12.75">
      <c r="A941" s="171"/>
      <c r="B941" s="171"/>
      <c r="C941" s="171"/>
      <c r="D941" s="61"/>
      <c r="E941" s="61"/>
      <c r="F941" s="2"/>
      <c r="G941" s="2"/>
      <c r="H941" s="2"/>
      <c r="I941" s="2"/>
    </row>
    <row r="942" spans="1:9" ht="12.75">
      <c r="A942" s="171"/>
      <c r="B942" s="171"/>
      <c r="C942" s="171"/>
      <c r="D942" s="61"/>
      <c r="E942" s="61"/>
      <c r="F942" s="2"/>
      <c r="G942" s="2"/>
      <c r="H942" s="2"/>
      <c r="I942" s="2"/>
    </row>
    <row r="943" spans="1:9" ht="12.75">
      <c r="A943" s="171"/>
      <c r="B943" s="171"/>
      <c r="C943" s="171"/>
      <c r="D943" s="61"/>
      <c r="E943" s="61"/>
      <c r="F943" s="2"/>
      <c r="G943" s="2"/>
      <c r="H943" s="2"/>
      <c r="I943" s="2"/>
    </row>
    <row r="944" spans="1:9" ht="12.75">
      <c r="A944" s="171"/>
      <c r="B944" s="171"/>
      <c r="C944" s="171"/>
      <c r="D944" s="61"/>
      <c r="E944" s="61"/>
      <c r="F944" s="2"/>
      <c r="G944" s="2"/>
      <c r="H944" s="2"/>
      <c r="I944" s="2"/>
    </row>
    <row r="945" spans="1:9" ht="12.75">
      <c r="A945" s="171"/>
      <c r="B945" s="171"/>
      <c r="C945" s="171"/>
      <c r="D945" s="61"/>
      <c r="E945" s="61"/>
      <c r="F945" s="2"/>
      <c r="G945" s="2"/>
      <c r="H945" s="2"/>
      <c r="I945" s="2"/>
    </row>
    <row r="946" spans="1:9" ht="12.75">
      <c r="A946" s="171"/>
      <c r="B946" s="171"/>
      <c r="C946" s="171"/>
      <c r="D946" s="61"/>
      <c r="E946" s="61"/>
      <c r="F946" s="2"/>
      <c r="G946" s="2"/>
      <c r="H946" s="2"/>
      <c r="I946" s="2"/>
    </row>
    <row r="947" spans="1:9" ht="12.75">
      <c r="A947" s="171"/>
      <c r="B947" s="171"/>
      <c r="C947" s="171"/>
      <c r="D947" s="61"/>
      <c r="E947" s="61"/>
      <c r="F947" s="2"/>
      <c r="G947" s="2"/>
      <c r="H947" s="2"/>
      <c r="I947" s="2"/>
    </row>
    <row r="948" spans="1:9" ht="12.75">
      <c r="A948" s="171"/>
      <c r="B948" s="171"/>
      <c r="C948" s="171"/>
      <c r="D948" s="61"/>
      <c r="E948" s="61"/>
      <c r="F948" s="2"/>
      <c r="G948" s="2"/>
      <c r="H948" s="2"/>
      <c r="I948" s="2"/>
    </row>
    <row r="949" spans="1:9" ht="12.75">
      <c r="A949" s="171"/>
      <c r="B949" s="171"/>
      <c r="C949" s="171"/>
      <c r="D949" s="61"/>
      <c r="E949" s="61"/>
      <c r="F949" s="2"/>
      <c r="G949" s="2"/>
      <c r="H949" s="2"/>
      <c r="I949" s="2"/>
    </row>
    <row r="950" spans="1:9" ht="12.75">
      <c r="A950" s="171"/>
      <c r="B950" s="171"/>
      <c r="C950" s="171"/>
      <c r="D950" s="61"/>
      <c r="E950" s="61"/>
      <c r="F950" s="2"/>
      <c r="G950" s="2"/>
      <c r="H950" s="2"/>
      <c r="I950" s="2"/>
    </row>
    <row r="951" spans="1:9" ht="12.75">
      <c r="A951" s="171"/>
      <c r="B951" s="171"/>
      <c r="C951" s="171"/>
      <c r="D951" s="61"/>
      <c r="E951" s="61"/>
      <c r="F951" s="2"/>
      <c r="G951" s="2"/>
      <c r="H951" s="2"/>
      <c r="I951" s="2"/>
    </row>
    <row r="952" spans="1:9" ht="12.75">
      <c r="A952" s="171"/>
      <c r="B952" s="171"/>
      <c r="C952" s="171"/>
      <c r="D952" s="61"/>
      <c r="E952" s="61"/>
      <c r="F952" s="2"/>
      <c r="G952" s="2"/>
      <c r="H952" s="2"/>
      <c r="I952" s="2"/>
    </row>
    <row r="953" spans="1:9" ht="12.75">
      <c r="A953" s="171"/>
      <c r="B953" s="171"/>
      <c r="C953" s="171"/>
      <c r="D953" s="61"/>
      <c r="E953" s="61"/>
      <c r="F953" s="2"/>
      <c r="G953" s="2"/>
      <c r="H953" s="2"/>
      <c r="I953" s="2"/>
    </row>
    <row r="954" spans="1:9" ht="12.75">
      <c r="A954" s="171"/>
      <c r="B954" s="171"/>
      <c r="C954" s="171"/>
      <c r="D954" s="61"/>
      <c r="E954" s="61"/>
      <c r="F954" s="2"/>
      <c r="G954" s="2"/>
      <c r="H954" s="2"/>
      <c r="I954" s="2"/>
    </row>
    <row r="955" spans="1:9" ht="12.75">
      <c r="A955" s="171"/>
      <c r="B955" s="171"/>
      <c r="C955" s="171"/>
      <c r="D955" s="61"/>
      <c r="E955" s="61"/>
      <c r="F955" s="2"/>
      <c r="G955" s="2"/>
      <c r="H955" s="2"/>
      <c r="I955" s="2"/>
    </row>
    <row r="956" spans="1:9" ht="12.75">
      <c r="A956" s="171"/>
      <c r="B956" s="171"/>
      <c r="C956" s="171"/>
      <c r="D956" s="61"/>
      <c r="E956" s="61"/>
      <c r="F956" s="2"/>
      <c r="G956" s="2"/>
      <c r="H956" s="2"/>
      <c r="I956" s="2"/>
    </row>
    <row r="957" spans="1:9" ht="12.75">
      <c r="A957" s="171"/>
      <c r="B957" s="171"/>
      <c r="C957" s="171"/>
      <c r="D957" s="61"/>
      <c r="E957" s="61"/>
      <c r="F957" s="2"/>
      <c r="G957" s="2"/>
      <c r="H957" s="2"/>
      <c r="I957" s="2"/>
    </row>
    <row r="958" spans="1:9" ht="12.75">
      <c r="A958" s="171"/>
      <c r="B958" s="171"/>
      <c r="C958" s="171"/>
      <c r="D958" s="61"/>
      <c r="E958" s="61"/>
      <c r="F958" s="2"/>
      <c r="G958" s="2"/>
      <c r="H958" s="2"/>
      <c r="I958" s="2"/>
    </row>
    <row r="959" spans="1:9" ht="12.75">
      <c r="A959" s="171"/>
      <c r="B959" s="171"/>
      <c r="C959" s="171"/>
      <c r="D959" s="61"/>
      <c r="E959" s="61"/>
      <c r="F959" s="2"/>
      <c r="G959" s="2"/>
      <c r="H959" s="2"/>
      <c r="I959" s="2"/>
    </row>
    <row r="960" spans="1:9" ht="12.75">
      <c r="A960" s="171"/>
      <c r="B960" s="171"/>
      <c r="C960" s="171"/>
      <c r="D960" s="61"/>
      <c r="E960" s="61"/>
      <c r="F960" s="2"/>
      <c r="G960" s="2"/>
      <c r="H960" s="2"/>
      <c r="I960" s="2"/>
    </row>
    <row r="961" spans="1:9" ht="12.75">
      <c r="A961" s="171"/>
      <c r="B961" s="171"/>
      <c r="C961" s="171"/>
      <c r="D961" s="61"/>
      <c r="E961" s="61"/>
      <c r="F961" s="2"/>
      <c r="G961" s="2"/>
      <c r="H961" s="2"/>
      <c r="I961" s="2"/>
    </row>
    <row r="962" spans="1:9" ht="12.75">
      <c r="A962" s="171"/>
      <c r="B962" s="171"/>
      <c r="C962" s="171"/>
      <c r="D962" s="61"/>
      <c r="E962" s="61"/>
      <c r="F962" s="2"/>
      <c r="G962" s="2"/>
      <c r="H962" s="2"/>
      <c r="I962" s="2"/>
    </row>
    <row r="963" spans="1:9" ht="12.75">
      <c r="A963" s="171"/>
      <c r="B963" s="171"/>
      <c r="C963" s="171"/>
      <c r="D963" s="61"/>
      <c r="E963" s="61"/>
      <c r="F963" s="2"/>
      <c r="G963" s="2"/>
      <c r="H963" s="2"/>
      <c r="I963" s="2"/>
    </row>
    <row r="964" spans="1:9" ht="12.75">
      <c r="A964" s="171"/>
      <c r="B964" s="171"/>
      <c r="C964" s="171"/>
      <c r="D964" s="61"/>
      <c r="E964" s="61"/>
      <c r="F964" s="2"/>
      <c r="G964" s="2"/>
      <c r="H964" s="2"/>
      <c r="I964" s="2"/>
    </row>
    <row r="965" spans="1:9" ht="12.75">
      <c r="A965" s="171"/>
      <c r="B965" s="171"/>
      <c r="C965" s="171"/>
      <c r="D965" s="61"/>
      <c r="E965" s="61"/>
      <c r="F965" s="2"/>
      <c r="G965" s="2"/>
      <c r="H965" s="2"/>
      <c r="I965" s="2"/>
    </row>
    <row r="966" spans="1:9" ht="12.75">
      <c r="A966" s="171"/>
      <c r="B966" s="171"/>
      <c r="C966" s="171"/>
      <c r="D966" s="61"/>
      <c r="E966" s="61"/>
      <c r="F966" s="2"/>
      <c r="G966" s="2"/>
      <c r="H966" s="2"/>
      <c r="I966" s="2"/>
    </row>
    <row r="967" spans="1:9" ht="12.75">
      <c r="A967" s="171"/>
      <c r="B967" s="171"/>
      <c r="C967" s="171"/>
      <c r="D967" s="61"/>
      <c r="E967" s="61"/>
      <c r="F967" s="2"/>
      <c r="G967" s="2"/>
      <c r="H967" s="2"/>
      <c r="I967" s="2"/>
    </row>
    <row r="968" spans="1:9" ht="12.75">
      <c r="A968" s="171"/>
      <c r="B968" s="171"/>
      <c r="C968" s="171"/>
      <c r="D968" s="61"/>
      <c r="E968" s="61"/>
      <c r="F968" s="2"/>
      <c r="G968" s="2"/>
      <c r="H968" s="2"/>
      <c r="I968" s="2"/>
    </row>
    <row r="969" spans="1:9" ht="12.75">
      <c r="A969" s="171"/>
      <c r="B969" s="171"/>
      <c r="C969" s="171"/>
      <c r="D969" s="61"/>
      <c r="E969" s="61"/>
      <c r="F969" s="2"/>
      <c r="G969" s="2"/>
      <c r="H969" s="2"/>
      <c r="I969" s="2"/>
    </row>
    <row r="970" spans="1:9" ht="12.75">
      <c r="A970" s="171"/>
      <c r="B970" s="171"/>
      <c r="C970" s="171"/>
      <c r="D970" s="61"/>
      <c r="E970" s="61"/>
      <c r="F970" s="2"/>
      <c r="G970" s="2"/>
      <c r="H970" s="2"/>
      <c r="I970" s="2"/>
    </row>
    <row r="971" spans="1:9" ht="12.75">
      <c r="A971" s="171"/>
      <c r="B971" s="171"/>
      <c r="C971" s="171"/>
      <c r="D971" s="61"/>
      <c r="E971" s="61"/>
      <c r="F971" s="2"/>
      <c r="G971" s="2"/>
      <c r="H971" s="2"/>
      <c r="I971" s="2"/>
    </row>
    <row r="972" spans="1:9" ht="12.75">
      <c r="A972" s="171"/>
      <c r="B972" s="171"/>
      <c r="C972" s="171"/>
      <c r="D972" s="61"/>
      <c r="E972" s="61"/>
      <c r="F972" s="2"/>
      <c r="G972" s="2"/>
      <c r="H972" s="2"/>
      <c r="I972" s="2"/>
    </row>
    <row r="973" spans="1:9" ht="12.75">
      <c r="A973" s="171"/>
      <c r="B973" s="171"/>
      <c r="C973" s="171"/>
      <c r="D973" s="61"/>
      <c r="E973" s="61"/>
      <c r="F973" s="2"/>
      <c r="G973" s="2"/>
      <c r="H973" s="2"/>
      <c r="I973" s="2"/>
    </row>
    <row r="974" spans="1:9" ht="12.75">
      <c r="A974" s="171"/>
      <c r="B974" s="171"/>
      <c r="C974" s="171"/>
      <c r="D974" s="61"/>
      <c r="E974" s="61"/>
      <c r="F974" s="2"/>
      <c r="G974" s="2"/>
      <c r="H974" s="2"/>
      <c r="I974" s="2"/>
    </row>
    <row r="975" spans="1:9" ht="12.75">
      <c r="A975" s="171"/>
      <c r="B975" s="171"/>
      <c r="C975" s="171"/>
      <c r="D975" s="61"/>
      <c r="E975" s="61"/>
      <c r="F975" s="2"/>
      <c r="G975" s="2"/>
      <c r="H975" s="2"/>
      <c r="I975" s="2"/>
    </row>
    <row r="976" spans="1:9" ht="12.75">
      <c r="A976" s="171"/>
      <c r="B976" s="171"/>
      <c r="C976" s="171"/>
      <c r="D976" s="61"/>
      <c r="E976" s="61"/>
      <c r="F976" s="2"/>
      <c r="G976" s="2"/>
      <c r="H976" s="2"/>
      <c r="I976" s="2"/>
    </row>
    <row r="977" spans="1:9" ht="12.75">
      <c r="A977" s="171"/>
      <c r="B977" s="171"/>
      <c r="C977" s="171"/>
      <c r="D977" s="61"/>
      <c r="E977" s="61"/>
      <c r="F977" s="2"/>
      <c r="G977" s="2"/>
      <c r="H977" s="2"/>
      <c r="I977" s="2"/>
    </row>
    <row r="978" spans="1:9" ht="12.75">
      <c r="A978" s="171"/>
      <c r="B978" s="171"/>
      <c r="C978" s="171"/>
      <c r="D978" s="61"/>
      <c r="E978" s="61"/>
      <c r="F978" s="2"/>
      <c r="G978" s="2"/>
      <c r="H978" s="2"/>
      <c r="I978" s="2"/>
    </row>
    <row r="979" spans="1:9" ht="12.75">
      <c r="A979" s="171"/>
      <c r="B979" s="171"/>
      <c r="C979" s="171"/>
      <c r="D979" s="61"/>
      <c r="E979" s="61"/>
      <c r="F979" s="2"/>
      <c r="G979" s="2"/>
      <c r="H979" s="2"/>
      <c r="I979" s="2"/>
    </row>
    <row r="980" spans="1:9" ht="12.75">
      <c r="A980" s="171"/>
      <c r="B980" s="171"/>
      <c r="C980" s="171"/>
      <c r="D980" s="61"/>
      <c r="E980" s="61"/>
      <c r="F980" s="2"/>
      <c r="G980" s="2"/>
      <c r="H980" s="2"/>
      <c r="I980" s="2"/>
    </row>
    <row r="981" spans="1:9" ht="12.75">
      <c r="A981" s="171"/>
      <c r="B981" s="171"/>
      <c r="C981" s="171"/>
      <c r="D981" s="61"/>
      <c r="E981" s="61"/>
      <c r="F981" s="2"/>
      <c r="G981" s="2"/>
      <c r="H981" s="2"/>
      <c r="I981" s="2"/>
    </row>
  </sheetData>
  <printOptions/>
  <pageMargins left="0.53" right="0.5" top="1" bottom="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2:Z55"/>
  <sheetViews>
    <sheetView zoomScale="80" zoomScaleNormal="80" workbookViewId="0" topLeftCell="A1">
      <selection activeCell="F5" sqref="F5"/>
    </sheetView>
  </sheetViews>
  <sheetFormatPr defaultColWidth="9.140625" defaultRowHeight="12.75"/>
  <cols>
    <col min="1" max="1" width="9.140625" style="271" customWidth="1"/>
    <col min="2" max="2" width="43.57421875" style="271" customWidth="1"/>
    <col min="3" max="3" width="15.28125" style="271" bestFit="1" customWidth="1"/>
    <col min="4" max="4" width="15.57421875" style="271" bestFit="1" customWidth="1"/>
    <col min="5" max="16" width="15.28125" style="271" bestFit="1" customWidth="1"/>
    <col min="17" max="26" width="16.00390625" style="271" bestFit="1" customWidth="1"/>
    <col min="27" max="16384" width="9.140625" style="271" customWidth="1"/>
  </cols>
  <sheetData>
    <row r="2" spans="2:17" ht="17.25">
      <c r="B2" s="214"/>
      <c r="C2" s="270"/>
      <c r="D2" s="267"/>
      <c r="E2" s="267"/>
      <c r="F2" s="267"/>
      <c r="G2" s="267"/>
      <c r="H2" s="267"/>
      <c r="I2" s="267"/>
      <c r="J2" s="267"/>
      <c r="K2" s="267"/>
      <c r="L2" s="267"/>
      <c r="M2" s="267"/>
      <c r="N2" s="267"/>
      <c r="O2" s="267"/>
      <c r="P2" s="267"/>
      <c r="Q2" s="267"/>
    </row>
    <row r="3" spans="2:17" ht="12.75">
      <c r="B3" s="214"/>
      <c r="C3" s="401"/>
      <c r="D3" s="401" t="s">
        <v>156</v>
      </c>
      <c r="E3" s="402" t="s">
        <v>157</v>
      </c>
      <c r="F3" s="401" t="s">
        <v>158</v>
      </c>
      <c r="G3" s="401" t="s">
        <v>159</v>
      </c>
      <c r="H3" s="402" t="s">
        <v>160</v>
      </c>
      <c r="I3" s="267"/>
      <c r="J3" s="267"/>
      <c r="K3" s="267"/>
      <c r="L3" s="267"/>
      <c r="M3" s="267"/>
      <c r="N3" s="267"/>
      <c r="O3" s="267"/>
      <c r="P3" s="267"/>
      <c r="Q3" s="267"/>
    </row>
    <row r="4" spans="2:17" ht="12.75">
      <c r="B4" s="214"/>
      <c r="C4" s="402" t="s">
        <v>697</v>
      </c>
      <c r="D4" s="402" t="s">
        <v>697</v>
      </c>
      <c r="E4" s="402"/>
      <c r="F4" s="267"/>
      <c r="G4" s="267"/>
      <c r="H4" s="267"/>
      <c r="I4" s="267"/>
      <c r="J4" s="267"/>
      <c r="K4" s="267"/>
      <c r="L4" s="267"/>
      <c r="M4" s="267"/>
      <c r="N4" s="267"/>
      <c r="O4" s="267"/>
      <c r="P4" s="267"/>
      <c r="Q4" s="267"/>
    </row>
    <row r="5" spans="2:26" s="403" customFormat="1" ht="15.75">
      <c r="B5" s="404" t="s">
        <v>699</v>
      </c>
      <c r="C5" s="403">
        <v>2021</v>
      </c>
      <c r="D5" s="403">
        <v>2022</v>
      </c>
      <c r="E5" s="403">
        <v>2023</v>
      </c>
      <c r="F5" s="403">
        <v>2024</v>
      </c>
      <c r="G5" s="403">
        <v>2025</v>
      </c>
      <c r="H5" s="403">
        <v>2026</v>
      </c>
      <c r="I5" s="403">
        <v>2027</v>
      </c>
      <c r="J5" s="268">
        <v>2028</v>
      </c>
      <c r="K5" s="403">
        <v>2029</v>
      </c>
      <c r="L5" s="403">
        <v>2030</v>
      </c>
      <c r="M5" s="403">
        <v>2031</v>
      </c>
      <c r="N5" s="403">
        <v>2032</v>
      </c>
      <c r="O5" s="403">
        <v>2033</v>
      </c>
      <c r="P5" s="403">
        <v>2034</v>
      </c>
      <c r="Q5" s="403">
        <v>2035</v>
      </c>
      <c r="R5" s="403">
        <v>2036</v>
      </c>
      <c r="S5" s="403">
        <v>2037</v>
      </c>
      <c r="T5" s="403">
        <v>2038</v>
      </c>
      <c r="U5" s="403">
        <v>2039</v>
      </c>
      <c r="V5" s="403">
        <v>2040</v>
      </c>
      <c r="W5" s="403">
        <v>2041</v>
      </c>
      <c r="X5" s="403">
        <v>2042</v>
      </c>
      <c r="Y5" s="403">
        <v>2043</v>
      </c>
      <c r="Z5" s="403">
        <v>2044</v>
      </c>
    </row>
    <row r="6" spans="1:26" s="269" customFormat="1" ht="12.75">
      <c r="A6" s="269">
        <v>1</v>
      </c>
      <c r="B6" s="215" t="s">
        <v>700</v>
      </c>
      <c r="C6" s="269">
        <v>3660995</v>
      </c>
      <c r="D6" s="269">
        <v>3489752</v>
      </c>
      <c r="E6" s="269">
        <f>+D11-109000</f>
        <v>3456637</v>
      </c>
      <c r="F6" s="269">
        <f aca="true" t="shared" si="0" ref="F6:Z6">+E11</f>
        <v>3220005.5000821</v>
      </c>
      <c r="G6" s="269">
        <f t="shared" si="0"/>
        <v>3041707.83807974</v>
      </c>
      <c r="H6" s="269">
        <f t="shared" si="0"/>
        <v>2883069.12839174</v>
      </c>
      <c r="I6" s="269">
        <f t="shared" si="0"/>
        <v>2725876.4087145356</v>
      </c>
      <c r="J6" s="269">
        <f t="shared" si="0"/>
        <v>2566300.197136536</v>
      </c>
      <c r="K6" s="269">
        <f t="shared" si="0"/>
        <v>2224914.1588865356</v>
      </c>
      <c r="L6" s="269">
        <f t="shared" si="0"/>
        <v>2021682.994884423</v>
      </c>
      <c r="M6" s="269">
        <f t="shared" si="0"/>
        <v>2061605.7052022796</v>
      </c>
      <c r="N6" s="269">
        <f t="shared" si="0"/>
        <v>2221796.353064227</v>
      </c>
      <c r="O6" s="269">
        <f t="shared" si="0"/>
        <v>2397653.6630478264</v>
      </c>
      <c r="P6" s="269">
        <f t="shared" si="0"/>
        <v>2534803.627818187</v>
      </c>
      <c r="Q6" s="269">
        <f t="shared" si="0"/>
        <v>2664742.7402327536</v>
      </c>
      <c r="R6" s="269">
        <f t="shared" si="0"/>
        <v>2798023.6293213665</v>
      </c>
      <c r="S6" s="269">
        <f t="shared" si="0"/>
        <v>2948330.6436945954</v>
      </c>
      <c r="T6" s="269">
        <f t="shared" si="0"/>
        <v>3080311.750903765</v>
      </c>
      <c r="U6" s="269">
        <f t="shared" si="0"/>
        <v>3194379.103193152</v>
      </c>
      <c r="V6" s="269">
        <f t="shared" si="0"/>
        <v>3318911.793254169</v>
      </c>
      <c r="W6" s="269">
        <f t="shared" si="0"/>
        <v>3425774.7262821496</v>
      </c>
      <c r="X6" s="269">
        <f t="shared" si="0"/>
        <v>3602491.444780768</v>
      </c>
      <c r="Y6" s="269">
        <f t="shared" si="0"/>
        <v>3706190.7185498513</v>
      </c>
      <c r="Z6" s="269">
        <f t="shared" si="0"/>
        <v>3815076.2188597796</v>
      </c>
    </row>
    <row r="7" spans="1:26" s="269" customFormat="1" ht="12.75">
      <c r="A7" s="269">
        <v>2</v>
      </c>
      <c r="B7" s="215" t="s">
        <v>696</v>
      </c>
      <c r="E7" s="269">
        <f>+'Fed Projections'!D14-'Federal DS'!D38</f>
        <v>288367.5000821</v>
      </c>
      <c r="F7" s="269">
        <f>+'Fed Projections'!E14-'Federal DS'!E38</f>
        <v>281701.33799764</v>
      </c>
      <c r="G7" s="269">
        <f>+'Fed Projections'!F14-'Federal DS'!F38</f>
        <v>287361.29031199997</v>
      </c>
      <c r="H7" s="269">
        <f>+'Fed Projections'!G14-'Federal DS'!G38</f>
        <v>319831.28032279597</v>
      </c>
      <c r="I7" s="269">
        <f>+'Fed Projections'!H14-'Federal DS'!H38</f>
        <v>268698.788422</v>
      </c>
      <c r="J7" s="269">
        <f>+'Fed Projections'!I14-'Federal DS'!I38</f>
        <v>273122.96174999996</v>
      </c>
      <c r="K7" s="269">
        <f>+'Fed Projections'!J14-'Federal DS'!J38</f>
        <v>274768.83599788736</v>
      </c>
      <c r="L7" s="269">
        <f>+'Fed Projections'!K14-'Federal DS'!K38</f>
        <v>533922.7103178569</v>
      </c>
      <c r="M7" s="269">
        <f>+'Fed Projections'!L14-'Federal DS'!L38</f>
        <v>307030.6478619471</v>
      </c>
      <c r="N7" s="269">
        <f>+'Fed Projections'!M14-'Federal DS'!M38</f>
        <v>339157.3099835994</v>
      </c>
      <c r="O7" s="269">
        <f>+'Fed Projections'!N14-'Federal DS'!N38</f>
        <v>317939.96477036015</v>
      </c>
      <c r="P7" s="269">
        <f>+'Fed Projections'!O14-'Federal DS'!O38</f>
        <v>325138.112414567</v>
      </c>
      <c r="Q7" s="269">
        <f>+'Fed Projections'!P14-'Federal DS'!P38</f>
        <v>331314.88908861316</v>
      </c>
      <c r="R7" s="269">
        <f>+'Fed Projections'!Q14-'Federal DS'!Q38</f>
        <v>338473.01437322906</v>
      </c>
      <c r="S7" s="269">
        <f>+'Fed Projections'!R14-'Federal DS'!R38</f>
        <v>344611.10720916995</v>
      </c>
      <c r="T7" s="269">
        <f>+'Fed Projections'!S14-'Federal DS'!S38</f>
        <v>352728.35228938685</v>
      </c>
      <c r="U7" s="269">
        <f>+'Fed Projections'!T14-'Federal DS'!T38</f>
        <v>359824.6900610171</v>
      </c>
      <c r="V7" s="269">
        <f>+'Fed Projections'!U14-'Federal DS'!U38</f>
        <v>366896.9330279804</v>
      </c>
      <c r="W7" s="269">
        <f>+'Fed Projections'!V14-'Federal DS'!V38</f>
        <v>372951.7184986182</v>
      </c>
      <c r="X7" s="269">
        <f>+'Fed Projections'!W14-'Federal DS'!W38</f>
        <v>381980.2737690834</v>
      </c>
      <c r="Y7" s="269">
        <f>+'Fed Projections'!X14-'Federal DS'!X38</f>
        <v>389980.50030992815</v>
      </c>
      <c r="Z7" s="269">
        <f>+'Fed Projections'!Y14-'Federal DS'!Y38</f>
        <v>397955.9741287656</v>
      </c>
    </row>
    <row r="8" spans="1:26" s="269" customFormat="1" ht="12.75">
      <c r="A8" s="269">
        <v>3</v>
      </c>
      <c r="B8" s="215" t="s">
        <v>709</v>
      </c>
      <c r="E8" s="269">
        <f>-'Federal DS'!D14</f>
        <v>-357000</v>
      </c>
      <c r="F8" s="269">
        <f>-'Federal DS'!E14</f>
        <v>-181200</v>
      </c>
      <c r="G8" s="269">
        <f>-'Federal DS'!F14</f>
        <v>-236863</v>
      </c>
      <c r="H8" s="269">
        <f>-'Federal DS'!G14</f>
        <v>-477024</v>
      </c>
      <c r="I8" s="269">
        <f>-'Federal DS'!H14</f>
        <v>-376751</v>
      </c>
      <c r="J8" s="269">
        <f>-'Federal DS'!I14</f>
        <v>-453050</v>
      </c>
      <c r="K8" s="269">
        <f>-'Federal DS'!J14</f>
        <v>-457311</v>
      </c>
      <c r="L8" s="269">
        <f>-'Federal DS'!K14</f>
        <v>-476409</v>
      </c>
      <c r="M8" s="269">
        <f>-'Federal DS'!L14</f>
        <v>-146840</v>
      </c>
      <c r="N8" s="269">
        <f>-'Federal DS'!M14</f>
        <v>-163300</v>
      </c>
      <c r="O8" s="269">
        <f>-'Federal DS'!N14</f>
        <v>-180790</v>
      </c>
      <c r="P8" s="269">
        <f>-'Federal DS'!O14</f>
        <v>-195199</v>
      </c>
      <c r="Q8" s="269">
        <f>-'Federal DS'!P14</f>
        <v>-198034</v>
      </c>
      <c r="R8" s="269">
        <f>-'Federal DS'!Q14</f>
        <v>-188166</v>
      </c>
      <c r="S8" s="269">
        <f>-'Federal DS'!R14</f>
        <v>-212630</v>
      </c>
      <c r="T8" s="269">
        <f>-'Federal DS'!S14</f>
        <v>-238661</v>
      </c>
      <c r="U8" s="269">
        <f>-'Federal DS'!T14</f>
        <v>-235292</v>
      </c>
      <c r="V8" s="269">
        <f>-'Federal DS'!U14</f>
        <v>-260034</v>
      </c>
      <c r="W8" s="269">
        <f>-'Federal DS'!V14</f>
        <v>-196235</v>
      </c>
      <c r="X8" s="269">
        <f>-'Federal DS'!W14</f>
        <v>-278281</v>
      </c>
      <c r="Y8" s="269">
        <f>-'Federal DS'!X14</f>
        <v>-281095</v>
      </c>
      <c r="Z8" s="269">
        <f>-'Federal DS'!Y14</f>
        <v>-290971</v>
      </c>
    </row>
    <row r="9" spans="1:26" s="269" customFormat="1" ht="12.75">
      <c r="A9" s="269">
        <v>4</v>
      </c>
      <c r="B9" s="215" t="s">
        <v>710</v>
      </c>
      <c r="E9" s="269">
        <f>-'Federal DS'!D13</f>
        <v>-167999</v>
      </c>
      <c r="F9" s="269">
        <f>-'Federal DS'!E13</f>
        <v>-278799</v>
      </c>
      <c r="G9" s="269">
        <f>-'Federal DS'!F13</f>
        <v>-209137</v>
      </c>
      <c r="H9" s="269">
        <f>-'Federal DS'!G13</f>
        <v>0</v>
      </c>
      <c r="I9" s="269">
        <f>-'Federal DS'!H13</f>
        <v>-51524</v>
      </c>
      <c r="J9" s="269">
        <f>-'Federal DS'!I13</f>
        <v>-161459</v>
      </c>
      <c r="K9" s="269">
        <f>-'Federal DS'!J13</f>
        <v>-20689</v>
      </c>
      <c r="L9" s="269">
        <f>-'Federal DS'!K13</f>
        <v>-17591</v>
      </c>
      <c r="M9" s="269">
        <f>-'Federal DS'!L13</f>
        <v>0</v>
      </c>
      <c r="N9" s="269">
        <f>-'Federal DS'!M13</f>
        <v>0</v>
      </c>
      <c r="O9" s="269">
        <f>-'Federal DS'!N13</f>
        <v>0</v>
      </c>
      <c r="P9" s="269">
        <f>-'Federal DS'!O13</f>
        <v>0</v>
      </c>
      <c r="Q9" s="269">
        <f>-'Federal DS'!P13</f>
        <v>0</v>
      </c>
      <c r="R9" s="269">
        <f>-'Federal DS'!Q13</f>
        <v>0</v>
      </c>
      <c r="S9" s="269">
        <f>-'Federal DS'!R13</f>
        <v>0</v>
      </c>
      <c r="T9" s="269">
        <f>-'Federal DS'!S13</f>
        <v>0</v>
      </c>
      <c r="U9" s="269">
        <f>-'Federal DS'!T13</f>
        <v>0</v>
      </c>
      <c r="V9" s="269">
        <f>-'Federal DS'!U13</f>
        <v>0</v>
      </c>
      <c r="W9" s="269">
        <f>-'Federal DS'!V13</f>
        <v>0</v>
      </c>
      <c r="X9" s="269">
        <f>-'Federal DS'!W13</f>
        <v>0</v>
      </c>
      <c r="Y9" s="269">
        <f>-'Federal DS'!X13</f>
        <v>0</v>
      </c>
      <c r="Z9" s="269">
        <f>-'Federal DS'!Y13</f>
        <v>0</v>
      </c>
    </row>
    <row r="10" spans="2:26" s="269" customFormat="1" ht="17.25">
      <c r="B10" s="215" t="s">
        <v>807</v>
      </c>
      <c r="C10" s="270">
        <v>167051</v>
      </c>
      <c r="D10" s="405">
        <v>75885</v>
      </c>
      <c r="E10" s="405">
        <v>0</v>
      </c>
      <c r="F10" s="405">
        <v>0</v>
      </c>
      <c r="G10" s="405">
        <v>0</v>
      </c>
      <c r="H10" s="405">
        <v>0</v>
      </c>
      <c r="I10" s="405">
        <v>0</v>
      </c>
      <c r="J10" s="405">
        <v>0</v>
      </c>
      <c r="K10" s="405">
        <v>0</v>
      </c>
      <c r="L10" s="405">
        <v>0</v>
      </c>
      <c r="M10" s="405">
        <v>0</v>
      </c>
      <c r="N10" s="405">
        <v>0</v>
      </c>
      <c r="O10" s="405">
        <v>0</v>
      </c>
      <c r="P10" s="405">
        <v>0</v>
      </c>
      <c r="Q10" s="405">
        <v>0</v>
      </c>
      <c r="R10" s="405">
        <v>0</v>
      </c>
      <c r="S10" s="405">
        <v>0</v>
      </c>
      <c r="T10" s="405">
        <v>0</v>
      </c>
      <c r="U10" s="405">
        <v>0</v>
      </c>
      <c r="V10" s="405">
        <v>0</v>
      </c>
      <c r="W10" s="405">
        <v>0</v>
      </c>
      <c r="X10" s="405">
        <v>0</v>
      </c>
      <c r="Y10" s="405">
        <v>0</v>
      </c>
      <c r="Z10" s="405">
        <v>0</v>
      </c>
    </row>
    <row r="11" spans="1:26" s="269" customFormat="1" ht="12.75">
      <c r="A11" s="269">
        <v>5</v>
      </c>
      <c r="B11" s="215" t="s">
        <v>713</v>
      </c>
      <c r="C11" s="269">
        <f>SUM(C6:C10)</f>
        <v>3828046</v>
      </c>
      <c r="D11" s="269">
        <f>+D10+D6</f>
        <v>3565637</v>
      </c>
      <c r="E11" s="269">
        <f aca="true" t="shared" si="1" ref="E11:Z11">SUM(E6:E9)</f>
        <v>3220005.5000821</v>
      </c>
      <c r="F11" s="269">
        <f t="shared" si="1"/>
        <v>3041707.83807974</v>
      </c>
      <c r="G11" s="269">
        <f t="shared" si="1"/>
        <v>2883069.12839174</v>
      </c>
      <c r="H11" s="269">
        <f t="shared" si="1"/>
        <v>2725876.4087145356</v>
      </c>
      <c r="I11" s="269">
        <f t="shared" si="1"/>
        <v>2566300.197136536</v>
      </c>
      <c r="J11" s="269">
        <f t="shared" si="1"/>
        <v>2224914.1588865356</v>
      </c>
      <c r="K11" s="269">
        <f t="shared" si="1"/>
        <v>2021682.994884423</v>
      </c>
      <c r="L11" s="269">
        <f t="shared" si="1"/>
        <v>2061605.7052022796</v>
      </c>
      <c r="M11" s="269">
        <f t="shared" si="1"/>
        <v>2221796.353064227</v>
      </c>
      <c r="N11" s="269">
        <f t="shared" si="1"/>
        <v>2397653.6630478264</v>
      </c>
      <c r="O11" s="269">
        <f t="shared" si="1"/>
        <v>2534803.627818187</v>
      </c>
      <c r="P11" s="269">
        <f t="shared" si="1"/>
        <v>2664742.7402327536</v>
      </c>
      <c r="Q11" s="269">
        <f t="shared" si="1"/>
        <v>2798023.6293213665</v>
      </c>
      <c r="R11" s="269">
        <f t="shared" si="1"/>
        <v>2948330.6436945954</v>
      </c>
      <c r="S11" s="269">
        <f t="shared" si="1"/>
        <v>3080311.750903765</v>
      </c>
      <c r="T11" s="269">
        <f t="shared" si="1"/>
        <v>3194379.103193152</v>
      </c>
      <c r="U11" s="269">
        <f t="shared" si="1"/>
        <v>3318911.793254169</v>
      </c>
      <c r="V11" s="269">
        <f t="shared" si="1"/>
        <v>3425774.7262821496</v>
      </c>
      <c r="W11" s="269">
        <f t="shared" si="1"/>
        <v>3602491.444780768</v>
      </c>
      <c r="X11" s="269">
        <f t="shared" si="1"/>
        <v>3706190.7185498513</v>
      </c>
      <c r="Y11" s="269">
        <f t="shared" si="1"/>
        <v>3815076.2188597796</v>
      </c>
      <c r="Z11" s="269">
        <f t="shared" si="1"/>
        <v>3922061.1929885456</v>
      </c>
    </row>
    <row r="12" spans="1:2" s="269" customFormat="1" ht="12.75">
      <c r="A12" s="269">
        <v>6</v>
      </c>
      <c r="B12" s="215"/>
    </row>
    <row r="13" spans="1:26" s="269" customFormat="1" ht="12.75">
      <c r="A13" s="269">
        <v>7</v>
      </c>
      <c r="B13" s="215" t="s">
        <v>708</v>
      </c>
      <c r="E13" s="269">
        <f aca="true" t="shared" si="2" ref="E13:Z13">+D20</f>
        <v>5260609</v>
      </c>
      <c r="F13" s="269">
        <f t="shared" si="2"/>
        <v>5393023.007376413</v>
      </c>
      <c r="G13" s="269">
        <f t="shared" si="2"/>
        <v>5443827.942763471</v>
      </c>
      <c r="H13" s="269">
        <f t="shared" si="2"/>
        <v>5536668.9839382265</v>
      </c>
      <c r="I13" s="269">
        <f t="shared" si="2"/>
        <v>5561654.966742947</v>
      </c>
      <c r="J13" s="269">
        <f t="shared" si="2"/>
        <v>5668371.77166557</v>
      </c>
      <c r="K13" s="269">
        <f t="shared" si="2"/>
        <v>5770024.3972175345</v>
      </c>
      <c r="L13" s="269">
        <f t="shared" si="2"/>
        <v>5751353.939500949</v>
      </c>
      <c r="M13" s="269">
        <f t="shared" si="2"/>
        <v>5425238.731942922</v>
      </c>
      <c r="N13" s="269">
        <f t="shared" si="2"/>
        <v>5106832.43656069</v>
      </c>
      <c r="O13" s="269">
        <f t="shared" si="2"/>
        <v>4779284.527696225</v>
      </c>
      <c r="P13" s="269">
        <f t="shared" si="2"/>
        <v>4447229.420442987</v>
      </c>
      <c r="Q13" s="269">
        <f t="shared" si="2"/>
        <v>4102823.209125199</v>
      </c>
      <c r="R13" s="269">
        <f t="shared" si="2"/>
        <v>3741565.199529343</v>
      </c>
      <c r="S13" s="269">
        <f t="shared" si="2"/>
        <v>3383338.6406114544</v>
      </c>
      <c r="T13" s="269">
        <f t="shared" si="2"/>
        <v>2972397.637479992</v>
      </c>
      <c r="U13" s="269">
        <f t="shared" si="2"/>
        <v>2538538.172251728</v>
      </c>
      <c r="V13" s="269">
        <f t="shared" si="2"/>
        <v>2083336.8695665372</v>
      </c>
      <c r="W13" s="269">
        <f t="shared" si="2"/>
        <v>1601671.3355431969</v>
      </c>
      <c r="X13" s="269">
        <f t="shared" si="2"/>
        <v>1096347.116179521</v>
      </c>
      <c r="Y13" s="269">
        <f t="shared" si="2"/>
        <v>586574.4651795209</v>
      </c>
      <c r="Z13" s="269">
        <f t="shared" si="2"/>
        <v>6244.364179520868</v>
      </c>
    </row>
    <row r="14" spans="1:26" s="269" customFormat="1" ht="12.75">
      <c r="A14" s="269">
        <v>8</v>
      </c>
      <c r="B14" s="215" t="s">
        <v>868</v>
      </c>
      <c r="E14" s="269">
        <f>+'Non-Federal DS'!G95</f>
        <v>184159.74298125002</v>
      </c>
      <c r="F14" s="269">
        <f>+'Non-Federal DS'!H95</f>
        <v>104146.26161393752</v>
      </c>
      <c r="G14" s="269">
        <f>+'Non-Federal DS'!I95</f>
        <v>126211.58505070956</v>
      </c>
      <c r="H14" s="269">
        <f>+'Non-Federal DS'!J95</f>
        <v>76416.86040793396</v>
      </c>
      <c r="I14" s="269">
        <f>+'Non-Federal DS'!K95</f>
        <v>138241.73692709455</v>
      </c>
      <c r="J14" s="269">
        <f>+'Non-Federal DS'!L95</f>
        <v>109267.62555196433</v>
      </c>
      <c r="K14" s="269">
        <f>+'Non-Federal DS'!M95</f>
        <v>217677.99528341452</v>
      </c>
      <c r="L14" s="269">
        <f>+'Non-Federal DS'!N95</f>
        <v>100995.29744197267</v>
      </c>
      <c r="M14" s="269">
        <f>+'Non-Federal DS'!O95</f>
        <v>143294.0976177689</v>
      </c>
      <c r="N14" s="269">
        <f>+'Non-Federal DS'!P95</f>
        <v>115617.11313553447</v>
      </c>
      <c r="O14" s="269">
        <f>+'Non-Federal DS'!Q95</f>
        <v>120033.20874676167</v>
      </c>
      <c r="P14" s="269">
        <f>+'Non-Federal DS'!R95</f>
        <v>115701.64468221212</v>
      </c>
      <c r="Q14" s="269">
        <f>+'Non-Federal DS'!S95</f>
        <v>107745.08440414396</v>
      </c>
      <c r="R14" s="269">
        <f>+'Non-Federal DS'!T95</f>
        <v>120868.58708211192</v>
      </c>
      <c r="S14" s="269">
        <f>+'Non-Federal DS'!U95</f>
        <v>78433.10386853748</v>
      </c>
      <c r="T14" s="269">
        <f>+'Non-Federal DS'!V95</f>
        <v>64637.70477173561</v>
      </c>
      <c r="U14" s="269">
        <f>+'Non-Federal DS'!W95</f>
        <v>52609.26931480906</v>
      </c>
      <c r="V14" s="269">
        <f>+'Non-Federal DS'!X95</f>
        <v>36313.571976659776</v>
      </c>
      <c r="W14" s="269">
        <f>+'Non-Federal DS'!Y95</f>
        <v>23494.605636323937</v>
      </c>
      <c r="X14" s="269">
        <f>+'Non-Federal DS'!Z95</f>
        <v>30000</v>
      </c>
      <c r="Y14" s="269">
        <f>+'Non-Federal DS'!AA95</f>
        <v>0</v>
      </c>
      <c r="Z14" s="269">
        <f aca="true" t="shared" si="3" ref="Z14">+Z36</f>
        <v>0</v>
      </c>
    </row>
    <row r="15" spans="1:26" s="269" customFormat="1" ht="12.75">
      <c r="A15" s="269">
        <v>9</v>
      </c>
      <c r="B15" s="215" t="s">
        <v>703</v>
      </c>
      <c r="E15" s="269">
        <f>-'Non-Federal DS'!G67-'Non-Federal DS'!G68-'Non-Federal DS'!G71</f>
        <v>-20640.000000000007</v>
      </c>
      <c r="F15" s="269">
        <f>-'Non-Federal DS'!H67-'Non-Federal DS'!H68-'Non-Federal DS'!H71</f>
        <v>-20770</v>
      </c>
      <c r="G15" s="269">
        <f>-'Non-Federal DS'!I67-'Non-Federal DS'!I68-'Non-Federal DS'!I71</f>
        <v>-1200</v>
      </c>
      <c r="H15" s="269">
        <f>-'Non-Federal DS'!J67-'Non-Federal DS'!J68-'Non-Federal DS'!J71</f>
        <v>-17740</v>
      </c>
      <c r="I15" s="269">
        <f>-'Non-Federal DS'!K67-'Non-Federal DS'!K68-'Non-Federal DS'!K71</f>
        <v>3765</v>
      </c>
      <c r="J15" s="269">
        <f>-'Non-Federal DS'!L67-'Non-Federal DS'!L68-'Non-Federal DS'!L71</f>
        <v>-1905</v>
      </c>
      <c r="K15" s="269">
        <f>-'Non-Federal DS'!M67-'Non-Federal DS'!M68-'Non-Federal DS'!M71</f>
        <v>-230338.45299999998</v>
      </c>
      <c r="L15" s="269">
        <f>-'Non-Federal DS'!N67-'Non-Federal DS'!N68-'Non-Federal DS'!N71</f>
        <v>-420780.50500000006</v>
      </c>
      <c r="M15" s="269">
        <f>-'Non-Federal DS'!O67-'Non-Federal DS'!O68-'Non-Federal DS'!O71</f>
        <v>-447925.393</v>
      </c>
      <c r="N15" s="269">
        <f>-'Non-Federal DS'!P67-'Non-Federal DS'!P68-'Non-Federal DS'!P71</f>
        <v>-443165.02200000006</v>
      </c>
      <c r="O15" s="269">
        <f>-'Non-Federal DS'!Q67-'Non-Federal DS'!Q68-'Non-Federal DS'!Q71</f>
        <v>-452088.31599999993</v>
      </c>
      <c r="P15" s="269">
        <f>-'Non-Federal DS'!R67-'Non-Federal DS'!R68-'Non-Federal DS'!R71</f>
        <v>-460107.85599999997</v>
      </c>
      <c r="Q15" s="269">
        <f>-'Non-Federal DS'!S67-'Non-Federal DS'!S68-'Non-Federal DS'!S71</f>
        <v>-469003.094</v>
      </c>
      <c r="R15" s="269">
        <f>-'Non-Federal DS'!T67-'Non-Federal DS'!T68-'Non-Federal DS'!T71</f>
        <v>-479095.146</v>
      </c>
      <c r="S15" s="269">
        <f>-'Non-Federal DS'!U67-'Non-Federal DS'!U68-'Non-Federal DS'!U71</f>
        <v>-489374.107</v>
      </c>
      <c r="T15" s="269">
        <f>-'Non-Federal DS'!V67-'Non-Federal DS'!V68-'Non-Federal DS'!V71</f>
        <v>-498497.17</v>
      </c>
      <c r="U15" s="269">
        <f>-'Non-Federal DS'!W67-'Non-Federal DS'!W68-'Non-Federal DS'!W71</f>
        <v>-507810.572</v>
      </c>
      <c r="V15" s="269">
        <f>-'Non-Federal DS'!X67-'Non-Federal DS'!X68-'Non-Federal DS'!X71</f>
        <v>-517979.10599999997</v>
      </c>
      <c r="W15" s="269">
        <f>-'Non-Federal DS'!Y67-'Non-Federal DS'!Y68-'Non-Federal DS'!Y71</f>
        <v>-528818.825</v>
      </c>
      <c r="X15" s="269">
        <f>-'Non-Federal DS'!Z67-'Non-Federal DS'!Z68-'Non-Federal DS'!Z71</f>
        <v>-539772.6510000001</v>
      </c>
      <c r="Y15" s="269">
        <f>-'Non-Federal DS'!AA67-'Non-Federal DS'!AA68-'Non-Federal DS'!AA71</f>
        <v>-580330.101</v>
      </c>
      <c r="Z15" s="269">
        <f>-'Non-Federal DS'!AB67-'Non-Federal DS'!AB68-'Non-Federal DS'!AB71</f>
        <v>-489036.73</v>
      </c>
    </row>
    <row r="16" spans="1:26" s="269" customFormat="1" ht="12.75">
      <c r="A16" s="269">
        <v>10</v>
      </c>
      <c r="B16" s="215" t="s">
        <v>704</v>
      </c>
      <c r="E16" s="269">
        <f>-'Non-Federal DS'!G74</f>
        <v>0</v>
      </c>
      <c r="F16" s="269">
        <f>-'Non-Federal DS'!H74</f>
        <v>0</v>
      </c>
      <c r="G16" s="269">
        <f>-'Non-Federal DS'!I74</f>
        <v>0</v>
      </c>
      <c r="H16" s="269">
        <f>-'Non-Federal DS'!J74</f>
        <v>0</v>
      </c>
      <c r="I16" s="269">
        <f>-'Non-Federal DS'!K74</f>
        <v>0</v>
      </c>
      <c r="J16" s="269">
        <f>-'Non-Federal DS'!L74</f>
        <v>0</v>
      </c>
      <c r="K16" s="269">
        <f>-'Non-Federal DS'!M74</f>
        <v>0</v>
      </c>
      <c r="L16" s="269">
        <f>-'Non-Federal DS'!N74</f>
        <v>0</v>
      </c>
      <c r="M16" s="269">
        <f>-'Non-Federal DS'!O74</f>
        <v>0</v>
      </c>
      <c r="N16" s="269">
        <f>-'Non-Federal DS'!P74</f>
        <v>0</v>
      </c>
      <c r="O16" s="269">
        <f>-'Non-Federal DS'!Q74</f>
        <v>0</v>
      </c>
      <c r="P16" s="269">
        <f>-'Non-Federal DS'!R74</f>
        <v>0</v>
      </c>
      <c r="Q16" s="269">
        <f>-'Non-Federal DS'!S74</f>
        <v>0</v>
      </c>
      <c r="R16" s="269">
        <f>-'Non-Federal DS'!T74</f>
        <v>0</v>
      </c>
      <c r="S16" s="269">
        <f>-'Non-Federal DS'!U74</f>
        <v>0</v>
      </c>
      <c r="T16" s="269">
        <f>-'Non-Federal DS'!V74</f>
        <v>0</v>
      </c>
      <c r="U16" s="269">
        <f>-'Non-Federal DS'!W74</f>
        <v>0</v>
      </c>
      <c r="V16" s="269">
        <f>-'Non-Federal DS'!X74</f>
        <v>0</v>
      </c>
      <c r="W16" s="269">
        <f>-'Non-Federal DS'!Y74</f>
        <v>0</v>
      </c>
      <c r="X16" s="269">
        <f>-'Non-Federal DS'!Z74</f>
        <v>0</v>
      </c>
      <c r="Y16" s="269">
        <f>-'Non-Federal DS'!AA74</f>
        <v>0</v>
      </c>
      <c r="Z16" s="269">
        <f>-'Non-Federal DS'!AB74</f>
        <v>0</v>
      </c>
    </row>
    <row r="17" spans="1:26" s="269" customFormat="1" ht="12.75">
      <c r="A17" s="269">
        <v>11</v>
      </c>
      <c r="B17" s="215" t="s">
        <v>706</v>
      </c>
      <c r="E17" s="269">
        <f>-'Non-Federal DS'!G72</f>
        <v>-1765</v>
      </c>
      <c r="F17" s="269">
        <f>-'Non-Federal DS'!H72</f>
        <v>-1855</v>
      </c>
      <c r="G17" s="269">
        <f>-'Non-Federal DS'!I72</f>
        <v>0</v>
      </c>
      <c r="H17" s="269">
        <f>-'Non-Federal DS'!J72</f>
        <v>0</v>
      </c>
      <c r="I17" s="269">
        <f>-'Non-Federal DS'!K72</f>
        <v>0</v>
      </c>
      <c r="J17" s="269">
        <f>-'Non-Federal DS'!L72</f>
        <v>0</v>
      </c>
      <c r="K17" s="269">
        <f>-'Non-Federal DS'!M72</f>
        <v>0</v>
      </c>
      <c r="L17" s="269">
        <f>-'Non-Federal DS'!N72</f>
        <v>0</v>
      </c>
      <c r="M17" s="269">
        <f>-'Non-Federal DS'!O72</f>
        <v>0</v>
      </c>
      <c r="N17" s="269">
        <f>-'Non-Federal DS'!P72</f>
        <v>0</v>
      </c>
      <c r="O17" s="269">
        <f>-'Non-Federal DS'!Q72</f>
        <v>0</v>
      </c>
      <c r="P17" s="269">
        <f>-'Non-Federal DS'!R72</f>
        <v>0</v>
      </c>
      <c r="Q17" s="269">
        <f>-'Non-Federal DS'!S72</f>
        <v>0</v>
      </c>
      <c r="R17" s="269">
        <f>-'Non-Federal DS'!T72</f>
        <v>0</v>
      </c>
      <c r="S17" s="269">
        <f>-'Non-Federal DS'!U72</f>
        <v>0</v>
      </c>
      <c r="T17" s="269">
        <f>-'Non-Federal DS'!V72</f>
        <v>0</v>
      </c>
      <c r="U17" s="269">
        <f>-'Non-Federal DS'!W72</f>
        <v>0</v>
      </c>
      <c r="V17" s="269">
        <f>-'Non-Federal DS'!X72</f>
        <v>0</v>
      </c>
      <c r="W17" s="269">
        <f>-'Non-Federal DS'!Y72</f>
        <v>0</v>
      </c>
      <c r="X17" s="269">
        <f>-'Non-Federal DS'!Z72</f>
        <v>0</v>
      </c>
      <c r="Y17" s="269">
        <f>-'Non-Federal DS'!AA72</f>
        <v>0</v>
      </c>
      <c r="Z17" s="269">
        <f>-'Non-Federal DS'!AB72</f>
        <v>0</v>
      </c>
    </row>
    <row r="18" spans="1:26" s="269" customFormat="1" ht="12.75">
      <c r="A18" s="269">
        <v>12</v>
      </c>
      <c r="B18" s="215" t="s">
        <v>707</v>
      </c>
      <c r="E18" s="269">
        <f>-'Non-Federal DS'!G73</f>
        <v>-4435</v>
      </c>
      <c r="F18" s="269">
        <f>-'Non-Federal DS'!H73</f>
        <v>-4655</v>
      </c>
      <c r="G18" s="269">
        <f>-'Non-Federal DS'!I73</f>
        <v>-4900</v>
      </c>
      <c r="H18" s="269">
        <f>-'Non-Federal DS'!J73</f>
        <v>-5155</v>
      </c>
      <c r="I18" s="269">
        <f>-'Non-Federal DS'!K73</f>
        <v>-5430</v>
      </c>
      <c r="J18" s="269">
        <f>-'Non-Federal DS'!L73</f>
        <v>-5710</v>
      </c>
      <c r="K18" s="269">
        <f>-'Non-Federal DS'!M73</f>
        <v>-6010</v>
      </c>
      <c r="L18" s="269">
        <f>-'Non-Federal DS'!N73</f>
        <v>-6330</v>
      </c>
      <c r="M18" s="269">
        <f>-'Non-Federal DS'!O73</f>
        <v>-13775</v>
      </c>
      <c r="N18" s="269">
        <f>-'Non-Federal DS'!P73</f>
        <v>0</v>
      </c>
      <c r="O18" s="269">
        <f>-'Non-Federal DS'!Q73</f>
        <v>0</v>
      </c>
      <c r="P18" s="269">
        <f>-'Non-Federal DS'!R73</f>
        <v>0</v>
      </c>
      <c r="Q18" s="269">
        <f>-'Non-Federal DS'!S73</f>
        <v>0</v>
      </c>
      <c r="R18" s="269">
        <f>-'Non-Federal DS'!T73</f>
        <v>0</v>
      </c>
      <c r="S18" s="269">
        <f>-'Non-Federal DS'!U73</f>
        <v>0</v>
      </c>
      <c r="T18" s="269">
        <f>-'Non-Federal DS'!V73</f>
        <v>0</v>
      </c>
      <c r="U18" s="269">
        <f>-'Non-Federal DS'!W73</f>
        <v>0</v>
      </c>
      <c r="V18" s="269">
        <f>-'Non-Federal DS'!X73</f>
        <v>0</v>
      </c>
      <c r="W18" s="269">
        <f>-'Non-Federal DS'!Y73</f>
        <v>0</v>
      </c>
      <c r="X18" s="269">
        <f>-'Non-Federal DS'!Z73</f>
        <v>0</v>
      </c>
      <c r="Y18" s="269">
        <f>-'Non-Federal DS'!AA73</f>
        <v>0</v>
      </c>
      <c r="Z18" s="269">
        <f>-'Non-Federal DS'!AB73</f>
        <v>0</v>
      </c>
    </row>
    <row r="19" spans="1:26" s="269" customFormat="1" ht="17.25">
      <c r="A19" s="269">
        <v>13</v>
      </c>
      <c r="B19" s="215" t="s">
        <v>718</v>
      </c>
      <c r="C19" s="270"/>
      <c r="D19" s="270"/>
      <c r="E19" s="270">
        <f>-'Federal DS'!E16+'Federal DS'!E6</f>
        <v>-24905.73560483774</v>
      </c>
      <c r="F19" s="270">
        <f>-'Federal DS'!F16+'Federal DS'!F6</f>
        <v>-26061.32622687918</v>
      </c>
      <c r="G19" s="270">
        <f>-'Federal DS'!G16+'Federal DS'!G6</f>
        <v>-27270.543875954016</v>
      </c>
      <c r="H19" s="270">
        <f>-'Federal DS'!H16+'Federal DS'!H6</f>
        <v>-28535.877603213306</v>
      </c>
      <c r="I19" s="270">
        <f>-'Federal DS'!I16+'Federal DS'!I6</f>
        <v>-29859.93200447159</v>
      </c>
      <c r="J19" s="270">
        <f>-'Federal DS'!J16+'Federal DS'!J6</f>
        <v>0</v>
      </c>
      <c r="K19" s="270">
        <f>-'Federal DS'!K16+'Federal DS'!K6</f>
        <v>0</v>
      </c>
      <c r="L19" s="270">
        <f>-'Federal DS'!L16+'Federal DS'!L6</f>
        <v>0</v>
      </c>
      <c r="M19" s="270">
        <f>-'Federal DS'!M16+'Federal DS'!M6</f>
        <v>0</v>
      </c>
      <c r="N19" s="270">
        <f>-'Federal DS'!N16+'Federal DS'!N6</f>
        <v>0</v>
      </c>
      <c r="O19" s="270">
        <f>-'Federal DS'!O16+'Federal DS'!O6</f>
        <v>0</v>
      </c>
      <c r="P19" s="270">
        <f>-'Federal DS'!P16+'Federal DS'!P6</f>
        <v>0</v>
      </c>
      <c r="Q19" s="270">
        <f>-'Federal DS'!Q16+'Federal DS'!Q6</f>
        <v>0</v>
      </c>
      <c r="R19" s="270">
        <f>-'Federal DS'!R16+'Federal DS'!R6</f>
        <v>0</v>
      </c>
      <c r="S19" s="270">
        <f>-'Federal DS'!S16+'Federal DS'!S6</f>
        <v>0</v>
      </c>
      <c r="T19" s="270">
        <f>-'Federal DS'!T16+'Federal DS'!T6</f>
        <v>0</v>
      </c>
      <c r="U19" s="270">
        <f>-'Federal DS'!U16+'Federal DS'!U6</f>
        <v>0</v>
      </c>
      <c r="V19" s="270">
        <f>-'Federal DS'!V16+'Federal DS'!V6</f>
        <v>0</v>
      </c>
      <c r="W19" s="270">
        <f>-'Federal DS'!W16+'Federal DS'!W6</f>
        <v>0</v>
      </c>
      <c r="X19" s="270">
        <f>-'Federal DS'!X16+'Federal DS'!X6</f>
        <v>0</v>
      </c>
      <c r="Y19" s="270">
        <f>-'Federal DS'!Y16+'Federal DS'!Y6</f>
        <v>0</v>
      </c>
      <c r="Z19" s="270">
        <f>-'Federal DS'!Z16+'Federal DS'!Z6</f>
        <v>0</v>
      </c>
    </row>
    <row r="20" spans="1:26" s="269" customFormat="1" ht="12.75">
      <c r="A20" s="269">
        <v>14</v>
      </c>
      <c r="B20" s="215" t="s">
        <v>714</v>
      </c>
      <c r="C20" s="269">
        <v>5188188</v>
      </c>
      <c r="D20" s="269">
        <v>5260609</v>
      </c>
      <c r="E20" s="269">
        <f aca="true" t="shared" si="4" ref="E20:Z20">SUM(E13:E19)</f>
        <v>5393023.007376413</v>
      </c>
      <c r="F20" s="269">
        <f t="shared" si="4"/>
        <v>5443827.942763471</v>
      </c>
      <c r="G20" s="269">
        <f t="shared" si="4"/>
        <v>5536668.9839382265</v>
      </c>
      <c r="H20" s="269">
        <f t="shared" si="4"/>
        <v>5561654.966742947</v>
      </c>
      <c r="I20" s="269">
        <f t="shared" si="4"/>
        <v>5668371.77166557</v>
      </c>
      <c r="J20" s="269">
        <f t="shared" si="4"/>
        <v>5770024.3972175345</v>
      </c>
      <c r="K20" s="269">
        <f t="shared" si="4"/>
        <v>5751353.939500949</v>
      </c>
      <c r="L20" s="269">
        <f t="shared" si="4"/>
        <v>5425238.731942922</v>
      </c>
      <c r="M20" s="269">
        <f t="shared" si="4"/>
        <v>5106832.43656069</v>
      </c>
      <c r="N20" s="269">
        <f t="shared" si="4"/>
        <v>4779284.527696225</v>
      </c>
      <c r="O20" s="269">
        <f t="shared" si="4"/>
        <v>4447229.420442987</v>
      </c>
      <c r="P20" s="269">
        <f t="shared" si="4"/>
        <v>4102823.209125199</v>
      </c>
      <c r="Q20" s="269">
        <f t="shared" si="4"/>
        <v>3741565.199529343</v>
      </c>
      <c r="R20" s="269">
        <f t="shared" si="4"/>
        <v>3383338.6406114544</v>
      </c>
      <c r="S20" s="269">
        <f t="shared" si="4"/>
        <v>2972397.637479992</v>
      </c>
      <c r="T20" s="269">
        <f t="shared" si="4"/>
        <v>2538538.172251728</v>
      </c>
      <c r="U20" s="269">
        <f t="shared" si="4"/>
        <v>2083336.8695665372</v>
      </c>
      <c r="V20" s="269">
        <f t="shared" si="4"/>
        <v>1601671.3355431969</v>
      </c>
      <c r="W20" s="269">
        <f t="shared" si="4"/>
        <v>1096347.116179521</v>
      </c>
      <c r="X20" s="269">
        <f t="shared" si="4"/>
        <v>586574.4651795209</v>
      </c>
      <c r="Y20" s="269">
        <f t="shared" si="4"/>
        <v>6244.364179520868</v>
      </c>
      <c r="Z20" s="269">
        <f t="shared" si="4"/>
        <v>-482792.3658204791</v>
      </c>
    </row>
    <row r="21" spans="1:2" s="269" customFormat="1" ht="12.75">
      <c r="A21" s="269">
        <v>15</v>
      </c>
      <c r="B21" s="215"/>
    </row>
    <row r="22" spans="1:26" s="269" customFormat="1" ht="15.75">
      <c r="A22" s="269">
        <v>16</v>
      </c>
      <c r="B22" s="217" t="s">
        <v>737</v>
      </c>
      <c r="C22" s="269">
        <f aca="true" t="shared" si="5" ref="C22:Z22">+C20+C11</f>
        <v>9016234</v>
      </c>
      <c r="D22" s="269">
        <f t="shared" si="5"/>
        <v>8826246</v>
      </c>
      <c r="E22" s="269">
        <f t="shared" si="5"/>
        <v>8613028.507458512</v>
      </c>
      <c r="F22" s="269">
        <f t="shared" si="5"/>
        <v>8485535.780843211</v>
      </c>
      <c r="G22" s="269">
        <f t="shared" si="5"/>
        <v>8419738.112329967</v>
      </c>
      <c r="H22" s="269">
        <f t="shared" si="5"/>
        <v>8287531.375457482</v>
      </c>
      <c r="I22" s="269">
        <f t="shared" si="5"/>
        <v>8234671.968802106</v>
      </c>
      <c r="J22" s="269">
        <f t="shared" si="5"/>
        <v>7994938.55610407</v>
      </c>
      <c r="K22" s="269">
        <f t="shared" si="5"/>
        <v>7773036.934385372</v>
      </c>
      <c r="L22" s="269">
        <f t="shared" si="5"/>
        <v>7486844.4371452015</v>
      </c>
      <c r="M22" s="269">
        <f t="shared" si="5"/>
        <v>7328628.789624917</v>
      </c>
      <c r="N22" s="269">
        <f t="shared" si="5"/>
        <v>7176938.190744052</v>
      </c>
      <c r="O22" s="269">
        <f t="shared" si="5"/>
        <v>6982033.048261174</v>
      </c>
      <c r="P22" s="269">
        <f t="shared" si="5"/>
        <v>6767565.949357953</v>
      </c>
      <c r="Q22" s="269">
        <f t="shared" si="5"/>
        <v>6539588.828850709</v>
      </c>
      <c r="R22" s="269">
        <f t="shared" si="5"/>
        <v>6331669.284306049</v>
      </c>
      <c r="S22" s="269">
        <f t="shared" si="5"/>
        <v>6052709.388383757</v>
      </c>
      <c r="T22" s="269">
        <f t="shared" si="5"/>
        <v>5732917.27544488</v>
      </c>
      <c r="U22" s="269">
        <f t="shared" si="5"/>
        <v>5402248.662820706</v>
      </c>
      <c r="V22" s="269">
        <f t="shared" si="5"/>
        <v>5027446.061825346</v>
      </c>
      <c r="W22" s="269">
        <f t="shared" si="5"/>
        <v>4698838.560960289</v>
      </c>
      <c r="X22" s="269">
        <f t="shared" si="5"/>
        <v>4292765.183729372</v>
      </c>
      <c r="Y22" s="269">
        <f t="shared" si="5"/>
        <v>3821320.5830393005</v>
      </c>
      <c r="Z22" s="269">
        <f t="shared" si="5"/>
        <v>3439268.8271680665</v>
      </c>
    </row>
    <row r="23" spans="1:17" ht="12.75">
      <c r="A23" s="269">
        <v>17</v>
      </c>
      <c r="C23" s="267"/>
      <c r="D23" s="267"/>
      <c r="E23" s="267"/>
      <c r="F23" s="267"/>
      <c r="G23" s="267"/>
      <c r="H23" s="267"/>
      <c r="I23" s="267"/>
      <c r="J23" s="267"/>
      <c r="K23" s="267"/>
      <c r="L23" s="267"/>
      <c r="M23" s="267"/>
      <c r="N23" s="267"/>
      <c r="O23" s="267"/>
      <c r="P23" s="267"/>
      <c r="Q23" s="267"/>
    </row>
    <row r="24" spans="1:17" ht="15.75">
      <c r="A24" s="269">
        <v>18</v>
      </c>
      <c r="B24" s="406" t="s">
        <v>698</v>
      </c>
      <c r="C24" s="267"/>
      <c r="D24" s="267"/>
      <c r="E24" s="267"/>
      <c r="F24" s="267"/>
      <c r="G24" s="267"/>
      <c r="H24" s="267"/>
      <c r="I24" s="267"/>
      <c r="J24" s="267"/>
      <c r="K24" s="267"/>
      <c r="L24" s="267"/>
      <c r="M24" s="267"/>
      <c r="N24" s="267"/>
      <c r="O24" s="267"/>
      <c r="P24" s="267"/>
      <c r="Q24" s="267"/>
    </row>
    <row r="25" spans="1:26" s="269" customFormat="1" ht="12.75">
      <c r="A25" s="269">
        <v>19</v>
      </c>
      <c r="B25" s="215" t="s">
        <v>733</v>
      </c>
      <c r="C25" s="269">
        <v>10006845</v>
      </c>
      <c r="D25" s="269">
        <v>10216364</v>
      </c>
      <c r="E25" s="269">
        <f>+D28-204000</f>
        <v>10012364</v>
      </c>
      <c r="F25" s="269">
        <f aca="true" t="shared" si="6" ref="F25:Z25">+E28</f>
        <v>10269064.242469141</v>
      </c>
      <c r="G25" s="269">
        <f t="shared" si="6"/>
        <v>10531970.904690642</v>
      </c>
      <c r="H25" s="269">
        <f t="shared" si="6"/>
        <v>10838750.45998494</v>
      </c>
      <c r="I25" s="269">
        <f t="shared" si="6"/>
        <v>11106709.79520644</v>
      </c>
      <c r="J25" s="269">
        <f t="shared" si="6"/>
        <v>11380644.459427942</v>
      </c>
      <c r="K25" s="269">
        <f t="shared" si="6"/>
        <v>11656912.599649442</v>
      </c>
      <c r="L25" s="269">
        <f t="shared" si="6"/>
        <v>12193041.329135893</v>
      </c>
      <c r="M25" s="269">
        <f t="shared" si="6"/>
        <v>12502976.969357394</v>
      </c>
      <c r="N25" s="269">
        <f t="shared" si="6"/>
        <v>12845739.705890995</v>
      </c>
      <c r="O25" s="269">
        <f t="shared" si="6"/>
        <v>13167995.471112495</v>
      </c>
      <c r="P25" s="269">
        <f t="shared" si="6"/>
        <v>13498251.236333996</v>
      </c>
      <c r="Q25" s="269">
        <f t="shared" si="6"/>
        <v>13835507.001555497</v>
      </c>
      <c r="R25" s="269">
        <f t="shared" si="6"/>
        <v>14180762.766776998</v>
      </c>
      <c r="S25" s="269">
        <f t="shared" si="6"/>
        <v>14533018.531998498</v>
      </c>
      <c r="T25" s="269">
        <f t="shared" si="6"/>
        <v>14894274.29722</v>
      </c>
      <c r="U25" s="269">
        <f t="shared" si="6"/>
        <v>15263530.0624415</v>
      </c>
      <c r="V25" s="269">
        <f t="shared" si="6"/>
        <v>15640785.827663</v>
      </c>
      <c r="W25" s="269">
        <f t="shared" si="6"/>
        <v>16025041.592884501</v>
      </c>
      <c r="X25" s="269">
        <f t="shared" si="6"/>
        <v>16419297.358106002</v>
      </c>
      <c r="Y25" s="269">
        <f t="shared" si="6"/>
        <v>16822553.1233275</v>
      </c>
      <c r="Z25" s="269">
        <f t="shared" si="6"/>
        <v>17234808.888549</v>
      </c>
    </row>
    <row r="26" spans="1:26" s="269" customFormat="1" ht="12.75">
      <c r="A26" s="269">
        <v>20</v>
      </c>
      <c r="B26" s="215" t="s">
        <v>693</v>
      </c>
      <c r="E26" s="269">
        <f>+'Fed Projections'!E11</f>
        <v>274444.47724764</v>
      </c>
      <c r="F26" s="269">
        <f>+'Fed Projections'!F11</f>
        <v>280650.897</v>
      </c>
      <c r="G26" s="269">
        <f>+'Fed Projections'!G11</f>
        <v>324523.790072796</v>
      </c>
      <c r="H26" s="269">
        <f>+'Fed Projections'!H11</f>
        <v>285703.57</v>
      </c>
      <c r="I26" s="269">
        <f>+'Fed Projections'!I11</f>
        <v>291678.899</v>
      </c>
      <c r="J26" s="269">
        <f>+'Fed Projections'!J11</f>
        <v>294012.375</v>
      </c>
      <c r="K26" s="269">
        <f>+'Fed Projections'!K11</f>
        <v>553872.96426495</v>
      </c>
      <c r="L26" s="269">
        <f>+'Fed Projections'!L11</f>
        <v>327679.875</v>
      </c>
      <c r="M26" s="269">
        <f>+'Fed Projections'!M11</f>
        <v>360506.9713121</v>
      </c>
      <c r="N26" s="269">
        <f>+'Fed Projections'!N11</f>
        <v>340000</v>
      </c>
      <c r="O26" s="269">
        <f>+'Fed Projections'!O11</f>
        <v>348000</v>
      </c>
      <c r="P26" s="269">
        <f>+'Fed Projections'!P11</f>
        <v>355000</v>
      </c>
      <c r="Q26" s="269">
        <f>+'Fed Projections'!Q11</f>
        <v>363000</v>
      </c>
      <c r="R26" s="269">
        <f>+'Fed Projections'!R11</f>
        <v>370000</v>
      </c>
      <c r="S26" s="269">
        <f>+'Fed Projections'!S11</f>
        <v>379000</v>
      </c>
      <c r="T26" s="269">
        <f>+'Fed Projections'!T11</f>
        <v>387000</v>
      </c>
      <c r="U26" s="269">
        <f>+'Fed Projections'!U11</f>
        <v>395000</v>
      </c>
      <c r="V26" s="269">
        <f>+'Fed Projections'!V11</f>
        <v>402000</v>
      </c>
      <c r="W26" s="269">
        <f>+'Fed Projections'!W11</f>
        <v>412000</v>
      </c>
      <c r="X26" s="269">
        <f>+'Fed Projections'!X11</f>
        <v>421000</v>
      </c>
      <c r="Y26" s="269">
        <f>+'Fed Projections'!Y11</f>
        <v>430000</v>
      </c>
      <c r="Z26" s="269">
        <f>+'Fed Projections'!Z11</f>
        <v>0</v>
      </c>
    </row>
    <row r="27" spans="1:26" s="269" customFormat="1" ht="17.25">
      <c r="A27" s="269">
        <v>21</v>
      </c>
      <c r="B27" s="215" t="s">
        <v>802</v>
      </c>
      <c r="C27" s="407"/>
      <c r="D27" s="407"/>
      <c r="E27" s="407">
        <v>-17744.2347785</v>
      </c>
      <c r="F27" s="270">
        <f>+E27</f>
        <v>-17744.2347785</v>
      </c>
      <c r="G27" s="270">
        <f aca="true" t="shared" si="7" ref="G27:Z27">+F27</f>
        <v>-17744.2347785</v>
      </c>
      <c r="H27" s="270">
        <f t="shared" si="7"/>
        <v>-17744.2347785</v>
      </c>
      <c r="I27" s="270">
        <f t="shared" si="7"/>
        <v>-17744.2347785</v>
      </c>
      <c r="J27" s="270">
        <f t="shared" si="7"/>
        <v>-17744.2347785</v>
      </c>
      <c r="K27" s="270">
        <f t="shared" si="7"/>
        <v>-17744.2347785</v>
      </c>
      <c r="L27" s="270">
        <f t="shared" si="7"/>
        <v>-17744.2347785</v>
      </c>
      <c r="M27" s="270">
        <f t="shared" si="7"/>
        <v>-17744.2347785</v>
      </c>
      <c r="N27" s="270">
        <f t="shared" si="7"/>
        <v>-17744.2347785</v>
      </c>
      <c r="O27" s="270">
        <f t="shared" si="7"/>
        <v>-17744.2347785</v>
      </c>
      <c r="P27" s="270">
        <f t="shared" si="7"/>
        <v>-17744.2347785</v>
      </c>
      <c r="Q27" s="270">
        <f t="shared" si="7"/>
        <v>-17744.2347785</v>
      </c>
      <c r="R27" s="270">
        <f t="shared" si="7"/>
        <v>-17744.2347785</v>
      </c>
      <c r="S27" s="270">
        <f t="shared" si="7"/>
        <v>-17744.2347785</v>
      </c>
      <c r="T27" s="270">
        <f t="shared" si="7"/>
        <v>-17744.2347785</v>
      </c>
      <c r="U27" s="270">
        <f t="shared" si="7"/>
        <v>-17744.2347785</v>
      </c>
      <c r="V27" s="270">
        <f t="shared" si="7"/>
        <v>-17744.2347785</v>
      </c>
      <c r="W27" s="270">
        <f t="shared" si="7"/>
        <v>-17744.2347785</v>
      </c>
      <c r="X27" s="270">
        <f t="shared" si="7"/>
        <v>-17744.2347785</v>
      </c>
      <c r="Y27" s="270">
        <f t="shared" si="7"/>
        <v>-17744.2347785</v>
      </c>
      <c r="Z27" s="270">
        <f t="shared" si="7"/>
        <v>-17744.2347785</v>
      </c>
    </row>
    <row r="28" spans="1:26" s="269" customFormat="1" ht="12.75">
      <c r="A28" s="269">
        <v>22</v>
      </c>
      <c r="B28" s="215" t="s">
        <v>734</v>
      </c>
      <c r="C28" s="269">
        <f aca="true" t="shared" si="8" ref="C28:Z28">SUM(C25:C27)</f>
        <v>10006845</v>
      </c>
      <c r="D28" s="269">
        <f t="shared" si="8"/>
        <v>10216364</v>
      </c>
      <c r="E28" s="269">
        <f>SUM(E25:E27)</f>
        <v>10269064.242469141</v>
      </c>
      <c r="F28" s="269">
        <f t="shared" si="8"/>
        <v>10531970.904690642</v>
      </c>
      <c r="G28" s="269">
        <f t="shared" si="8"/>
        <v>10838750.45998494</v>
      </c>
      <c r="H28" s="269">
        <f t="shared" si="8"/>
        <v>11106709.79520644</v>
      </c>
      <c r="I28" s="269">
        <f t="shared" si="8"/>
        <v>11380644.459427942</v>
      </c>
      <c r="J28" s="269">
        <f t="shared" si="8"/>
        <v>11656912.599649442</v>
      </c>
      <c r="K28" s="269">
        <f t="shared" si="8"/>
        <v>12193041.329135893</v>
      </c>
      <c r="L28" s="269">
        <f t="shared" si="8"/>
        <v>12502976.969357394</v>
      </c>
      <c r="M28" s="269">
        <f t="shared" si="8"/>
        <v>12845739.705890995</v>
      </c>
      <c r="N28" s="269">
        <f t="shared" si="8"/>
        <v>13167995.471112495</v>
      </c>
      <c r="O28" s="269">
        <f t="shared" si="8"/>
        <v>13498251.236333996</v>
      </c>
      <c r="P28" s="269">
        <f t="shared" si="8"/>
        <v>13835507.001555497</v>
      </c>
      <c r="Q28" s="269">
        <f t="shared" si="8"/>
        <v>14180762.766776998</v>
      </c>
      <c r="R28" s="269">
        <f t="shared" si="8"/>
        <v>14533018.531998498</v>
      </c>
      <c r="S28" s="269">
        <f t="shared" si="8"/>
        <v>14894274.29722</v>
      </c>
      <c r="T28" s="269">
        <f t="shared" si="8"/>
        <v>15263530.0624415</v>
      </c>
      <c r="U28" s="269">
        <f t="shared" si="8"/>
        <v>15640785.827663</v>
      </c>
      <c r="V28" s="269">
        <f t="shared" si="8"/>
        <v>16025041.592884501</v>
      </c>
      <c r="W28" s="269">
        <f t="shared" si="8"/>
        <v>16419297.358106002</v>
      </c>
      <c r="X28" s="269">
        <f t="shared" si="8"/>
        <v>16822553.1233275</v>
      </c>
      <c r="Y28" s="269">
        <f t="shared" si="8"/>
        <v>17234808.888549</v>
      </c>
      <c r="Z28" s="269">
        <f t="shared" si="8"/>
        <v>17217064.6537705</v>
      </c>
    </row>
    <row r="29" spans="1:2" s="269" customFormat="1" ht="12.75">
      <c r="A29" s="269">
        <v>23</v>
      </c>
      <c r="B29" s="215"/>
    </row>
    <row r="30" spans="1:26" s="269" customFormat="1" ht="12.75">
      <c r="A30" s="269">
        <v>24</v>
      </c>
      <c r="B30" s="215" t="s">
        <v>716</v>
      </c>
      <c r="C30" s="269">
        <v>-3900433</v>
      </c>
      <c r="D30" s="269">
        <v>-4027482</v>
      </c>
      <c r="E30" s="269">
        <f>+D33+80000</f>
        <v>-3947482</v>
      </c>
      <c r="F30" s="269">
        <f aca="true" t="shared" si="9" ref="F30:Z30">+E33</f>
        <v>-4074366.7513281666</v>
      </c>
      <c r="G30" s="269">
        <f t="shared" si="9"/>
        <v>-4205908.502656333</v>
      </c>
      <c r="H30" s="269">
        <f t="shared" si="9"/>
        <v>-4342318.2539845</v>
      </c>
      <c r="I30" s="269">
        <f t="shared" si="9"/>
        <v>-4482681.005312666</v>
      </c>
      <c r="J30" s="269">
        <f t="shared" si="9"/>
        <v>-4627116.756640833</v>
      </c>
      <c r="K30" s="269">
        <f t="shared" si="9"/>
        <v>-4775705.507968999</v>
      </c>
      <c r="L30" s="269">
        <f t="shared" si="9"/>
        <v>-4928020.170312354</v>
      </c>
      <c r="M30" s="269">
        <f t="shared" si="9"/>
        <v>-5084205.401171852</v>
      </c>
      <c r="N30" s="269">
        <f t="shared" si="9"/>
        <v>-5244392.256389037</v>
      </c>
      <c r="O30" s="269">
        <f t="shared" si="9"/>
        <v>-5408688.254370835</v>
      </c>
      <c r="P30" s="269">
        <f t="shared" si="9"/>
        <v>-5577194.442107823</v>
      </c>
      <c r="Q30" s="269">
        <f t="shared" si="9"/>
        <v>-5750014.463037888</v>
      </c>
      <c r="R30" s="269">
        <f t="shared" si="9"/>
        <v>-5927254.626808763</v>
      </c>
      <c r="S30" s="269">
        <f t="shared" si="9"/>
        <v>-6109023.980994497</v>
      </c>
      <c r="T30" s="269">
        <f t="shared" si="9"/>
        <v>-6295434.3848225875</v>
      </c>
      <c r="U30" s="269">
        <f t="shared" si="9"/>
        <v>-6486600.58497016</v>
      </c>
      <c r="V30" s="269">
        <f t="shared" si="9"/>
        <v>-6682640.2934893705</v>
      </c>
      <c r="W30" s="269">
        <f t="shared" si="9"/>
        <v>-6883674.267923961</v>
      </c>
      <c r="X30" s="269">
        <f t="shared" si="9"/>
        <v>-7089826.39368079</v>
      </c>
      <c r="Y30" s="269">
        <f t="shared" si="9"/>
        <v>-7301223.768722033</v>
      </c>
      <c r="Z30" s="269">
        <f t="shared" si="9"/>
        <v>-7517996.790645754</v>
      </c>
    </row>
    <row r="31" spans="1:26" s="269" customFormat="1" ht="12.75">
      <c r="A31" s="269">
        <v>25</v>
      </c>
      <c r="B31" s="215" t="s">
        <v>695</v>
      </c>
      <c r="E31" s="269">
        <f>-Depreciation!F8</f>
        <v>-143600.21333333332</v>
      </c>
      <c r="F31" s="269">
        <f>-Depreciation!G8</f>
        <v>-148257.21333333332</v>
      </c>
      <c r="G31" s="269">
        <f>-Depreciation!H8</f>
        <v>-153125.21333333332</v>
      </c>
      <c r="H31" s="269">
        <f>-Depreciation!I8</f>
        <v>-157078.21333333332</v>
      </c>
      <c r="I31" s="269">
        <f>-Depreciation!J8</f>
        <v>-161151.21333333332</v>
      </c>
      <c r="J31" s="269">
        <f>-Depreciation!K8</f>
        <v>-165304.21333333332</v>
      </c>
      <c r="K31" s="269">
        <f>-Depreciation!L8</f>
        <v>-169030.12434852103</v>
      </c>
      <c r="L31" s="269">
        <f>-Depreciation!M8</f>
        <v>-172900.6928646643</v>
      </c>
      <c r="M31" s="269">
        <f>-Depreciation!N8</f>
        <v>-176902.31722235103</v>
      </c>
      <c r="N31" s="269">
        <f>-Depreciation!O8</f>
        <v>-181011.45998696465</v>
      </c>
      <c r="O31" s="269">
        <f>-Depreciation!P8</f>
        <v>-185221.64974215438</v>
      </c>
      <c r="P31" s="269">
        <f>-Depreciation!Q8</f>
        <v>-189535.48293523164</v>
      </c>
      <c r="Q31" s="269">
        <f>-Depreciation!R8</f>
        <v>-193955.6257760412</v>
      </c>
      <c r="R31" s="269">
        <f>-Depreciation!S8</f>
        <v>-198484.8161909013</v>
      </c>
      <c r="S31" s="269">
        <f>-Depreciation!T8</f>
        <v>-203125.8658332568</v>
      </c>
      <c r="T31" s="269">
        <f>-Depreciation!U8</f>
        <v>-207881.66215273886</v>
      </c>
      <c r="U31" s="269">
        <f>-Depreciation!V8</f>
        <v>-212755.17052437615</v>
      </c>
      <c r="V31" s="269">
        <f>-Depreciation!W8</f>
        <v>-217749.43643975703</v>
      </c>
      <c r="W31" s="269">
        <f>-Depreciation!X8</f>
        <v>-222867.5877619951</v>
      </c>
      <c r="X31" s="269">
        <f>-Depreciation!Y8</f>
        <v>-228112.8370464093</v>
      </c>
      <c r="Y31" s="269">
        <f>-Depreciation!Z8</f>
        <v>-233488.48392888682</v>
      </c>
      <c r="Z31" s="269">
        <f>-Depreciation!AA8</f>
        <v>0</v>
      </c>
    </row>
    <row r="32" spans="1:26" s="269" customFormat="1" ht="17.25">
      <c r="A32" s="269">
        <v>26</v>
      </c>
      <c r="B32" s="215" t="s">
        <v>623</v>
      </c>
      <c r="C32" s="407"/>
      <c r="D32" s="407"/>
      <c r="E32" s="407">
        <v>16715.462005166664</v>
      </c>
      <c r="F32" s="270">
        <f aca="true" t="shared" si="10" ref="F32:Z32">+E32</f>
        <v>16715.462005166664</v>
      </c>
      <c r="G32" s="270">
        <f t="shared" si="10"/>
        <v>16715.462005166664</v>
      </c>
      <c r="H32" s="270">
        <f t="shared" si="10"/>
        <v>16715.462005166664</v>
      </c>
      <c r="I32" s="270">
        <f t="shared" si="10"/>
        <v>16715.462005166664</v>
      </c>
      <c r="J32" s="270">
        <f t="shared" si="10"/>
        <v>16715.462005166664</v>
      </c>
      <c r="K32" s="270">
        <f t="shared" si="10"/>
        <v>16715.462005166664</v>
      </c>
      <c r="L32" s="270">
        <f t="shared" si="10"/>
        <v>16715.462005166664</v>
      </c>
      <c r="M32" s="270">
        <f t="shared" si="10"/>
        <v>16715.462005166664</v>
      </c>
      <c r="N32" s="270">
        <f t="shared" si="10"/>
        <v>16715.462005166664</v>
      </c>
      <c r="O32" s="270">
        <f t="shared" si="10"/>
        <v>16715.462005166664</v>
      </c>
      <c r="P32" s="270">
        <f t="shared" si="10"/>
        <v>16715.462005166664</v>
      </c>
      <c r="Q32" s="270">
        <f t="shared" si="10"/>
        <v>16715.462005166664</v>
      </c>
      <c r="R32" s="270">
        <f t="shared" si="10"/>
        <v>16715.462005166664</v>
      </c>
      <c r="S32" s="270">
        <f t="shared" si="10"/>
        <v>16715.462005166664</v>
      </c>
      <c r="T32" s="270">
        <f t="shared" si="10"/>
        <v>16715.462005166664</v>
      </c>
      <c r="U32" s="270">
        <f t="shared" si="10"/>
        <v>16715.462005166664</v>
      </c>
      <c r="V32" s="270">
        <f t="shared" si="10"/>
        <v>16715.462005166664</v>
      </c>
      <c r="W32" s="270">
        <f t="shared" si="10"/>
        <v>16715.462005166664</v>
      </c>
      <c r="X32" s="270">
        <f t="shared" si="10"/>
        <v>16715.462005166664</v>
      </c>
      <c r="Y32" s="270">
        <f t="shared" si="10"/>
        <v>16715.462005166664</v>
      </c>
      <c r="Z32" s="270">
        <f t="shared" si="10"/>
        <v>16715.462005166664</v>
      </c>
    </row>
    <row r="33" spans="1:26" s="269" customFormat="1" ht="12.75">
      <c r="A33" s="269">
        <v>27</v>
      </c>
      <c r="B33" s="215" t="s">
        <v>715</v>
      </c>
      <c r="C33" s="269">
        <f aca="true" t="shared" si="11" ref="C33:Z33">SUM(C30:C32)</f>
        <v>-3900433</v>
      </c>
      <c r="D33" s="269">
        <f t="shared" si="11"/>
        <v>-4027482</v>
      </c>
      <c r="E33" s="269">
        <f t="shared" si="11"/>
        <v>-4074366.7513281666</v>
      </c>
      <c r="F33" s="269">
        <f t="shared" si="11"/>
        <v>-4205908.502656333</v>
      </c>
      <c r="G33" s="269">
        <f t="shared" si="11"/>
        <v>-4342318.2539845</v>
      </c>
      <c r="H33" s="269">
        <f t="shared" si="11"/>
        <v>-4482681.005312666</v>
      </c>
      <c r="I33" s="269">
        <f t="shared" si="11"/>
        <v>-4627116.756640833</v>
      </c>
      <c r="J33" s="269">
        <f t="shared" si="11"/>
        <v>-4775705.507968999</v>
      </c>
      <c r="K33" s="269">
        <f t="shared" si="11"/>
        <v>-4928020.170312354</v>
      </c>
      <c r="L33" s="269">
        <f t="shared" si="11"/>
        <v>-5084205.401171852</v>
      </c>
      <c r="M33" s="269">
        <f t="shared" si="11"/>
        <v>-5244392.256389037</v>
      </c>
      <c r="N33" s="269">
        <f t="shared" si="11"/>
        <v>-5408688.254370835</v>
      </c>
      <c r="O33" s="269">
        <f t="shared" si="11"/>
        <v>-5577194.442107823</v>
      </c>
      <c r="P33" s="269">
        <f t="shared" si="11"/>
        <v>-5750014.463037888</v>
      </c>
      <c r="Q33" s="269">
        <f t="shared" si="11"/>
        <v>-5927254.626808763</v>
      </c>
      <c r="R33" s="269">
        <f t="shared" si="11"/>
        <v>-6109023.980994497</v>
      </c>
      <c r="S33" s="269">
        <f t="shared" si="11"/>
        <v>-6295434.3848225875</v>
      </c>
      <c r="T33" s="269">
        <f t="shared" si="11"/>
        <v>-6486600.58497016</v>
      </c>
      <c r="U33" s="269">
        <f t="shared" si="11"/>
        <v>-6682640.2934893705</v>
      </c>
      <c r="V33" s="269">
        <f t="shared" si="11"/>
        <v>-6883674.267923961</v>
      </c>
      <c r="W33" s="269">
        <f t="shared" si="11"/>
        <v>-7089826.39368079</v>
      </c>
      <c r="X33" s="269">
        <f t="shared" si="11"/>
        <v>-7301223.768722033</v>
      </c>
      <c r="Y33" s="269">
        <f t="shared" si="11"/>
        <v>-7517996.790645754</v>
      </c>
      <c r="Z33" s="269">
        <f t="shared" si="11"/>
        <v>-7501281.328640588</v>
      </c>
    </row>
    <row r="34" spans="1:2" s="269" customFormat="1" ht="12.75">
      <c r="A34" s="269">
        <v>28</v>
      </c>
      <c r="B34" s="215"/>
    </row>
    <row r="35" spans="1:26" s="269" customFormat="1" ht="12.75">
      <c r="A35" s="269">
        <v>29</v>
      </c>
      <c r="B35" s="215" t="s">
        <v>735</v>
      </c>
      <c r="C35" s="269">
        <v>3527742</v>
      </c>
      <c r="D35" s="269">
        <v>3404609</v>
      </c>
      <c r="E35" s="269">
        <f aca="true" t="shared" si="12" ref="E35:Z35">+D37</f>
        <v>3404609</v>
      </c>
      <c r="F35" s="269">
        <f>+E37</f>
        <v>3588768.74298125</v>
      </c>
      <c r="G35" s="269">
        <f t="shared" si="12"/>
        <v>3692915.0045951875</v>
      </c>
      <c r="H35" s="269">
        <f t="shared" si="12"/>
        <v>3819126.589645897</v>
      </c>
      <c r="I35" s="269">
        <f t="shared" si="12"/>
        <v>3895543.450053831</v>
      </c>
      <c r="J35" s="269">
        <f t="shared" si="12"/>
        <v>4033785.1869809255</v>
      </c>
      <c r="K35" s="269">
        <f t="shared" si="12"/>
        <v>4143052.8125328897</v>
      </c>
      <c r="L35" s="269">
        <f t="shared" si="12"/>
        <v>4360730.807816304</v>
      </c>
      <c r="M35" s="269">
        <f t="shared" si="12"/>
        <v>4461726.105258277</v>
      </c>
      <c r="N35" s="269">
        <f t="shared" si="12"/>
        <v>4605020.202876045</v>
      </c>
      <c r="O35" s="269">
        <f t="shared" si="12"/>
        <v>4720637.31601158</v>
      </c>
      <c r="P35" s="269">
        <f t="shared" si="12"/>
        <v>4840670.524758342</v>
      </c>
      <c r="Q35" s="269">
        <f t="shared" si="12"/>
        <v>4956372.1694405535</v>
      </c>
      <c r="R35" s="269">
        <f t="shared" si="12"/>
        <v>5064117.253844697</v>
      </c>
      <c r="S35" s="269">
        <f t="shared" si="12"/>
        <v>5184985.840926809</v>
      </c>
      <c r="T35" s="269">
        <f t="shared" si="12"/>
        <v>5263418.944795347</v>
      </c>
      <c r="U35" s="269">
        <f t="shared" si="12"/>
        <v>5328056.6495670825</v>
      </c>
      <c r="V35" s="269">
        <f t="shared" si="12"/>
        <v>5380665.918881891</v>
      </c>
      <c r="W35" s="269">
        <f t="shared" si="12"/>
        <v>5416979.490858551</v>
      </c>
      <c r="X35" s="269">
        <f t="shared" si="12"/>
        <v>5440474.096494875</v>
      </c>
      <c r="Y35" s="269">
        <f t="shared" si="12"/>
        <v>5470474.096494875</v>
      </c>
      <c r="Z35" s="269">
        <f t="shared" si="12"/>
        <v>5470474.096494875</v>
      </c>
    </row>
    <row r="36" spans="1:26" s="269" customFormat="1" ht="17.25">
      <c r="A36" s="269">
        <v>30</v>
      </c>
      <c r="B36" s="215" t="s">
        <v>694</v>
      </c>
      <c r="C36" s="270"/>
      <c r="D36" s="270"/>
      <c r="E36" s="270">
        <f>+'Non-Federal DS'!G81</f>
        <v>184159.74298125002</v>
      </c>
      <c r="F36" s="270">
        <f>+'Non-Federal DS'!H81</f>
        <v>104146.26161393752</v>
      </c>
      <c r="G36" s="270">
        <f>+'Non-Federal DS'!I81</f>
        <v>126211.58505070956</v>
      </c>
      <c r="H36" s="270">
        <f>+'Non-Federal DS'!J81</f>
        <v>76416.86040793396</v>
      </c>
      <c r="I36" s="270">
        <f>+'Non-Federal DS'!K81</f>
        <v>138241.73692709455</v>
      </c>
      <c r="J36" s="270">
        <f>+'Non-Federal DS'!L81</f>
        <v>109267.62555196433</v>
      </c>
      <c r="K36" s="270">
        <f>+'Non-Federal DS'!M81</f>
        <v>217677.99528341452</v>
      </c>
      <c r="L36" s="270">
        <f>+'Non-Federal DS'!N81</f>
        <v>100995.29744197267</v>
      </c>
      <c r="M36" s="270">
        <f>+'Non-Federal DS'!O81</f>
        <v>143294.0976177689</v>
      </c>
      <c r="N36" s="270">
        <f>+'Non-Federal DS'!P81</f>
        <v>115617.11313553447</v>
      </c>
      <c r="O36" s="270">
        <f>+'Non-Federal DS'!Q81</f>
        <v>120033.20874676167</v>
      </c>
      <c r="P36" s="270">
        <f>+'Non-Federal DS'!R81</f>
        <v>115701.64468221212</v>
      </c>
      <c r="Q36" s="270">
        <f>+'Non-Federal DS'!S81</f>
        <v>107745.08440414396</v>
      </c>
      <c r="R36" s="270">
        <f>+'Non-Federal DS'!T81</f>
        <v>120868.58708211192</v>
      </c>
      <c r="S36" s="270">
        <f>+'Non-Federal DS'!U81</f>
        <v>78433.10386853748</v>
      </c>
      <c r="T36" s="270">
        <f>+'Non-Federal DS'!V81</f>
        <v>64637.70477173561</v>
      </c>
      <c r="U36" s="270">
        <f>+'Non-Federal DS'!W81</f>
        <v>52609.26931480906</v>
      </c>
      <c r="V36" s="270">
        <f>+'Non-Federal DS'!X81</f>
        <v>36313.571976659776</v>
      </c>
      <c r="W36" s="270">
        <f>+'Non-Federal DS'!Y81</f>
        <v>23494.605636323937</v>
      </c>
      <c r="X36" s="270">
        <f>+'Non-Federal DS'!Z81</f>
        <v>30000</v>
      </c>
      <c r="Y36" s="270">
        <f>+'Non-Federal DS'!AA81</f>
        <v>0</v>
      </c>
      <c r="Z36" s="270"/>
    </row>
    <row r="37" spans="1:26" s="269" customFormat="1" ht="12.75">
      <c r="A37" s="269">
        <v>31</v>
      </c>
      <c r="B37" s="215" t="s">
        <v>866</v>
      </c>
      <c r="C37" s="269">
        <f aca="true" t="shared" si="13" ref="C37:Z37">SUM(C35:C36)</f>
        <v>3527742</v>
      </c>
      <c r="D37" s="269">
        <f t="shared" si="13"/>
        <v>3404609</v>
      </c>
      <c r="E37" s="269">
        <f t="shared" si="13"/>
        <v>3588768.74298125</v>
      </c>
      <c r="F37" s="269">
        <f t="shared" si="13"/>
        <v>3692915.0045951875</v>
      </c>
      <c r="G37" s="269">
        <f t="shared" si="13"/>
        <v>3819126.589645897</v>
      </c>
      <c r="H37" s="269">
        <f t="shared" si="13"/>
        <v>3895543.450053831</v>
      </c>
      <c r="I37" s="269">
        <f t="shared" si="13"/>
        <v>4033785.1869809255</v>
      </c>
      <c r="J37" s="269">
        <f t="shared" si="13"/>
        <v>4143052.8125328897</v>
      </c>
      <c r="K37" s="269">
        <f t="shared" si="13"/>
        <v>4360730.807816304</v>
      </c>
      <c r="L37" s="269">
        <f t="shared" si="13"/>
        <v>4461726.105258277</v>
      </c>
      <c r="M37" s="269">
        <f t="shared" si="13"/>
        <v>4605020.202876045</v>
      </c>
      <c r="N37" s="269">
        <f t="shared" si="13"/>
        <v>4720637.31601158</v>
      </c>
      <c r="O37" s="269">
        <f t="shared" si="13"/>
        <v>4840670.524758342</v>
      </c>
      <c r="P37" s="269">
        <f t="shared" si="13"/>
        <v>4956372.1694405535</v>
      </c>
      <c r="Q37" s="269">
        <f t="shared" si="13"/>
        <v>5064117.253844697</v>
      </c>
      <c r="R37" s="269">
        <f t="shared" si="13"/>
        <v>5184985.840926809</v>
      </c>
      <c r="S37" s="269">
        <f t="shared" si="13"/>
        <v>5263418.944795347</v>
      </c>
      <c r="T37" s="269">
        <f t="shared" si="13"/>
        <v>5328056.6495670825</v>
      </c>
      <c r="U37" s="269">
        <f t="shared" si="13"/>
        <v>5380665.918881891</v>
      </c>
      <c r="V37" s="269">
        <f t="shared" si="13"/>
        <v>5416979.490858551</v>
      </c>
      <c r="W37" s="269">
        <f t="shared" si="13"/>
        <v>5440474.096494875</v>
      </c>
      <c r="X37" s="269">
        <f t="shared" si="13"/>
        <v>5470474.096494875</v>
      </c>
      <c r="Y37" s="269">
        <f t="shared" si="13"/>
        <v>5470474.096494875</v>
      </c>
      <c r="Z37" s="269">
        <f t="shared" si="13"/>
        <v>5470474.096494875</v>
      </c>
    </row>
    <row r="38" spans="1:2" s="269" customFormat="1" ht="12.75">
      <c r="A38" s="269">
        <v>32</v>
      </c>
      <c r="B38" s="215"/>
    </row>
    <row r="39" spans="1:26" s="269" customFormat="1" ht="12.75">
      <c r="A39" s="269">
        <v>33</v>
      </c>
      <c r="B39" s="215" t="s">
        <v>867</v>
      </c>
      <c r="C39" s="269">
        <v>0</v>
      </c>
      <c r="D39" s="269">
        <v>0</v>
      </c>
      <c r="E39" s="269">
        <f>+D39+D40</f>
        <v>0</v>
      </c>
      <c r="F39" s="269">
        <f aca="true" t="shared" si="14" ref="F39:Z39">+E39+E40</f>
        <v>-169761.81992208245</v>
      </c>
      <c r="G39" s="269">
        <f t="shared" si="14"/>
        <v>-345632.7766046944</v>
      </c>
      <c r="H39" s="269">
        <f t="shared" si="14"/>
        <v>-528166.8375131782</v>
      </c>
      <c r="I39" s="269">
        <f t="shared" si="14"/>
        <v>-716494.0884229012</v>
      </c>
      <c r="J39" s="269">
        <f t="shared" si="14"/>
        <v>-913537.089166735</v>
      </c>
      <c r="K39" s="269">
        <f t="shared" si="14"/>
        <v>-1120438.1495576778</v>
      </c>
      <c r="L39" s="269">
        <f t="shared" si="14"/>
        <v>-1341721.7344272833</v>
      </c>
      <c r="M39" s="269">
        <f t="shared" si="14"/>
        <v>-1572373.0181349553</v>
      </c>
      <c r="N39" s="269">
        <f t="shared" si="14"/>
        <v>-1809691.3379391502</v>
      </c>
      <c r="O39" s="269">
        <f t="shared" si="14"/>
        <v>-2058713.5872862993</v>
      </c>
      <c r="P39" s="269">
        <f t="shared" si="14"/>
        <v>-2320974.3694091826</v>
      </c>
      <c r="Q39" s="269">
        <f t="shared" si="14"/>
        <v>-2597468.830604886</v>
      </c>
      <c r="R39" s="269">
        <f t="shared" si="14"/>
        <v>-2889944.078498096</v>
      </c>
      <c r="S39" s="269">
        <f t="shared" si="14"/>
        <v>-3200658.466549185</v>
      </c>
      <c r="T39" s="269">
        <f t="shared" si="14"/>
        <v>-3526379.8016521</v>
      </c>
      <c r="U39" s="269">
        <f t="shared" si="14"/>
        <v>-3867554.6574086323</v>
      </c>
      <c r="V39" s="269">
        <f t="shared" si="14"/>
        <v>-4224904.955107015</v>
      </c>
      <c r="W39" s="269">
        <f t="shared" si="14"/>
        <v>-4599058.697924881</v>
      </c>
      <c r="X39" s="269">
        <f t="shared" si="14"/>
        <v>-4987309.204124542</v>
      </c>
      <c r="Y39" s="269">
        <f t="shared" si="14"/>
        <v>-5023047.461856501</v>
      </c>
      <c r="Z39" s="269">
        <f t="shared" si="14"/>
        <v>-5023047.461856501</v>
      </c>
    </row>
    <row r="40" spans="1:26" s="269" customFormat="1" ht="17.25">
      <c r="A40" s="269">
        <v>34</v>
      </c>
      <c r="B40" s="215" t="s">
        <v>711</v>
      </c>
      <c r="C40" s="270"/>
      <c r="D40" s="270"/>
      <c r="E40" s="270">
        <f>-Depreciation!F23-Depreciation!F26-Depreciation!F28</f>
        <v>-169761.81992208245</v>
      </c>
      <c r="F40" s="270">
        <f>-Depreciation!G23-Depreciation!G26-Depreciation!G28</f>
        <v>-175870.95668261193</v>
      </c>
      <c r="G40" s="270">
        <f>-Depreciation!H23-Depreciation!H26-Depreciation!H28</f>
        <v>-182534.0609084839</v>
      </c>
      <c r="H40" s="270">
        <f>-Depreciation!I23-Depreciation!I26-Depreciation!I28</f>
        <v>-188327.250909723</v>
      </c>
      <c r="I40" s="270">
        <f>-Depreciation!J23-Depreciation!J26-Depreciation!J28</f>
        <v>-197043.00074383372</v>
      </c>
      <c r="J40" s="270">
        <f>-Depreciation!K23-Depreciation!K26-Depreciation!K28</f>
        <v>-206901.06039094293</v>
      </c>
      <c r="K40" s="270">
        <f>-Depreciation!L23-Depreciation!L26-Depreciation!L28</f>
        <v>-221283.58486960543</v>
      </c>
      <c r="L40" s="270">
        <f>-Depreciation!M23-Depreciation!M26-Depreciation!M28</f>
        <v>-230651.28370767212</v>
      </c>
      <c r="M40" s="270">
        <f>-Depreciation!N23-Depreciation!N26-Depreciation!N28</f>
        <v>-237318.3198041949</v>
      </c>
      <c r="N40" s="270">
        <f>-Depreciation!O23-Depreciation!O26-Depreciation!O28</f>
        <v>-249022.24934714916</v>
      </c>
      <c r="O40" s="270">
        <f>-Depreciation!P23-Depreciation!P26-Depreciation!P28</f>
        <v>-262260.7821228832</v>
      </c>
      <c r="P40" s="270">
        <f>-Depreciation!Q23-Depreciation!Q26-Depreciation!Q28</f>
        <v>-276494.46119570365</v>
      </c>
      <c r="Q40" s="270">
        <f>-Depreciation!R23-Depreciation!R26-Depreciation!R28</f>
        <v>-292475.2478932099</v>
      </c>
      <c r="R40" s="270">
        <f>-Depreciation!S23-Depreciation!S26-Depreciation!S28</f>
        <v>-310714.38805108896</v>
      </c>
      <c r="S40" s="270">
        <f>-Depreciation!T23-Depreciation!T26-Depreciation!T28</f>
        <v>-325721.3351029149</v>
      </c>
      <c r="T40" s="270">
        <f>-Depreciation!U23-Depreciation!U26-Depreciation!U28</f>
        <v>-341174.8557565323</v>
      </c>
      <c r="U40" s="270">
        <f>-Depreciation!V23-Depreciation!V26-Depreciation!V28</f>
        <v>-357350.29769838206</v>
      </c>
      <c r="V40" s="270">
        <f>-Depreciation!W23-Depreciation!W26-Depreciation!W28</f>
        <v>-374153.74281786673</v>
      </c>
      <c r="W40" s="270">
        <f>-Depreciation!X23-Depreciation!X26-Depreciation!X28</f>
        <v>-388250.5061996611</v>
      </c>
      <c r="X40" s="270">
        <f>-Depreciation!Y23-Depreciation!Y26-Depreciation!Y28</f>
        <v>-35738.257731958765</v>
      </c>
      <c r="Y40" s="270">
        <f>-Depreciation!Z23-Depreciation!Z26-Depreciation!Z28</f>
        <v>0</v>
      </c>
      <c r="Z40" s="270">
        <f>-Depreciation!AA23-Depreciation!AA26-Depreciation!AA28</f>
        <v>0</v>
      </c>
    </row>
    <row r="41" spans="1:26" s="269" customFormat="1" ht="12.75">
      <c r="A41" s="269">
        <v>35</v>
      </c>
      <c r="B41" s="215" t="s">
        <v>717</v>
      </c>
      <c r="C41" s="269">
        <f aca="true" t="shared" si="15" ref="C41:Z41">SUM(C39:C40)</f>
        <v>0</v>
      </c>
      <c r="D41" s="269">
        <f>SUM(D39:D40)</f>
        <v>0</v>
      </c>
      <c r="E41" s="269">
        <f t="shared" si="15"/>
        <v>-169761.81992208245</v>
      </c>
      <c r="F41" s="269">
        <f t="shared" si="15"/>
        <v>-345632.7766046944</v>
      </c>
      <c r="G41" s="269">
        <f t="shared" si="15"/>
        <v>-528166.8375131782</v>
      </c>
      <c r="H41" s="269">
        <f t="shared" si="15"/>
        <v>-716494.0884229012</v>
      </c>
      <c r="I41" s="269">
        <f t="shared" si="15"/>
        <v>-913537.089166735</v>
      </c>
      <c r="J41" s="269">
        <f t="shared" si="15"/>
        <v>-1120438.1495576778</v>
      </c>
      <c r="K41" s="269">
        <f t="shared" si="15"/>
        <v>-1341721.7344272833</v>
      </c>
      <c r="L41" s="269">
        <f t="shared" si="15"/>
        <v>-1572373.0181349553</v>
      </c>
      <c r="M41" s="269">
        <f t="shared" si="15"/>
        <v>-1809691.3379391502</v>
      </c>
      <c r="N41" s="269">
        <f t="shared" si="15"/>
        <v>-2058713.5872862993</v>
      </c>
      <c r="O41" s="269">
        <f t="shared" si="15"/>
        <v>-2320974.3694091826</v>
      </c>
      <c r="P41" s="269">
        <f t="shared" si="15"/>
        <v>-2597468.830604886</v>
      </c>
      <c r="Q41" s="269">
        <f t="shared" si="15"/>
        <v>-2889944.078498096</v>
      </c>
      <c r="R41" s="269">
        <f t="shared" si="15"/>
        <v>-3200658.466549185</v>
      </c>
      <c r="S41" s="269">
        <f t="shared" si="15"/>
        <v>-3526379.8016521</v>
      </c>
      <c r="T41" s="269">
        <f t="shared" si="15"/>
        <v>-3867554.6574086323</v>
      </c>
      <c r="U41" s="269">
        <f t="shared" si="15"/>
        <v>-4224904.955107015</v>
      </c>
      <c r="V41" s="269">
        <f t="shared" si="15"/>
        <v>-4599058.697924881</v>
      </c>
      <c r="W41" s="269">
        <f t="shared" si="15"/>
        <v>-4987309.204124542</v>
      </c>
      <c r="X41" s="269">
        <f t="shared" si="15"/>
        <v>-5023047.461856501</v>
      </c>
      <c r="Y41" s="269">
        <f t="shared" si="15"/>
        <v>-5023047.461856501</v>
      </c>
      <c r="Z41" s="269">
        <f t="shared" si="15"/>
        <v>-5023047.461856501</v>
      </c>
    </row>
    <row r="42" spans="1:2" s="269" customFormat="1" ht="12.75">
      <c r="A42" s="269">
        <v>36</v>
      </c>
      <c r="B42" s="215"/>
    </row>
    <row r="43" spans="1:26" s="269" customFormat="1" ht="17.25">
      <c r="A43" s="269">
        <v>37</v>
      </c>
      <c r="B43" s="215" t="s">
        <v>724</v>
      </c>
      <c r="C43" s="270"/>
      <c r="D43" s="270">
        <v>0</v>
      </c>
      <c r="E43" s="270">
        <f>+'Non-Federal DS'!M41</f>
        <v>0</v>
      </c>
      <c r="F43" s="270">
        <f>+'Non-Federal DS'!N41</f>
        <v>0</v>
      </c>
      <c r="G43" s="270">
        <f>+'Non-Federal DS'!O41</f>
        <v>0</v>
      </c>
      <c r="H43" s="270">
        <f>+'Non-Federal DS'!P41</f>
        <v>0</v>
      </c>
      <c r="I43" s="270">
        <f>+'Non-Federal DS'!Q41</f>
        <v>0</v>
      </c>
      <c r="J43" s="270">
        <f>+'Non-Federal DS'!R41</f>
        <v>0</v>
      </c>
      <c r="K43" s="270">
        <f>+'Non-Federal DS'!S41</f>
        <v>0</v>
      </c>
      <c r="L43" s="270">
        <f>+'Non-Federal DS'!T41</f>
        <v>0</v>
      </c>
      <c r="M43" s="270">
        <f>+'Non-Federal DS'!U41</f>
        <v>0</v>
      </c>
      <c r="N43" s="270">
        <f>+'Non-Federal DS'!V41</f>
        <v>0</v>
      </c>
      <c r="O43" s="270">
        <f>+'Non-Federal DS'!W41</f>
        <v>0</v>
      </c>
      <c r="P43" s="270">
        <f>+'Non-Federal DS'!X41</f>
        <v>0</v>
      </c>
      <c r="Q43" s="270">
        <f>+'Non-Federal DS'!Y41</f>
        <v>0</v>
      </c>
      <c r="R43" s="270">
        <f>+'Non-Federal DS'!Z41</f>
        <v>0</v>
      </c>
      <c r="S43" s="270">
        <f>+'Non-Federal DS'!AA41</f>
        <v>0</v>
      </c>
      <c r="T43" s="270">
        <f>+'Non-Federal DS'!AB41</f>
        <v>0</v>
      </c>
      <c r="U43" s="270">
        <v>0</v>
      </c>
      <c r="V43" s="270">
        <v>0</v>
      </c>
      <c r="W43" s="270">
        <v>0</v>
      </c>
      <c r="X43" s="270">
        <v>0</v>
      </c>
      <c r="Y43" s="270">
        <v>0</v>
      </c>
      <c r="Z43" s="270">
        <v>0</v>
      </c>
    </row>
    <row r="44" spans="1:26" s="269" customFormat="1" ht="12.75">
      <c r="A44" s="269">
        <v>38</v>
      </c>
      <c r="B44" s="215" t="s">
        <v>721</v>
      </c>
      <c r="C44" s="269">
        <v>0</v>
      </c>
      <c r="D44" s="269">
        <f>+C44+D43</f>
        <v>0</v>
      </c>
      <c r="E44" s="269">
        <f aca="true" t="shared" si="16" ref="E44:Z44">+D44+E43</f>
        <v>0</v>
      </c>
      <c r="F44" s="269">
        <f t="shared" si="16"/>
        <v>0</v>
      </c>
      <c r="G44" s="269">
        <f t="shared" si="16"/>
        <v>0</v>
      </c>
      <c r="H44" s="269">
        <f t="shared" si="16"/>
        <v>0</v>
      </c>
      <c r="I44" s="269">
        <f t="shared" si="16"/>
        <v>0</v>
      </c>
      <c r="J44" s="269">
        <f t="shared" si="16"/>
        <v>0</v>
      </c>
      <c r="K44" s="269">
        <f t="shared" si="16"/>
        <v>0</v>
      </c>
      <c r="L44" s="269">
        <f t="shared" si="16"/>
        <v>0</v>
      </c>
      <c r="M44" s="269">
        <f t="shared" si="16"/>
        <v>0</v>
      </c>
      <c r="N44" s="269">
        <f t="shared" si="16"/>
        <v>0</v>
      </c>
      <c r="O44" s="269">
        <f t="shared" si="16"/>
        <v>0</v>
      </c>
      <c r="P44" s="269">
        <f t="shared" si="16"/>
        <v>0</v>
      </c>
      <c r="Q44" s="269">
        <f t="shared" si="16"/>
        <v>0</v>
      </c>
      <c r="R44" s="269">
        <f t="shared" si="16"/>
        <v>0</v>
      </c>
      <c r="S44" s="269">
        <f t="shared" si="16"/>
        <v>0</v>
      </c>
      <c r="T44" s="269">
        <f t="shared" si="16"/>
        <v>0</v>
      </c>
      <c r="U44" s="269">
        <f t="shared" si="16"/>
        <v>0</v>
      </c>
      <c r="V44" s="269">
        <f>+U44+V43</f>
        <v>0</v>
      </c>
      <c r="W44" s="269">
        <f t="shared" si="16"/>
        <v>0</v>
      </c>
      <c r="X44" s="269">
        <f t="shared" si="16"/>
        <v>0</v>
      </c>
      <c r="Y44" s="269">
        <f t="shared" si="16"/>
        <v>0</v>
      </c>
      <c r="Z44" s="269">
        <f t="shared" si="16"/>
        <v>0</v>
      </c>
    </row>
    <row r="45" spans="1:2" s="269" customFormat="1" ht="12.75">
      <c r="A45" s="269">
        <v>39</v>
      </c>
      <c r="B45" s="215"/>
    </row>
    <row r="46" spans="1:2" s="269" customFormat="1" ht="12.75">
      <c r="A46" s="269">
        <v>40</v>
      </c>
      <c r="B46" s="215"/>
    </row>
    <row r="47" spans="1:26" s="269" customFormat="1" ht="17.25">
      <c r="A47" s="269">
        <v>41</v>
      </c>
      <c r="B47" s="215" t="s">
        <v>678</v>
      </c>
      <c r="C47" s="270">
        <v>587204</v>
      </c>
      <c r="D47" s="270">
        <v>549064</v>
      </c>
      <c r="E47" s="270">
        <f aca="true" t="shared" si="17" ref="E47:Z47">+D47</f>
        <v>549064</v>
      </c>
      <c r="F47" s="270">
        <f t="shared" si="17"/>
        <v>549064</v>
      </c>
      <c r="G47" s="270">
        <f t="shared" si="17"/>
        <v>549064</v>
      </c>
      <c r="H47" s="270">
        <f t="shared" si="17"/>
        <v>549064</v>
      </c>
      <c r="I47" s="270">
        <f t="shared" si="17"/>
        <v>549064</v>
      </c>
      <c r="J47" s="270">
        <f t="shared" si="17"/>
        <v>549064</v>
      </c>
      <c r="K47" s="270">
        <f t="shared" si="17"/>
        <v>549064</v>
      </c>
      <c r="L47" s="270">
        <f t="shared" si="17"/>
        <v>549064</v>
      </c>
      <c r="M47" s="270">
        <f t="shared" si="17"/>
        <v>549064</v>
      </c>
      <c r="N47" s="270">
        <f t="shared" si="17"/>
        <v>549064</v>
      </c>
      <c r="O47" s="270">
        <f t="shared" si="17"/>
        <v>549064</v>
      </c>
      <c r="P47" s="270">
        <f t="shared" si="17"/>
        <v>549064</v>
      </c>
      <c r="Q47" s="270">
        <f t="shared" si="17"/>
        <v>549064</v>
      </c>
      <c r="R47" s="270">
        <f t="shared" si="17"/>
        <v>549064</v>
      </c>
      <c r="S47" s="270">
        <f t="shared" si="17"/>
        <v>549064</v>
      </c>
      <c r="T47" s="270">
        <f t="shared" si="17"/>
        <v>549064</v>
      </c>
      <c r="U47" s="270">
        <f t="shared" si="17"/>
        <v>549064</v>
      </c>
      <c r="V47" s="270">
        <f t="shared" si="17"/>
        <v>549064</v>
      </c>
      <c r="W47" s="270">
        <f t="shared" si="17"/>
        <v>549064</v>
      </c>
      <c r="X47" s="270">
        <f t="shared" si="17"/>
        <v>549064</v>
      </c>
      <c r="Y47" s="270">
        <f t="shared" si="17"/>
        <v>549064</v>
      </c>
      <c r="Z47" s="270">
        <f t="shared" si="17"/>
        <v>549064</v>
      </c>
    </row>
    <row r="48" spans="1:26" s="269" customFormat="1" ht="15.75">
      <c r="A48" s="269">
        <v>42</v>
      </c>
      <c r="B48" s="217" t="s">
        <v>705</v>
      </c>
      <c r="C48" s="269">
        <f>+C47+C37+C33+C28+C41+C44</f>
        <v>10221358</v>
      </c>
      <c r="D48" s="269">
        <f aca="true" t="shared" si="18" ref="D48:E48">+D47+D37+D33+D28+D41+D44</f>
        <v>10142555</v>
      </c>
      <c r="E48" s="269">
        <f t="shared" si="18"/>
        <v>10162768.414200142</v>
      </c>
      <c r="F48" s="269">
        <f aca="true" t="shared" si="19" ref="F48">+F47+F37+F33+F28+F41+F44</f>
        <v>10222408.6300248</v>
      </c>
      <c r="G48" s="269">
        <f aca="true" t="shared" si="20" ref="G48:H48">+G47+G37+G33+G28+G41+G44</f>
        <v>10336455.958133157</v>
      </c>
      <c r="H48" s="269">
        <f t="shared" si="20"/>
        <v>10352142.151524704</v>
      </c>
      <c r="I48" s="269">
        <f aca="true" t="shared" si="21" ref="I48">+I47+I37+I33+I28+I41+I44</f>
        <v>10422839.8006013</v>
      </c>
      <c r="J48" s="269">
        <f aca="true" t="shared" si="22" ref="J48:K48">+J47+J37+J33+J28+J41+J44</f>
        <v>10452885.754655654</v>
      </c>
      <c r="K48" s="269">
        <f t="shared" si="22"/>
        <v>10833094.23221256</v>
      </c>
      <c r="L48" s="269">
        <f aca="true" t="shared" si="23" ref="L48">+L47+L37+L33+L28+L41+L44</f>
        <v>10857188.655308863</v>
      </c>
      <c r="M48" s="269">
        <f aca="true" t="shared" si="24" ref="M48">+M47+M37+M33+M28+M41+M44</f>
        <v>10945740.314438853</v>
      </c>
      <c r="N48" s="269">
        <f aca="true" t="shared" si="25" ref="N48">+N47+N37+N33+N28+N41+N44</f>
        <v>10970294.945466941</v>
      </c>
      <c r="O48" s="269">
        <f aca="true" t="shared" si="26" ref="O48">+O47+O37+O33+O28+O41+O44</f>
        <v>10989816.949575333</v>
      </c>
      <c r="P48" s="269">
        <f aca="true" t="shared" si="27" ref="P48">+P47+P37+P33+P28+P41+P44</f>
        <v>10993459.877353275</v>
      </c>
      <c r="Q48" s="269">
        <f aca="true" t="shared" si="28" ref="Q48">+Q47+Q37+Q33+Q28+Q41+Q44</f>
        <v>10976745.315314837</v>
      </c>
      <c r="R48" s="269">
        <f aca="true" t="shared" si="29" ref="R48">+R47+R37+R33+R28+R41+R44</f>
        <v>10957385.925381627</v>
      </c>
      <c r="S48" s="269">
        <f aca="true" t="shared" si="30" ref="S48">+S47+S37+S33+S28+S41+S44</f>
        <v>10884943.055540659</v>
      </c>
      <c r="T48" s="269">
        <f aca="true" t="shared" si="31" ref="T48">+T47+T37+T33+T28+T41+T44</f>
        <v>10786495.46962979</v>
      </c>
      <c r="U48" s="269">
        <f aca="true" t="shared" si="32" ref="U48:V48">+U47+U37+U33+U28+U41+U44</f>
        <v>10662970.497948507</v>
      </c>
      <c r="V48" s="269">
        <f t="shared" si="32"/>
        <v>10508352.11789421</v>
      </c>
      <c r="W48" s="269">
        <f aca="true" t="shared" si="33" ref="W48">+W47+W37+W33+W28+W41+W44</f>
        <v>10331699.856795544</v>
      </c>
      <c r="X48" s="269">
        <f aca="true" t="shared" si="34" ref="X48">+X47+X37+X33+X28+X41+X44</f>
        <v>10517819.98924384</v>
      </c>
      <c r="Y48" s="269">
        <f aca="true" t="shared" si="35" ref="Y48">+Y47+Y37+Y33+Y28+Y41+Y44</f>
        <v>10713302.732541619</v>
      </c>
      <c r="Z48" s="269">
        <f aca="true" t="shared" si="36" ref="Z48">+Z47+Z37+Z33+Z28+Z41+Z44</f>
        <v>10712273.959768286</v>
      </c>
    </row>
    <row r="49" ht="12.75">
      <c r="A49" s="269">
        <v>43</v>
      </c>
    </row>
    <row r="50" spans="1:26" ht="15.75">
      <c r="A50" s="269">
        <v>44</v>
      </c>
      <c r="B50" s="406" t="s">
        <v>736</v>
      </c>
      <c r="C50" s="408">
        <f aca="true" t="shared" si="37" ref="C50:Z50">+C22/C48</f>
        <v>0.882097466892364</v>
      </c>
      <c r="D50" s="408">
        <f t="shared" si="37"/>
        <v>0.8702191903322191</v>
      </c>
      <c r="E50" s="408">
        <f t="shared" si="37"/>
        <v>0.8475080958672419</v>
      </c>
      <c r="F50" s="408">
        <f t="shared" si="37"/>
        <v>0.8300916239955304</v>
      </c>
      <c r="G50" s="408">
        <f t="shared" si="37"/>
        <v>0.8145672120534664</v>
      </c>
      <c r="H50" s="408">
        <f t="shared" si="37"/>
        <v>0.8005619758840794</v>
      </c>
      <c r="I50" s="408">
        <f t="shared" si="37"/>
        <v>0.790060302790708</v>
      </c>
      <c r="J50" s="272">
        <f t="shared" si="37"/>
        <v>0.7648546768573617</v>
      </c>
      <c r="K50" s="408">
        <f t="shared" si="37"/>
        <v>0.7175269380812725</v>
      </c>
      <c r="L50" s="408">
        <f t="shared" si="37"/>
        <v>0.6895748683048206</v>
      </c>
      <c r="M50" s="408">
        <f t="shared" si="37"/>
        <v>0.6695416279844958</v>
      </c>
      <c r="N50" s="408">
        <f t="shared" si="37"/>
        <v>0.6542156091901293</v>
      </c>
      <c r="O50" s="408">
        <f t="shared" si="37"/>
        <v>0.6353184116074811</v>
      </c>
      <c r="P50" s="408">
        <f t="shared" si="37"/>
        <v>0.6155992767390056</v>
      </c>
      <c r="Q50" s="408">
        <f t="shared" si="37"/>
        <v>0.5957675650656326</v>
      </c>
      <c r="R50" s="408">
        <f t="shared" si="37"/>
        <v>0.5778448735331486</v>
      </c>
      <c r="S50" s="408">
        <f t="shared" si="37"/>
        <v>0.5560625680354666</v>
      </c>
      <c r="T50" s="408">
        <f t="shared" si="37"/>
        <v>0.5314902594254409</v>
      </c>
      <c r="U50" s="408">
        <f t="shared" si="37"/>
        <v>0.5066363696551601</v>
      </c>
      <c r="V50" s="408">
        <f t="shared" si="37"/>
        <v>0.4784238294855318</v>
      </c>
      <c r="W50" s="408">
        <f t="shared" si="37"/>
        <v>0.45479820611220023</v>
      </c>
      <c r="X50" s="408">
        <f t="shared" si="37"/>
        <v>0.4081421043637763</v>
      </c>
      <c r="Y50" s="408">
        <f t="shared" si="37"/>
        <v>0.35668931219800715</v>
      </c>
      <c r="Z50" s="408">
        <f t="shared" si="37"/>
        <v>0.32105870705741923</v>
      </c>
    </row>
    <row r="51" spans="3:26" ht="12.75">
      <c r="C51" s="271">
        <v>2021</v>
      </c>
      <c r="D51" s="271">
        <v>2022</v>
      </c>
      <c r="E51" s="271">
        <v>2023</v>
      </c>
      <c r="F51" s="271">
        <v>2024</v>
      </c>
      <c r="G51" s="271">
        <v>2025</v>
      </c>
      <c r="H51" s="271">
        <v>2026</v>
      </c>
      <c r="I51" s="271">
        <v>2027</v>
      </c>
      <c r="J51" s="271">
        <v>2028</v>
      </c>
      <c r="K51" s="271">
        <v>2029</v>
      </c>
      <c r="L51" s="271">
        <v>2030</v>
      </c>
      <c r="M51" s="271">
        <v>2031</v>
      </c>
      <c r="N51" s="271">
        <v>2032</v>
      </c>
      <c r="O51" s="271">
        <v>2033</v>
      </c>
      <c r="P51" s="271">
        <v>2034</v>
      </c>
      <c r="Q51" s="271">
        <v>2035</v>
      </c>
      <c r="R51" s="271">
        <v>2036</v>
      </c>
      <c r="S51" s="271">
        <v>2037</v>
      </c>
      <c r="T51" s="271">
        <v>2038</v>
      </c>
      <c r="U51" s="271">
        <v>2039</v>
      </c>
      <c r="V51" s="271">
        <v>2040</v>
      </c>
      <c r="W51" s="271">
        <v>2041</v>
      </c>
      <c r="X51" s="271">
        <v>2042</v>
      </c>
      <c r="Y51" s="271">
        <v>2043</v>
      </c>
      <c r="Z51" s="271">
        <v>2044</v>
      </c>
    </row>
    <row r="53" spans="1:2" ht="12.75">
      <c r="A53" s="409" t="s">
        <v>479</v>
      </c>
      <c r="B53" s="271" t="s">
        <v>720</v>
      </c>
    </row>
    <row r="54" spans="1:2" ht="12.75">
      <c r="A54" s="409" t="s">
        <v>719</v>
      </c>
      <c r="B54" s="410" t="s">
        <v>712</v>
      </c>
    </row>
    <row r="55" ht="12.75">
      <c r="A55" s="409"/>
    </row>
  </sheetData>
  <printOptions/>
  <pageMargins left="0.7" right="0.7" top="0.75" bottom="0.75" header="0.3" footer="0.3"/>
  <pageSetup fitToHeight="1" fitToWidth="1" horizontalDpi="600" verticalDpi="600" orientation="portrait" scale="18"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Z39"/>
  <sheetViews>
    <sheetView workbookViewId="0" topLeftCell="A1">
      <selection activeCell="Z8" sqref="Z8"/>
    </sheetView>
  </sheetViews>
  <sheetFormatPr defaultColWidth="9.140625" defaultRowHeight="12.75"/>
  <cols>
    <col min="1" max="1" width="4.7109375" style="0" customWidth="1"/>
    <col min="2" max="2" width="41.57421875" style="0" bestFit="1" customWidth="1"/>
    <col min="3" max="3" width="9.421875" style="0" hidden="1" customWidth="1"/>
    <col min="4" max="4" width="12.8515625" style="0" hidden="1" customWidth="1"/>
    <col min="5" max="5" width="18.140625" style="0" bestFit="1" customWidth="1"/>
    <col min="6" max="13" width="11.28125" style="0" bestFit="1" customWidth="1"/>
    <col min="14" max="14" width="14.57421875" style="0" bestFit="1" customWidth="1"/>
    <col min="15" max="15" width="17.7109375" style="0" bestFit="1" customWidth="1"/>
    <col min="16" max="16" width="22.00390625" style="0" bestFit="1" customWidth="1"/>
    <col min="17" max="17" width="24.00390625" style="0" bestFit="1" customWidth="1"/>
    <col min="18" max="18" width="28.28125" style="0" bestFit="1" customWidth="1"/>
    <col min="19" max="19" width="29.8515625" style="0" bestFit="1" customWidth="1"/>
    <col min="20" max="20" width="34.140625" style="0" bestFit="1" customWidth="1"/>
    <col min="21" max="21" width="37.140625" style="0" bestFit="1" customWidth="1"/>
    <col min="22" max="22" width="40.421875" style="0" bestFit="1" customWidth="1"/>
    <col min="23" max="23" width="43.57421875" style="0" bestFit="1" customWidth="1"/>
    <col min="24" max="24" width="46.8515625" style="0" bestFit="1" customWidth="1"/>
    <col min="25" max="25" width="49.8515625" style="0" bestFit="1" customWidth="1"/>
    <col min="26" max="26" width="54.140625" style="0" bestFit="1" customWidth="1"/>
    <col min="27" max="34" width="10.28125" style="0" bestFit="1" customWidth="1"/>
  </cols>
  <sheetData>
    <row r="1" spans="2:4" ht="12.75">
      <c r="B1" s="69" t="s">
        <v>655</v>
      </c>
      <c r="C1" s="69"/>
      <c r="D1" s="69"/>
    </row>
    <row r="2" spans="2:4" ht="12.75">
      <c r="B2" s="68" t="s">
        <v>508</v>
      </c>
      <c r="C2" s="68"/>
      <c r="D2" s="68"/>
    </row>
    <row r="4" spans="3:26" s="20" customFormat="1" ht="12.75">
      <c r="C4" s="20">
        <f>+D4-1</f>
        <v>2022</v>
      </c>
      <c r="D4" s="20">
        <f>+E4-1</f>
        <v>2023</v>
      </c>
      <c r="E4" s="20">
        <f>+'Income Statement Cash Flows'!E6</f>
        <v>2024</v>
      </c>
      <c r="F4" s="20">
        <f>+'Income Statement Cash Flows'!F6</f>
        <v>2025</v>
      </c>
      <c r="G4" s="20">
        <f>+F4+1</f>
        <v>2026</v>
      </c>
      <c r="H4" s="20">
        <f aca="true" t="shared" si="0" ref="H4:Z4">+G4+1</f>
        <v>2027</v>
      </c>
      <c r="I4" s="20">
        <f t="shared" si="0"/>
        <v>2028</v>
      </c>
      <c r="J4" s="20">
        <f t="shared" si="0"/>
        <v>2029</v>
      </c>
      <c r="K4" s="20">
        <f t="shared" si="0"/>
        <v>2030</v>
      </c>
      <c r="L4" s="20">
        <f t="shared" si="0"/>
        <v>2031</v>
      </c>
      <c r="M4" s="20">
        <f t="shared" si="0"/>
        <v>2032</v>
      </c>
      <c r="N4" s="20">
        <f t="shared" si="0"/>
        <v>2033</v>
      </c>
      <c r="O4" s="20">
        <f t="shared" si="0"/>
        <v>2034</v>
      </c>
      <c r="P4" s="20">
        <f t="shared" si="0"/>
        <v>2035</v>
      </c>
      <c r="Q4" s="20">
        <f t="shared" si="0"/>
        <v>2036</v>
      </c>
      <c r="R4" s="20">
        <f t="shared" si="0"/>
        <v>2037</v>
      </c>
      <c r="S4" s="20">
        <f t="shared" si="0"/>
        <v>2038</v>
      </c>
      <c r="T4" s="20">
        <f t="shared" si="0"/>
        <v>2039</v>
      </c>
      <c r="U4" s="20">
        <f t="shared" si="0"/>
        <v>2040</v>
      </c>
      <c r="V4" s="20">
        <f t="shared" si="0"/>
        <v>2041</v>
      </c>
      <c r="W4" s="20">
        <f t="shared" si="0"/>
        <v>2042</v>
      </c>
      <c r="X4" s="20">
        <f t="shared" si="0"/>
        <v>2043</v>
      </c>
      <c r="Y4" s="20">
        <f t="shared" si="0"/>
        <v>2044</v>
      </c>
      <c r="Z4" s="20">
        <f t="shared" si="0"/>
        <v>2045</v>
      </c>
    </row>
    <row r="5" spans="1:26" ht="12.75">
      <c r="A5">
        <v>1</v>
      </c>
      <c r="B5" t="s">
        <v>656</v>
      </c>
      <c r="C5" s="45">
        <v>0</v>
      </c>
      <c r="D5" s="45">
        <v>6609</v>
      </c>
      <c r="E5" s="45">
        <v>2573</v>
      </c>
      <c r="F5" s="45">
        <v>2708</v>
      </c>
      <c r="G5" s="45">
        <v>3411</v>
      </c>
      <c r="H5" s="45">
        <v>3663</v>
      </c>
      <c r="I5" s="45">
        <v>3480</v>
      </c>
      <c r="J5" s="45">
        <v>3314</v>
      </c>
      <c r="K5" s="45">
        <v>3184</v>
      </c>
      <c r="L5" s="45">
        <v>3089</v>
      </c>
      <c r="M5" s="45">
        <v>3045</v>
      </c>
      <c r="N5" s="45">
        <v>3036</v>
      </c>
      <c r="O5" s="45">
        <v>3036</v>
      </c>
      <c r="P5" s="45">
        <v>3036</v>
      </c>
      <c r="Q5" s="45">
        <v>3036</v>
      </c>
      <c r="R5" s="45">
        <v>3036</v>
      </c>
      <c r="S5" s="45">
        <v>3036</v>
      </c>
      <c r="T5" s="45">
        <v>3036</v>
      </c>
      <c r="U5" s="45">
        <v>3036</v>
      </c>
      <c r="V5" s="45">
        <v>3036</v>
      </c>
      <c r="W5" s="45">
        <v>3036</v>
      </c>
      <c r="X5" s="45">
        <v>3036</v>
      </c>
      <c r="Y5" s="45">
        <v>3036</v>
      </c>
      <c r="Z5" s="45">
        <v>3036</v>
      </c>
    </row>
    <row r="6" spans="1:26" s="4" customFormat="1" ht="12.75">
      <c r="A6" s="4">
        <v>2</v>
      </c>
      <c r="B6" s="4" t="s">
        <v>657</v>
      </c>
      <c r="C6" s="4">
        <v>0</v>
      </c>
      <c r="D6" s="4">
        <v>103708</v>
      </c>
      <c r="E6" s="45">
        <v>108009</v>
      </c>
      <c r="F6" s="45">
        <v>110397</v>
      </c>
      <c r="G6" s="45">
        <v>113014</v>
      </c>
      <c r="H6" s="45">
        <v>116166</v>
      </c>
      <c r="I6" s="45">
        <v>118623</v>
      </c>
      <c r="J6" s="45">
        <v>121044</v>
      </c>
      <c r="K6" s="45">
        <v>123756</v>
      </c>
      <c r="L6" s="45">
        <v>126347.81412452494</v>
      </c>
      <c r="M6" s="45">
        <v>128993.90844925099</v>
      </c>
      <c r="N6" s="45">
        <v>131695.41976099706</v>
      </c>
      <c r="O6" s="45">
        <v>134453.50865423694</v>
      </c>
      <c r="P6" s="45">
        <v>137269.36002970146</v>
      </c>
      <c r="Q6" s="45">
        <v>140144.18360342298</v>
      </c>
      <c r="R6" s="45">
        <v>143079.2144264406</v>
      </c>
      <c r="S6" s="45">
        <v>146075.71341538968</v>
      </c>
      <c r="T6" s="45">
        <v>149134.96789420335</v>
      </c>
      <c r="U6" s="45">
        <v>152258.29214715894</v>
      </c>
      <c r="V6" s="45">
        <v>155447.02798350668</v>
      </c>
      <c r="W6" s="45">
        <v>158702.5453139236</v>
      </c>
      <c r="X6" s="45">
        <v>162026.24273903985</v>
      </c>
      <c r="Y6" s="45">
        <v>165419.54815029062</v>
      </c>
      <c r="Z6" s="45">
        <v>168883.91934335162</v>
      </c>
    </row>
    <row r="7" spans="1:26" s="4" customFormat="1" ht="12.75">
      <c r="A7" s="4">
        <v>3</v>
      </c>
      <c r="B7" s="4" t="s">
        <v>658</v>
      </c>
      <c r="C7" s="4">
        <v>0</v>
      </c>
      <c r="D7" s="4">
        <v>28852.653333333335</v>
      </c>
      <c r="E7" s="45">
        <v>29121.213333333333</v>
      </c>
      <c r="F7" s="45">
        <v>30495.213333333333</v>
      </c>
      <c r="G7" s="45">
        <v>31832.213333333333</v>
      </c>
      <c r="H7" s="45">
        <v>33296.21333333333</v>
      </c>
      <c r="I7" s="45">
        <v>34975.21333333333</v>
      </c>
      <c r="J7" s="45">
        <v>36793.21333333333</v>
      </c>
      <c r="K7" s="45">
        <v>38364.21333333333</v>
      </c>
      <c r="L7" s="45">
        <v>39593.310223996086</v>
      </c>
      <c r="M7" s="45">
        <v>40861.78441541335</v>
      </c>
      <c r="N7" s="45">
        <v>42170.89746135398</v>
      </c>
      <c r="O7" s="45">
        <v>43521.951332727724</v>
      </c>
      <c r="P7" s="45">
        <v>44916.289712452904</v>
      </c>
      <c r="Q7" s="45">
        <v>46355.29933180867</v>
      </c>
      <c r="R7" s="45">
        <v>47840.41134960061</v>
      </c>
      <c r="S7" s="45">
        <v>49373.10277551163</v>
      </c>
      <c r="T7" s="45">
        <v>50954.897939053466</v>
      </c>
      <c r="U7" s="45">
        <v>52587.37000557992</v>
      </c>
      <c r="V7" s="45">
        <v>54272.14254086949</v>
      </c>
      <c r="W7" s="45">
        <v>56010.89112583344</v>
      </c>
      <c r="X7" s="45">
        <v>57805.34502295523</v>
      </c>
      <c r="Y7" s="45">
        <v>59657.288896118676</v>
      </c>
      <c r="Z7" s="45">
        <v>61568.5645855352</v>
      </c>
    </row>
    <row r="8" spans="1:26" s="4" customFormat="1" ht="12.75">
      <c r="A8" s="4">
        <v>4</v>
      </c>
      <c r="B8" s="72" t="s">
        <v>659</v>
      </c>
      <c r="C8" s="4">
        <f>SUM(C5:C7)</f>
        <v>0</v>
      </c>
      <c r="D8" s="4">
        <f aca="true" t="shared" si="1" ref="D8">SUM(D5:D7)</f>
        <v>139169.65333333332</v>
      </c>
      <c r="E8" s="45">
        <f>SUM(E5:E7)</f>
        <v>139703.21333333332</v>
      </c>
      <c r="F8" s="45">
        <f aca="true" t="shared" si="2" ref="F8:Q8">SUM(F5:F7)</f>
        <v>143600.21333333332</v>
      </c>
      <c r="G8" s="45">
        <f t="shared" si="2"/>
        <v>148257.21333333332</v>
      </c>
      <c r="H8" s="45">
        <f t="shared" si="2"/>
        <v>153125.21333333332</v>
      </c>
      <c r="I8" s="45">
        <f>SUM(I5:I7)</f>
        <v>157078.21333333332</v>
      </c>
      <c r="J8" s="45">
        <f t="shared" si="2"/>
        <v>161151.21333333332</v>
      </c>
      <c r="K8" s="45">
        <f t="shared" si="2"/>
        <v>165304.21333333332</v>
      </c>
      <c r="L8" s="45">
        <f t="shared" si="2"/>
        <v>169030.12434852103</v>
      </c>
      <c r="M8" s="45">
        <f t="shared" si="2"/>
        <v>172900.6928646643</v>
      </c>
      <c r="N8" s="45">
        <f t="shared" si="2"/>
        <v>176902.31722235103</v>
      </c>
      <c r="O8" s="45">
        <f t="shared" si="2"/>
        <v>181011.45998696465</v>
      </c>
      <c r="P8" s="45">
        <f t="shared" si="2"/>
        <v>185221.64974215438</v>
      </c>
      <c r="Q8" s="45">
        <f t="shared" si="2"/>
        <v>189535.48293523164</v>
      </c>
      <c r="R8" s="45">
        <v>193955.6257760412</v>
      </c>
      <c r="S8" s="45">
        <v>198484.8161909013</v>
      </c>
      <c r="T8" s="45">
        <v>203125.8658332568</v>
      </c>
      <c r="U8" s="45">
        <v>207881.66215273886</v>
      </c>
      <c r="V8" s="45">
        <v>212755.17052437615</v>
      </c>
      <c r="W8" s="45">
        <v>217749.43643975703</v>
      </c>
      <c r="X8" s="45">
        <v>222867.5877619951</v>
      </c>
      <c r="Y8" s="45">
        <v>228112.8370464093</v>
      </c>
      <c r="Z8" s="45">
        <v>233488.48392888682</v>
      </c>
    </row>
    <row r="9" spans="1:26" s="4" customFormat="1" ht="12.75">
      <c r="A9" s="4">
        <v>5</v>
      </c>
      <c r="B9" s="4" t="s">
        <v>660</v>
      </c>
      <c r="C9" s="4">
        <v>0</v>
      </c>
      <c r="D9" s="4">
        <v>0</v>
      </c>
      <c r="E9" s="45">
        <v>0</v>
      </c>
      <c r="F9" s="45">
        <v>0</v>
      </c>
      <c r="G9" s="45">
        <v>0</v>
      </c>
      <c r="H9" s="45">
        <v>0</v>
      </c>
      <c r="I9" s="45">
        <v>0</v>
      </c>
      <c r="J9" s="45">
        <v>0</v>
      </c>
      <c r="K9" s="45">
        <v>0</v>
      </c>
      <c r="L9" s="45">
        <v>0</v>
      </c>
      <c r="M9" s="45">
        <v>0</v>
      </c>
      <c r="N9" s="45">
        <v>0</v>
      </c>
      <c r="O9" s="45">
        <v>0</v>
      </c>
      <c r="P9" s="45">
        <v>0</v>
      </c>
      <c r="Q9" s="45">
        <v>0</v>
      </c>
      <c r="R9" s="45">
        <v>0</v>
      </c>
      <c r="S9" s="45">
        <v>0</v>
      </c>
      <c r="T9" s="45">
        <v>0</v>
      </c>
      <c r="U9" s="45">
        <v>0</v>
      </c>
      <c r="V9" s="45">
        <v>0</v>
      </c>
      <c r="W9" s="45">
        <v>0</v>
      </c>
      <c r="X9" s="45">
        <v>0</v>
      </c>
      <c r="Y9" s="45">
        <v>0</v>
      </c>
      <c r="Z9" s="45">
        <v>0</v>
      </c>
    </row>
    <row r="10" spans="1:26" s="4" customFormat="1" ht="12.75">
      <c r="A10" s="4">
        <v>6</v>
      </c>
      <c r="B10" s="4" t="s">
        <v>661</v>
      </c>
      <c r="C10" s="4">
        <v>0</v>
      </c>
      <c r="D10" s="4">
        <v>0</v>
      </c>
      <c r="E10" s="45">
        <v>0</v>
      </c>
      <c r="F10" s="45">
        <v>0</v>
      </c>
      <c r="G10" s="4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c r="Z10" s="45">
        <v>0</v>
      </c>
    </row>
    <row r="11" spans="1:26" s="4" customFormat="1" ht="12.75">
      <c r="A11" s="4">
        <v>7</v>
      </c>
      <c r="B11" s="4" t="s">
        <v>662</v>
      </c>
      <c r="C11" s="4">
        <v>0</v>
      </c>
      <c r="D11" s="4">
        <v>42078.38487</v>
      </c>
      <c r="E11" s="45">
        <v>22254.913000000004</v>
      </c>
      <c r="F11" s="45">
        <v>16422.105310000003</v>
      </c>
      <c r="G11" s="45">
        <v>8450.228400000002</v>
      </c>
      <c r="H11" s="45">
        <v>1131.80057</v>
      </c>
      <c r="I11" s="45">
        <v>55.24868000000001</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row>
    <row r="12" spans="1:26" s="4" customFormat="1" ht="12.75">
      <c r="A12" s="4">
        <v>8</v>
      </c>
      <c r="B12" s="4" t="s">
        <v>663</v>
      </c>
      <c r="C12" s="4">
        <v>0</v>
      </c>
      <c r="D12" s="4">
        <v>11799</v>
      </c>
      <c r="E12" s="45">
        <v>19890.533484039664</v>
      </c>
      <c r="F12" s="45">
        <v>19890.533484039664</v>
      </c>
      <c r="G12" s="45">
        <v>19890.533484039664</v>
      </c>
      <c r="H12" s="45">
        <v>19890.533484039664</v>
      </c>
      <c r="I12" s="45">
        <v>19890.533484039664</v>
      </c>
      <c r="J12" s="45">
        <v>19890.533484039664</v>
      </c>
      <c r="K12" s="45">
        <v>19890.533484039664</v>
      </c>
      <c r="L12" s="45">
        <v>19890.533484039664</v>
      </c>
      <c r="M12" s="45">
        <v>19890.533484039664</v>
      </c>
      <c r="N12" s="45">
        <v>19890.533484039664</v>
      </c>
      <c r="O12" s="45">
        <v>19890.533484039664</v>
      </c>
      <c r="P12" s="45">
        <v>19890.533484039664</v>
      </c>
      <c r="Q12" s="45">
        <v>19890.533484039664</v>
      </c>
      <c r="R12" s="45">
        <v>19890.533484039664</v>
      </c>
      <c r="S12" s="45">
        <v>19890.533484039664</v>
      </c>
      <c r="T12" s="45">
        <v>19890.533484039664</v>
      </c>
      <c r="U12" s="45">
        <v>19890.533484039664</v>
      </c>
      <c r="V12" s="45">
        <v>19890.533484039664</v>
      </c>
      <c r="W12" s="45">
        <v>19890.533484039664</v>
      </c>
      <c r="X12" s="45">
        <v>19890.533484039664</v>
      </c>
      <c r="Y12" s="45">
        <v>19890.533484039664</v>
      </c>
      <c r="Z12" s="45">
        <v>19890.533484039664</v>
      </c>
    </row>
    <row r="13" spans="1:26" s="4" customFormat="1" ht="12.75">
      <c r="A13" s="4">
        <v>9</v>
      </c>
      <c r="B13" s="4" t="s">
        <v>664</v>
      </c>
      <c r="C13" s="4">
        <v>0</v>
      </c>
      <c r="D13" s="4">
        <v>34516.91579066667</v>
      </c>
      <c r="E13" s="45">
        <v>36802.315790666675</v>
      </c>
      <c r="F13" s="45">
        <v>37612.649124</v>
      </c>
      <c r="G13" s="45">
        <v>35411.51579066667</v>
      </c>
      <c r="H13" s="45">
        <v>33633.315790666675</v>
      </c>
      <c r="I13" s="45">
        <v>32597.049124000005</v>
      </c>
      <c r="J13" s="45">
        <v>32524.352657333333</v>
      </c>
      <c r="K13" s="45">
        <v>31567.152657333332</v>
      </c>
      <c r="L13" s="45">
        <v>31390.28599066667</v>
      </c>
      <c r="M13" s="45">
        <v>31745.88599066667</v>
      </c>
      <c r="N13" s="45">
        <v>31543.752657333334</v>
      </c>
      <c r="O13" s="45">
        <v>30777.1702</v>
      </c>
      <c r="P13" s="45">
        <v>29693.636866666668</v>
      </c>
      <c r="Q13" s="45">
        <v>27957.636866666668</v>
      </c>
      <c r="R13" s="45">
        <v>26128.50353333334</v>
      </c>
      <c r="S13" s="45">
        <v>24261.836866666672</v>
      </c>
      <c r="T13" s="45">
        <v>22495.1702</v>
      </c>
      <c r="U13" s="45">
        <v>20828.503533333333</v>
      </c>
      <c r="V13" s="45">
        <v>19161.836866666665</v>
      </c>
      <c r="W13" s="45">
        <v>17495.170199999997</v>
      </c>
      <c r="X13" s="45">
        <v>15830.503533333329</v>
      </c>
      <c r="Y13" s="45">
        <v>15000</v>
      </c>
      <c r="Z13" s="45">
        <v>15000</v>
      </c>
    </row>
    <row r="14" spans="1:26" s="4" customFormat="1" ht="12.75">
      <c r="A14" s="4">
        <v>10</v>
      </c>
      <c r="B14" s="72" t="s">
        <v>665</v>
      </c>
      <c r="C14" s="4">
        <f>SUM(C9:C13)</f>
        <v>0</v>
      </c>
      <c r="D14" s="4">
        <f aca="true" t="shared" si="3" ref="D14">SUM(D9:D13)</f>
        <v>88394.30066066667</v>
      </c>
      <c r="E14" s="45">
        <v>78947.76227470634</v>
      </c>
      <c r="F14" s="45">
        <v>73925.28791803967</v>
      </c>
      <c r="G14" s="45">
        <v>63752.27767470634</v>
      </c>
      <c r="H14" s="45">
        <v>54655.649844706335</v>
      </c>
      <c r="I14" s="45">
        <v>52542.83128803967</v>
      </c>
      <c r="J14" s="45">
        <v>52414.886141373</v>
      </c>
      <c r="K14" s="45">
        <v>51457.68614137299</v>
      </c>
      <c r="L14" s="45">
        <v>51280.81947470634</v>
      </c>
      <c r="M14" s="45">
        <v>51636.41947470633</v>
      </c>
      <c r="N14" s="45">
        <v>51434.286141373</v>
      </c>
      <c r="O14" s="45">
        <v>50667.70368403966</v>
      </c>
      <c r="P14" s="45">
        <v>49584.170350706336</v>
      </c>
      <c r="Q14" s="45">
        <v>47848.170350706336</v>
      </c>
      <c r="R14" s="45">
        <v>46019.037017373004</v>
      </c>
      <c r="S14" s="45">
        <v>44152.37035070633</v>
      </c>
      <c r="T14" s="45">
        <v>42385.70368403966</v>
      </c>
      <c r="U14" s="45">
        <v>40719.037017373</v>
      </c>
      <c r="V14" s="45">
        <v>39052.37035070633</v>
      </c>
      <c r="W14" s="45">
        <v>37385.70368403966</v>
      </c>
      <c r="X14" s="45">
        <v>35721.03701737299</v>
      </c>
      <c r="Y14" s="45">
        <v>34890.53348403967</v>
      </c>
      <c r="Z14" s="45">
        <v>34890.53348403967</v>
      </c>
    </row>
    <row r="15" spans="1:26" s="4" customFormat="1" ht="12.75">
      <c r="A15" s="4">
        <v>11</v>
      </c>
      <c r="B15" s="72" t="s">
        <v>666</v>
      </c>
      <c r="C15" s="4">
        <f>+C14+C8</f>
        <v>0</v>
      </c>
      <c r="D15" s="4">
        <f aca="true" t="shared" si="4" ref="D15">+D14+D8</f>
        <v>227563.95399399998</v>
      </c>
      <c r="E15" s="45">
        <f>+E14+E8</f>
        <v>218650.97560803965</v>
      </c>
      <c r="F15" s="45">
        <f aca="true" t="shared" si="5" ref="F15:Z15">+F14+F8</f>
        <v>217525.50125137297</v>
      </c>
      <c r="G15" s="45">
        <f t="shared" si="5"/>
        <v>212009.49100803965</v>
      </c>
      <c r="H15" s="45">
        <f t="shared" si="5"/>
        <v>207780.86317803967</v>
      </c>
      <c r="I15" s="45">
        <f t="shared" si="5"/>
        <v>209621.044621373</v>
      </c>
      <c r="J15" s="45">
        <f t="shared" si="5"/>
        <v>213566.0994747063</v>
      </c>
      <c r="K15" s="45">
        <f t="shared" si="5"/>
        <v>216761.89947470633</v>
      </c>
      <c r="L15" s="45">
        <f t="shared" si="5"/>
        <v>220310.94382322737</v>
      </c>
      <c r="M15" s="45">
        <f t="shared" si="5"/>
        <v>224537.11233937065</v>
      </c>
      <c r="N15" s="45">
        <f t="shared" si="5"/>
        <v>228336.60336372402</v>
      </c>
      <c r="O15" s="45">
        <f t="shared" si="5"/>
        <v>231679.1636710043</v>
      </c>
      <c r="P15" s="45">
        <f t="shared" si="5"/>
        <v>234805.82009286073</v>
      </c>
      <c r="Q15" s="45">
        <f t="shared" si="5"/>
        <v>237383.65328593797</v>
      </c>
      <c r="R15" s="45">
        <f t="shared" si="5"/>
        <v>239974.6627934142</v>
      </c>
      <c r="S15" s="45">
        <f t="shared" si="5"/>
        <v>242637.18654160763</v>
      </c>
      <c r="T15" s="45">
        <f t="shared" si="5"/>
        <v>245511.56951729645</v>
      </c>
      <c r="U15" s="45">
        <f t="shared" si="5"/>
        <v>248600.69917011185</v>
      </c>
      <c r="V15" s="45">
        <f t="shared" si="5"/>
        <v>251807.5408750825</v>
      </c>
      <c r="W15" s="45">
        <f t="shared" si="5"/>
        <v>255135.1401237967</v>
      </c>
      <c r="X15" s="45">
        <f t="shared" si="5"/>
        <v>258588.62477936808</v>
      </c>
      <c r="Y15" s="45">
        <f t="shared" si="5"/>
        <v>263003.37053044897</v>
      </c>
      <c r="Z15" s="45">
        <f t="shared" si="5"/>
        <v>268379.0174129265</v>
      </c>
    </row>
    <row r="16" spans="5:26" ht="12.75">
      <c r="E16" s="45"/>
      <c r="F16" s="45"/>
      <c r="G16" s="45"/>
      <c r="H16" s="45"/>
      <c r="I16" s="45"/>
      <c r="J16" s="45"/>
      <c r="K16" s="45"/>
      <c r="L16" s="45"/>
      <c r="M16" s="45"/>
      <c r="N16" s="45"/>
      <c r="O16" s="45"/>
      <c r="P16" s="45"/>
      <c r="Q16" s="45"/>
      <c r="R16" s="45"/>
      <c r="S16" s="45"/>
      <c r="T16" s="45"/>
      <c r="U16" s="45"/>
      <c r="V16" s="45"/>
      <c r="W16" s="45"/>
      <c r="X16" s="45"/>
      <c r="Y16" s="45"/>
      <c r="Z16" s="45"/>
    </row>
    <row r="17" spans="5:26" ht="12.75">
      <c r="E17" s="45"/>
      <c r="F17" s="45"/>
      <c r="G17" s="45"/>
      <c r="H17" s="45"/>
      <c r="I17" s="45"/>
      <c r="J17" s="45"/>
      <c r="K17" s="45"/>
      <c r="L17" s="45"/>
      <c r="M17" s="45"/>
      <c r="N17" s="45"/>
      <c r="O17" s="45"/>
      <c r="P17" s="45"/>
      <c r="Q17" s="45"/>
      <c r="R17" s="45"/>
      <c r="S17" s="45"/>
      <c r="T17" s="45"/>
      <c r="U17" s="45"/>
      <c r="V17" s="45"/>
      <c r="W17" s="45"/>
      <c r="X17" s="45"/>
      <c r="Y17" s="45"/>
      <c r="Z17" s="45"/>
    </row>
    <row r="18" spans="1:26" ht="12.75">
      <c r="A18" s="140" t="s">
        <v>229</v>
      </c>
      <c r="B18" s="35" t="s">
        <v>667</v>
      </c>
      <c r="C18" s="35"/>
      <c r="D18" s="35"/>
      <c r="E18" s="45"/>
      <c r="F18" s="45"/>
      <c r="G18" s="45"/>
      <c r="H18" s="45"/>
      <c r="I18" s="45"/>
      <c r="J18" s="45"/>
      <c r="K18" s="45"/>
      <c r="L18" s="45"/>
      <c r="M18" s="45"/>
      <c r="N18" s="45"/>
      <c r="O18" s="45"/>
      <c r="P18" s="45"/>
      <c r="Q18" s="45"/>
      <c r="R18" s="45"/>
      <c r="S18" s="45"/>
      <c r="T18" s="45"/>
      <c r="U18" s="45"/>
      <c r="V18" s="45"/>
      <c r="W18" s="45"/>
      <c r="X18" s="45"/>
      <c r="Y18" s="45"/>
      <c r="Z18" s="45"/>
    </row>
    <row r="19" spans="2:26" ht="12.75">
      <c r="B19" t="s">
        <v>668</v>
      </c>
      <c r="C19" s="21">
        <v>23</v>
      </c>
      <c r="D19" s="21">
        <v>23</v>
      </c>
      <c r="E19" s="45">
        <v>23</v>
      </c>
      <c r="F19" s="45">
        <v>23</v>
      </c>
      <c r="G19" s="45">
        <v>23</v>
      </c>
      <c r="H19" s="45">
        <v>23</v>
      </c>
      <c r="I19" s="45">
        <v>23</v>
      </c>
      <c r="J19" s="45">
        <v>23</v>
      </c>
      <c r="K19" s="45">
        <v>23</v>
      </c>
      <c r="L19" s="45">
        <v>0</v>
      </c>
      <c r="M19" s="45">
        <v>0</v>
      </c>
      <c r="N19" s="45">
        <v>0</v>
      </c>
      <c r="O19" s="45">
        <v>0</v>
      </c>
      <c r="P19" s="45">
        <v>0</v>
      </c>
      <c r="Q19" s="45">
        <v>0</v>
      </c>
      <c r="R19" s="45">
        <v>0</v>
      </c>
      <c r="S19" s="45">
        <v>0</v>
      </c>
      <c r="T19" s="45">
        <v>0</v>
      </c>
      <c r="U19" s="45">
        <v>0</v>
      </c>
      <c r="V19" s="45">
        <v>0</v>
      </c>
      <c r="W19" s="45">
        <v>0</v>
      </c>
      <c r="X19" s="45">
        <v>0</v>
      </c>
      <c r="Y19" s="45">
        <v>0</v>
      </c>
      <c r="Z19" s="45">
        <v>0</v>
      </c>
    </row>
    <row r="20" spans="1:26" ht="12.75">
      <c r="A20" s="11" t="s">
        <v>349</v>
      </c>
      <c r="B20" t="s">
        <v>669</v>
      </c>
      <c r="C20" s="45">
        <v>3321</v>
      </c>
      <c r="D20" s="45">
        <v>3316</v>
      </c>
      <c r="E20" s="45">
        <v>3308</v>
      </c>
      <c r="F20" s="45">
        <v>3308</v>
      </c>
      <c r="G20" s="45">
        <v>3308</v>
      </c>
      <c r="H20" s="45">
        <v>3308</v>
      </c>
      <c r="I20" s="45">
        <v>3308</v>
      </c>
      <c r="J20" s="45">
        <v>3308</v>
      </c>
      <c r="K20" s="45">
        <v>3308</v>
      </c>
      <c r="L20" s="45">
        <v>0</v>
      </c>
      <c r="M20" s="45">
        <v>0</v>
      </c>
      <c r="N20" s="45">
        <v>0</v>
      </c>
      <c r="O20" s="45">
        <v>0</v>
      </c>
      <c r="P20" s="45">
        <v>0</v>
      </c>
      <c r="Q20" s="45">
        <v>0</v>
      </c>
      <c r="R20" s="45">
        <v>0</v>
      </c>
      <c r="S20" s="45">
        <v>0</v>
      </c>
      <c r="T20" s="45">
        <v>0</v>
      </c>
      <c r="U20" s="45">
        <v>0</v>
      </c>
      <c r="V20" s="45">
        <v>0</v>
      </c>
      <c r="W20" s="45">
        <v>0</v>
      </c>
      <c r="X20" s="45">
        <v>0</v>
      </c>
      <c r="Y20" s="45">
        <v>0</v>
      </c>
      <c r="Z20" s="45">
        <v>0</v>
      </c>
    </row>
    <row r="23" spans="2:26" ht="12.75">
      <c r="B23" s="35" t="s">
        <v>782</v>
      </c>
      <c r="C23" s="4">
        <v>150332.9304095687</v>
      </c>
      <c r="D23" s="4">
        <v>149004.06309605573</v>
      </c>
      <c r="E23" s="157">
        <v>155454.27054940257</v>
      </c>
      <c r="F23" s="157">
        <v>164055.9865887491</v>
      </c>
      <c r="G23" s="157">
        <v>170165.12334927858</v>
      </c>
      <c r="H23" s="157">
        <v>176828.22757515055</v>
      </c>
      <c r="I23" s="157">
        <v>182621.41757638965</v>
      </c>
      <c r="J23" s="157">
        <v>191337.16741050038</v>
      </c>
      <c r="K23" s="157">
        <v>201195.2270576096</v>
      </c>
      <c r="L23" s="157">
        <v>215577.7515362721</v>
      </c>
      <c r="M23" s="157">
        <v>224945.45037433878</v>
      </c>
      <c r="N23" s="157">
        <v>237318.3198041949</v>
      </c>
      <c r="O23" s="157">
        <v>249022.24934714916</v>
      </c>
      <c r="P23" s="157">
        <v>262260.7821228832</v>
      </c>
      <c r="Q23" s="157">
        <v>276494.46119570365</v>
      </c>
      <c r="R23" s="157">
        <v>292475.2478932099</v>
      </c>
      <c r="S23" s="157">
        <v>310714.38805108896</v>
      </c>
      <c r="T23" s="157">
        <v>325721.3351029149</v>
      </c>
      <c r="U23" s="157">
        <v>341174.8557565323</v>
      </c>
      <c r="V23" s="157">
        <v>357350.29769838206</v>
      </c>
      <c r="W23" s="157">
        <v>374153.74281786673</v>
      </c>
      <c r="X23" s="157">
        <v>388250.5061996611</v>
      </c>
      <c r="Y23" s="157">
        <v>35738.257731958765</v>
      </c>
      <c r="Z23" s="157">
        <v>0</v>
      </c>
    </row>
    <row r="24" spans="2:26" ht="12.75">
      <c r="B24" s="35" t="s">
        <v>740</v>
      </c>
      <c r="C24" s="4">
        <v>32754.639175257733</v>
      </c>
      <c r="D24" s="4">
        <v>32754.639175257733</v>
      </c>
      <c r="E24" s="157">
        <v>32754.639175257733</v>
      </c>
      <c r="F24" s="157">
        <v>32754.639175257733</v>
      </c>
      <c r="G24" s="157">
        <v>32754.639175257733</v>
      </c>
      <c r="H24" s="157">
        <v>32754.639175257733</v>
      </c>
      <c r="I24" s="157">
        <v>32754.639175257733</v>
      </c>
      <c r="J24" s="157">
        <v>32754.639175257733</v>
      </c>
      <c r="K24" s="157">
        <v>32754.639175257733</v>
      </c>
      <c r="L24" s="157">
        <v>32754.639175257733</v>
      </c>
      <c r="M24" s="157">
        <v>32754.639175257733</v>
      </c>
      <c r="N24" s="157">
        <v>32754.639175257733</v>
      </c>
      <c r="O24" s="157">
        <v>32754.639175257733</v>
      </c>
      <c r="P24" s="157">
        <v>32754.639175257733</v>
      </c>
      <c r="Q24" s="157">
        <v>32754.639175257733</v>
      </c>
      <c r="R24" s="157">
        <v>32754.639175257733</v>
      </c>
      <c r="S24" s="157">
        <v>32754.639175257733</v>
      </c>
      <c r="T24" s="157">
        <v>32754.639175257733</v>
      </c>
      <c r="U24" s="157">
        <v>32754.639175257733</v>
      </c>
      <c r="V24" s="157">
        <v>32754.639175257733</v>
      </c>
      <c r="W24" s="157">
        <v>32754.639175257733</v>
      </c>
      <c r="X24" s="157">
        <v>32754.639175257733</v>
      </c>
      <c r="Y24" s="157">
        <v>8188.659793814433</v>
      </c>
      <c r="Z24" s="157">
        <v>0</v>
      </c>
    </row>
    <row r="25" spans="2:26" ht="12.75">
      <c r="B25" s="35" t="s">
        <v>741</v>
      </c>
      <c r="C25" s="4">
        <v>37637.31958762887</v>
      </c>
      <c r="D25" s="4">
        <v>37637.31958762887</v>
      </c>
      <c r="E25" s="157">
        <v>37637.31958762887</v>
      </c>
      <c r="F25" s="157">
        <v>37637.31958762887</v>
      </c>
      <c r="G25" s="157">
        <v>37637.31958762887</v>
      </c>
      <c r="H25" s="157">
        <v>37637.31958762887</v>
      </c>
      <c r="I25" s="157">
        <v>37637.31958762887</v>
      </c>
      <c r="J25" s="157">
        <v>37637.31958762887</v>
      </c>
      <c r="K25" s="157">
        <v>37637.31958762887</v>
      </c>
      <c r="L25" s="157">
        <v>37637.31958762887</v>
      </c>
      <c r="M25" s="157">
        <v>37637.31958762887</v>
      </c>
      <c r="N25" s="157">
        <v>37637.31958762887</v>
      </c>
      <c r="O25" s="157">
        <v>37637.31958762887</v>
      </c>
      <c r="P25" s="157">
        <v>37637.31958762887</v>
      </c>
      <c r="Q25" s="157">
        <v>37637.31958762887</v>
      </c>
      <c r="R25" s="157">
        <v>37637.31958762887</v>
      </c>
      <c r="S25" s="157">
        <v>37637.31958762887</v>
      </c>
      <c r="T25" s="157">
        <v>37637.31958762887</v>
      </c>
      <c r="U25" s="157">
        <v>37637.31958762887</v>
      </c>
      <c r="V25" s="157">
        <v>37637.31958762887</v>
      </c>
      <c r="W25" s="157">
        <v>37637.31958762887</v>
      </c>
      <c r="X25" s="157">
        <v>37637.31958762887</v>
      </c>
      <c r="Y25" s="157">
        <v>9409.329896907217</v>
      </c>
      <c r="Z25" s="157">
        <v>0</v>
      </c>
    </row>
    <row r="26" spans="2:26" ht="12.75">
      <c r="B26" t="s">
        <v>686</v>
      </c>
      <c r="C26" s="4">
        <v>4108</v>
      </c>
      <c r="D26" s="4">
        <v>4108</v>
      </c>
      <c r="E26" s="157">
        <v>5705.833333333333</v>
      </c>
      <c r="F26" s="157">
        <v>5705.833333333333</v>
      </c>
      <c r="G26" s="157">
        <v>5705.833333333333</v>
      </c>
      <c r="H26" s="157">
        <v>5705.833333333333</v>
      </c>
      <c r="I26" s="157">
        <v>5705.833333333333</v>
      </c>
      <c r="J26" s="157">
        <v>5705.833333333333</v>
      </c>
      <c r="K26" s="157">
        <v>5705.833333333333</v>
      </c>
      <c r="L26" s="157">
        <v>5705.833333333333</v>
      </c>
      <c r="M26" s="157">
        <v>5705.833333333333</v>
      </c>
      <c r="N26" s="157">
        <v>0</v>
      </c>
      <c r="O26" s="157">
        <v>0</v>
      </c>
      <c r="P26" s="157">
        <v>0</v>
      </c>
      <c r="Q26" s="157">
        <v>0</v>
      </c>
      <c r="R26" s="157">
        <v>0</v>
      </c>
      <c r="S26" s="157">
        <v>0</v>
      </c>
      <c r="T26" s="157">
        <v>0</v>
      </c>
      <c r="U26" s="157">
        <v>0</v>
      </c>
      <c r="V26" s="157">
        <v>0</v>
      </c>
      <c r="W26" s="157">
        <v>0</v>
      </c>
      <c r="X26" s="157">
        <v>0</v>
      </c>
      <c r="Y26" s="157">
        <v>0</v>
      </c>
      <c r="Z26" s="157">
        <v>0</v>
      </c>
    </row>
    <row r="27" spans="2:26" ht="12.75">
      <c r="B27" t="s">
        <v>685</v>
      </c>
      <c r="C27" s="4">
        <v>1655.8333333333333</v>
      </c>
      <c r="D27" s="4">
        <v>1655.8333333333333</v>
      </c>
      <c r="E27" s="157">
        <v>1987</v>
      </c>
      <c r="F27" s="157">
        <v>1987</v>
      </c>
      <c r="G27" s="157">
        <v>0</v>
      </c>
      <c r="H27" s="157">
        <v>0</v>
      </c>
      <c r="I27" s="157">
        <v>0</v>
      </c>
      <c r="J27" s="157">
        <v>0</v>
      </c>
      <c r="K27" s="157">
        <v>0</v>
      </c>
      <c r="L27" s="157">
        <v>0</v>
      </c>
      <c r="M27" s="157">
        <v>0</v>
      </c>
      <c r="N27" s="157">
        <v>0</v>
      </c>
      <c r="O27" s="157">
        <v>0</v>
      </c>
      <c r="P27" s="157">
        <v>0</v>
      </c>
      <c r="Q27" s="157">
        <v>0</v>
      </c>
      <c r="R27" s="157">
        <v>0</v>
      </c>
      <c r="S27" s="157">
        <v>0</v>
      </c>
      <c r="T27" s="157">
        <v>0</v>
      </c>
      <c r="U27" s="157">
        <v>0</v>
      </c>
      <c r="V27" s="157">
        <v>0</v>
      </c>
      <c r="W27" s="157">
        <v>0</v>
      </c>
      <c r="X27" s="157">
        <v>0</v>
      </c>
      <c r="Y27" s="157">
        <v>0</v>
      </c>
      <c r="Z27" s="157">
        <v>0</v>
      </c>
    </row>
    <row r="28" spans="2:26" ht="12.75">
      <c r="B28" s="35"/>
      <c r="C28" s="4"/>
      <c r="D28" s="12"/>
      <c r="E28" s="378"/>
      <c r="F28" s="378"/>
      <c r="G28" s="378"/>
      <c r="H28" s="378"/>
      <c r="I28" s="378"/>
      <c r="J28" s="378"/>
      <c r="K28" s="378"/>
      <c r="L28" s="378"/>
      <c r="M28" s="378"/>
      <c r="N28" s="378"/>
      <c r="O28" s="378"/>
      <c r="P28" s="378"/>
      <c r="Q28" s="378"/>
      <c r="R28" s="378"/>
      <c r="S28" s="378"/>
      <c r="T28" s="378"/>
      <c r="U28" s="378"/>
      <c r="V28" s="378"/>
      <c r="W28" s="378"/>
      <c r="X28" s="378"/>
      <c r="Y28" s="378"/>
      <c r="Z28" s="378"/>
    </row>
    <row r="29" spans="2:26" s="135" customFormat="1" ht="12.75">
      <c r="B29" s="231" t="s">
        <v>761</v>
      </c>
      <c r="C29" s="135">
        <v>33737.85096657003</v>
      </c>
      <c r="D29" s="135">
        <v>35213.06382173961</v>
      </c>
      <c r="E29" s="379">
        <v>40043.17800442227</v>
      </c>
      <c r="F29" s="379">
        <v>41798.317985356014</v>
      </c>
      <c r="G29" s="379">
        <v>43631.503429397846</v>
      </c>
      <c r="H29" s="379">
        <v>45546.25873536972</v>
      </c>
      <c r="I29" s="379">
        <v>47546.270031181586</v>
      </c>
      <c r="J29" s="379">
        <v>49635.39271614784</v>
      </c>
      <c r="K29" s="379">
        <v>51817.659360626276</v>
      </c>
      <c r="L29" s="379">
        <v>54097.28798016184</v>
      </c>
      <c r="M29" s="379">
        <v>56478.69070215477</v>
      </c>
      <c r="N29" s="379">
        <v>58966.48284395218</v>
      </c>
      <c r="O29" s="379">
        <v>61565.49242218377</v>
      </c>
      <c r="P29" s="379">
        <v>64280.77011413095</v>
      </c>
      <c r="Q29" s="379">
        <v>67117.59969293355</v>
      </c>
      <c r="R29" s="379">
        <v>70081.50895950505</v>
      </c>
      <c r="S29" s="379">
        <v>73178.28119514525</v>
      </c>
      <c r="T29" s="379">
        <v>76413.96716001356</v>
      </c>
      <c r="U29" s="379">
        <v>79794.89766385841</v>
      </c>
      <c r="V29" s="379">
        <v>83327.696736691</v>
      </c>
      <c r="W29" s="379">
        <v>87019.29542844936</v>
      </c>
      <c r="X29" s="379">
        <v>90876.94626812308</v>
      </c>
      <c r="Y29" s="379">
        <v>89439.25012904775</v>
      </c>
      <c r="Z29" s="379">
        <v>81382.47849321004</v>
      </c>
    </row>
    <row r="30" spans="2:26" ht="12.75">
      <c r="B30" s="35" t="s">
        <v>776</v>
      </c>
      <c r="E30" s="378">
        <f>SUM(E23:E28)</f>
        <v>233539.0626456225</v>
      </c>
      <c r="F30" s="378">
        <f aca="true" t="shared" si="6" ref="F30:Z30">SUM(F23:F28)</f>
        <v>242140.77868496903</v>
      </c>
      <c r="G30" s="378">
        <f t="shared" si="6"/>
        <v>246262.9154454985</v>
      </c>
      <c r="H30" s="378">
        <f t="shared" si="6"/>
        <v>252926.01967137048</v>
      </c>
      <c r="I30" s="378">
        <f t="shared" si="6"/>
        <v>258719.2096726096</v>
      </c>
      <c r="J30" s="378">
        <f t="shared" si="6"/>
        <v>267434.9595067203</v>
      </c>
      <c r="K30" s="378">
        <f t="shared" si="6"/>
        <v>277293.0191538295</v>
      </c>
      <c r="L30" s="378">
        <f t="shared" si="6"/>
        <v>291675.543632492</v>
      </c>
      <c r="M30" s="378">
        <f t="shared" si="6"/>
        <v>301043.2424705587</v>
      </c>
      <c r="N30" s="378">
        <f t="shared" si="6"/>
        <v>307710.2785670815</v>
      </c>
      <c r="O30" s="378">
        <f t="shared" si="6"/>
        <v>319414.2081100358</v>
      </c>
      <c r="P30" s="378">
        <f t="shared" si="6"/>
        <v>332652.7408857698</v>
      </c>
      <c r="Q30" s="378">
        <f t="shared" si="6"/>
        <v>346886.41995859024</v>
      </c>
      <c r="R30" s="378">
        <f t="shared" si="6"/>
        <v>362867.20665609656</v>
      </c>
      <c r="S30" s="378">
        <f t="shared" si="6"/>
        <v>381106.34681397554</v>
      </c>
      <c r="T30" s="378">
        <f t="shared" si="6"/>
        <v>396113.2938658015</v>
      </c>
      <c r="U30" s="378">
        <f t="shared" si="6"/>
        <v>411566.8145194189</v>
      </c>
      <c r="V30" s="378">
        <f t="shared" si="6"/>
        <v>427742.2564612687</v>
      </c>
      <c r="W30" s="378">
        <f t="shared" si="6"/>
        <v>444545.7015807534</v>
      </c>
      <c r="X30" s="378">
        <f t="shared" si="6"/>
        <v>458642.4649625477</v>
      </c>
      <c r="Y30" s="378">
        <f t="shared" si="6"/>
        <v>53336.24742268042</v>
      </c>
      <c r="Z30" s="378">
        <f t="shared" si="6"/>
        <v>0</v>
      </c>
    </row>
    <row r="31" ht="12.75">
      <c r="E31" s="216"/>
    </row>
    <row r="32" spans="5:15" ht="12.75">
      <c r="E32" s="4">
        <f>+E30+E15</f>
        <v>452190.0382536622</v>
      </c>
      <c r="F32" s="4">
        <f aca="true" t="shared" si="7" ref="F32:O32">+F30+F15</f>
        <v>459666.27993634203</v>
      </c>
      <c r="G32" s="4">
        <f t="shared" si="7"/>
        <v>458272.40645353816</v>
      </c>
      <c r="H32" s="4">
        <f t="shared" si="7"/>
        <v>460706.8828494102</v>
      </c>
      <c r="I32" s="4">
        <f t="shared" si="7"/>
        <v>468340.25429398264</v>
      </c>
      <c r="J32" s="4">
        <f t="shared" si="7"/>
        <v>481001.05898142664</v>
      </c>
      <c r="K32" s="4">
        <f t="shared" si="7"/>
        <v>494054.9186285358</v>
      </c>
      <c r="L32" s="4">
        <f t="shared" si="7"/>
        <v>511986.4874557194</v>
      </c>
      <c r="M32" s="4">
        <f t="shared" si="7"/>
        <v>525580.3548099294</v>
      </c>
      <c r="N32" s="4">
        <f t="shared" si="7"/>
        <v>536046.8819308055</v>
      </c>
      <c r="O32" s="4">
        <f t="shared" si="7"/>
        <v>551093.3717810401</v>
      </c>
    </row>
    <row r="35" ht="12.75">
      <c r="E35" s="84" t="s">
        <v>486</v>
      </c>
    </row>
    <row r="36" ht="12.75">
      <c r="E36" s="84" t="s">
        <v>837</v>
      </c>
    </row>
    <row r="37" spans="5:17" ht="12.75">
      <c r="E37" s="19"/>
      <c r="F37" s="19"/>
      <c r="G37" s="19"/>
      <c r="H37" s="19"/>
      <c r="I37" s="19"/>
      <c r="J37" s="19"/>
      <c r="K37" s="19"/>
      <c r="L37" s="19"/>
      <c r="M37" s="19"/>
      <c r="N37" s="19"/>
      <c r="O37" s="19"/>
      <c r="P37" s="19"/>
      <c r="Q37" s="19"/>
    </row>
    <row r="38" spans="5:17" ht="12.75">
      <c r="E38" s="21"/>
      <c r="F38" s="21"/>
      <c r="G38" s="21"/>
      <c r="H38" s="21"/>
      <c r="I38" s="21"/>
      <c r="J38" s="21"/>
      <c r="K38" s="21"/>
      <c r="L38" s="21"/>
      <c r="M38" s="21"/>
      <c r="N38" s="21"/>
      <c r="O38" s="21"/>
      <c r="P38" s="21"/>
      <c r="Q38" s="21"/>
    </row>
    <row r="39" spans="5:17" ht="12.75">
      <c r="E39" s="232"/>
      <c r="F39" s="232"/>
      <c r="G39" s="232"/>
      <c r="H39" s="232"/>
      <c r="I39" s="232"/>
      <c r="J39" s="232"/>
      <c r="K39" s="232"/>
      <c r="L39" s="232"/>
      <c r="M39" s="232"/>
      <c r="N39" s="232"/>
      <c r="O39" s="232"/>
      <c r="P39" s="232"/>
      <c r="Q39" s="232"/>
    </row>
  </sheetData>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1:AG300"/>
  <sheetViews>
    <sheetView workbookViewId="0" topLeftCell="A1">
      <selection activeCell="E26" sqref="E26"/>
    </sheetView>
  </sheetViews>
  <sheetFormatPr defaultColWidth="9.140625" defaultRowHeight="12.75"/>
  <cols>
    <col min="1" max="1" width="0.13671875" style="107" customWidth="1"/>
    <col min="2" max="2" width="22.140625" style="120" customWidth="1"/>
    <col min="3" max="3" width="22.140625" style="120" hidden="1" customWidth="1"/>
    <col min="4" max="4" width="22.140625" style="120" customWidth="1"/>
    <col min="5" max="5" width="14.8515625" style="110" customWidth="1"/>
    <col min="6" max="11" width="11.57421875" style="107" bestFit="1" customWidth="1"/>
    <col min="12" max="30" width="11.28125" style="107" bestFit="1" customWidth="1"/>
    <col min="31" max="253" width="9.140625" style="107" customWidth="1"/>
    <col min="254" max="254" width="0.13671875" style="107" customWidth="1"/>
    <col min="255" max="255" width="35.140625" style="107" customWidth="1"/>
    <col min="256" max="256" width="9.7109375" style="107" customWidth="1"/>
    <col min="257" max="257" width="9.421875" style="107" customWidth="1"/>
    <col min="258" max="258" width="10.421875" style="107" customWidth="1"/>
    <col min="259" max="261" width="13.7109375" style="107" customWidth="1"/>
    <col min="262" max="509" width="9.140625" style="107" customWidth="1"/>
    <col min="510" max="510" width="0.13671875" style="107" customWidth="1"/>
    <col min="511" max="511" width="35.140625" style="107" customWidth="1"/>
    <col min="512" max="512" width="9.7109375" style="107" customWidth="1"/>
    <col min="513" max="513" width="9.421875" style="107" customWidth="1"/>
    <col min="514" max="514" width="10.421875" style="107" customWidth="1"/>
    <col min="515" max="517" width="13.7109375" style="107" customWidth="1"/>
    <col min="518" max="765" width="9.140625" style="107" customWidth="1"/>
    <col min="766" max="766" width="0.13671875" style="107" customWidth="1"/>
    <col min="767" max="767" width="35.140625" style="107" customWidth="1"/>
    <col min="768" max="768" width="9.7109375" style="107" customWidth="1"/>
    <col min="769" max="769" width="9.421875" style="107" customWidth="1"/>
    <col min="770" max="770" width="10.421875" style="107" customWidth="1"/>
    <col min="771" max="773" width="13.7109375" style="107" customWidth="1"/>
    <col min="774" max="1021" width="9.140625" style="107" customWidth="1"/>
    <col min="1022" max="1022" width="0.13671875" style="107" customWidth="1"/>
    <col min="1023" max="1023" width="35.140625" style="107" customWidth="1"/>
    <col min="1024" max="1024" width="9.7109375" style="107" customWidth="1"/>
    <col min="1025" max="1025" width="9.421875" style="107" customWidth="1"/>
    <col min="1026" max="1026" width="10.421875" style="107" customWidth="1"/>
    <col min="1027" max="1029" width="13.7109375" style="107" customWidth="1"/>
    <col min="1030" max="1277" width="9.140625" style="107" customWidth="1"/>
    <col min="1278" max="1278" width="0.13671875" style="107" customWidth="1"/>
    <col min="1279" max="1279" width="35.140625" style="107" customWidth="1"/>
    <col min="1280" max="1280" width="9.7109375" style="107" customWidth="1"/>
    <col min="1281" max="1281" width="9.421875" style="107" customWidth="1"/>
    <col min="1282" max="1282" width="10.421875" style="107" customWidth="1"/>
    <col min="1283" max="1285" width="13.7109375" style="107" customWidth="1"/>
    <col min="1286" max="1533" width="9.140625" style="107" customWidth="1"/>
    <col min="1534" max="1534" width="0.13671875" style="107" customWidth="1"/>
    <col min="1535" max="1535" width="35.140625" style="107" customWidth="1"/>
    <col min="1536" max="1536" width="9.7109375" style="107" customWidth="1"/>
    <col min="1537" max="1537" width="9.421875" style="107" customWidth="1"/>
    <col min="1538" max="1538" width="10.421875" style="107" customWidth="1"/>
    <col min="1539" max="1541" width="13.7109375" style="107" customWidth="1"/>
    <col min="1542" max="1789" width="9.140625" style="107" customWidth="1"/>
    <col min="1790" max="1790" width="0.13671875" style="107" customWidth="1"/>
    <col min="1791" max="1791" width="35.140625" style="107" customWidth="1"/>
    <col min="1792" max="1792" width="9.7109375" style="107" customWidth="1"/>
    <col min="1793" max="1793" width="9.421875" style="107" customWidth="1"/>
    <col min="1794" max="1794" width="10.421875" style="107" customWidth="1"/>
    <col min="1795" max="1797" width="13.7109375" style="107" customWidth="1"/>
    <col min="1798" max="2045" width="9.140625" style="107" customWidth="1"/>
    <col min="2046" max="2046" width="0.13671875" style="107" customWidth="1"/>
    <col min="2047" max="2047" width="35.140625" style="107" customWidth="1"/>
    <col min="2048" max="2048" width="9.7109375" style="107" customWidth="1"/>
    <col min="2049" max="2049" width="9.421875" style="107" customWidth="1"/>
    <col min="2050" max="2050" width="10.421875" style="107" customWidth="1"/>
    <col min="2051" max="2053" width="13.7109375" style="107" customWidth="1"/>
    <col min="2054" max="2301" width="9.140625" style="107" customWidth="1"/>
    <col min="2302" max="2302" width="0.13671875" style="107" customWidth="1"/>
    <col min="2303" max="2303" width="35.140625" style="107" customWidth="1"/>
    <col min="2304" max="2304" width="9.7109375" style="107" customWidth="1"/>
    <col min="2305" max="2305" width="9.421875" style="107" customWidth="1"/>
    <col min="2306" max="2306" width="10.421875" style="107" customWidth="1"/>
    <col min="2307" max="2309" width="13.7109375" style="107" customWidth="1"/>
    <col min="2310" max="2557" width="9.140625" style="107" customWidth="1"/>
    <col min="2558" max="2558" width="0.13671875" style="107" customWidth="1"/>
    <col min="2559" max="2559" width="35.140625" style="107" customWidth="1"/>
    <col min="2560" max="2560" width="9.7109375" style="107" customWidth="1"/>
    <col min="2561" max="2561" width="9.421875" style="107" customWidth="1"/>
    <col min="2562" max="2562" width="10.421875" style="107" customWidth="1"/>
    <col min="2563" max="2565" width="13.7109375" style="107" customWidth="1"/>
    <col min="2566" max="2813" width="9.140625" style="107" customWidth="1"/>
    <col min="2814" max="2814" width="0.13671875" style="107" customWidth="1"/>
    <col min="2815" max="2815" width="35.140625" style="107" customWidth="1"/>
    <col min="2816" max="2816" width="9.7109375" style="107" customWidth="1"/>
    <col min="2817" max="2817" width="9.421875" style="107" customWidth="1"/>
    <col min="2818" max="2818" width="10.421875" style="107" customWidth="1"/>
    <col min="2819" max="2821" width="13.7109375" style="107" customWidth="1"/>
    <col min="2822" max="3069" width="9.140625" style="107" customWidth="1"/>
    <col min="3070" max="3070" width="0.13671875" style="107" customWidth="1"/>
    <col min="3071" max="3071" width="35.140625" style="107" customWidth="1"/>
    <col min="3072" max="3072" width="9.7109375" style="107" customWidth="1"/>
    <col min="3073" max="3073" width="9.421875" style="107" customWidth="1"/>
    <col min="3074" max="3074" width="10.421875" style="107" customWidth="1"/>
    <col min="3075" max="3077" width="13.7109375" style="107" customWidth="1"/>
    <col min="3078" max="3325" width="9.140625" style="107" customWidth="1"/>
    <col min="3326" max="3326" width="0.13671875" style="107" customWidth="1"/>
    <col min="3327" max="3327" width="35.140625" style="107" customWidth="1"/>
    <col min="3328" max="3328" width="9.7109375" style="107" customWidth="1"/>
    <col min="3329" max="3329" width="9.421875" style="107" customWidth="1"/>
    <col min="3330" max="3330" width="10.421875" style="107" customWidth="1"/>
    <col min="3331" max="3333" width="13.7109375" style="107" customWidth="1"/>
    <col min="3334" max="3581" width="9.140625" style="107" customWidth="1"/>
    <col min="3582" max="3582" width="0.13671875" style="107" customWidth="1"/>
    <col min="3583" max="3583" width="35.140625" style="107" customWidth="1"/>
    <col min="3584" max="3584" width="9.7109375" style="107" customWidth="1"/>
    <col min="3585" max="3585" width="9.421875" style="107" customWidth="1"/>
    <col min="3586" max="3586" width="10.421875" style="107" customWidth="1"/>
    <col min="3587" max="3589" width="13.7109375" style="107" customWidth="1"/>
    <col min="3590" max="3837" width="9.140625" style="107" customWidth="1"/>
    <col min="3838" max="3838" width="0.13671875" style="107" customWidth="1"/>
    <col min="3839" max="3839" width="35.140625" style="107" customWidth="1"/>
    <col min="3840" max="3840" width="9.7109375" style="107" customWidth="1"/>
    <col min="3841" max="3841" width="9.421875" style="107" customWidth="1"/>
    <col min="3842" max="3842" width="10.421875" style="107" customWidth="1"/>
    <col min="3843" max="3845" width="13.7109375" style="107" customWidth="1"/>
    <col min="3846" max="4093" width="9.140625" style="107" customWidth="1"/>
    <col min="4094" max="4094" width="0.13671875" style="107" customWidth="1"/>
    <col min="4095" max="4095" width="35.140625" style="107" customWidth="1"/>
    <col min="4096" max="4096" width="9.7109375" style="107" customWidth="1"/>
    <col min="4097" max="4097" width="9.421875" style="107" customWidth="1"/>
    <col min="4098" max="4098" width="10.421875" style="107" customWidth="1"/>
    <col min="4099" max="4101" width="13.7109375" style="107" customWidth="1"/>
    <col min="4102" max="4349" width="9.140625" style="107" customWidth="1"/>
    <col min="4350" max="4350" width="0.13671875" style="107" customWidth="1"/>
    <col min="4351" max="4351" width="35.140625" style="107" customWidth="1"/>
    <col min="4352" max="4352" width="9.7109375" style="107" customWidth="1"/>
    <col min="4353" max="4353" width="9.421875" style="107" customWidth="1"/>
    <col min="4354" max="4354" width="10.421875" style="107" customWidth="1"/>
    <col min="4355" max="4357" width="13.7109375" style="107" customWidth="1"/>
    <col min="4358" max="4605" width="9.140625" style="107" customWidth="1"/>
    <col min="4606" max="4606" width="0.13671875" style="107" customWidth="1"/>
    <col min="4607" max="4607" width="35.140625" style="107" customWidth="1"/>
    <col min="4608" max="4608" width="9.7109375" style="107" customWidth="1"/>
    <col min="4609" max="4609" width="9.421875" style="107" customWidth="1"/>
    <col min="4610" max="4610" width="10.421875" style="107" customWidth="1"/>
    <col min="4611" max="4613" width="13.7109375" style="107" customWidth="1"/>
    <col min="4614" max="4861" width="9.140625" style="107" customWidth="1"/>
    <col min="4862" max="4862" width="0.13671875" style="107" customWidth="1"/>
    <col min="4863" max="4863" width="35.140625" style="107" customWidth="1"/>
    <col min="4864" max="4864" width="9.7109375" style="107" customWidth="1"/>
    <col min="4865" max="4865" width="9.421875" style="107" customWidth="1"/>
    <col min="4866" max="4866" width="10.421875" style="107" customWidth="1"/>
    <col min="4867" max="4869" width="13.7109375" style="107" customWidth="1"/>
    <col min="4870" max="5117" width="9.140625" style="107" customWidth="1"/>
    <col min="5118" max="5118" width="0.13671875" style="107" customWidth="1"/>
    <col min="5119" max="5119" width="35.140625" style="107" customWidth="1"/>
    <col min="5120" max="5120" width="9.7109375" style="107" customWidth="1"/>
    <col min="5121" max="5121" width="9.421875" style="107" customWidth="1"/>
    <col min="5122" max="5122" width="10.421875" style="107" customWidth="1"/>
    <col min="5123" max="5125" width="13.7109375" style="107" customWidth="1"/>
    <col min="5126" max="5373" width="9.140625" style="107" customWidth="1"/>
    <col min="5374" max="5374" width="0.13671875" style="107" customWidth="1"/>
    <col min="5375" max="5375" width="35.140625" style="107" customWidth="1"/>
    <col min="5376" max="5376" width="9.7109375" style="107" customWidth="1"/>
    <col min="5377" max="5377" width="9.421875" style="107" customWidth="1"/>
    <col min="5378" max="5378" width="10.421875" style="107" customWidth="1"/>
    <col min="5379" max="5381" width="13.7109375" style="107" customWidth="1"/>
    <col min="5382" max="5629" width="9.140625" style="107" customWidth="1"/>
    <col min="5630" max="5630" width="0.13671875" style="107" customWidth="1"/>
    <col min="5631" max="5631" width="35.140625" style="107" customWidth="1"/>
    <col min="5632" max="5632" width="9.7109375" style="107" customWidth="1"/>
    <col min="5633" max="5633" width="9.421875" style="107" customWidth="1"/>
    <col min="5634" max="5634" width="10.421875" style="107" customWidth="1"/>
    <col min="5635" max="5637" width="13.7109375" style="107" customWidth="1"/>
    <col min="5638" max="5885" width="9.140625" style="107" customWidth="1"/>
    <col min="5886" max="5886" width="0.13671875" style="107" customWidth="1"/>
    <col min="5887" max="5887" width="35.140625" style="107" customWidth="1"/>
    <col min="5888" max="5888" width="9.7109375" style="107" customWidth="1"/>
    <col min="5889" max="5889" width="9.421875" style="107" customWidth="1"/>
    <col min="5890" max="5890" width="10.421875" style="107" customWidth="1"/>
    <col min="5891" max="5893" width="13.7109375" style="107" customWidth="1"/>
    <col min="5894" max="6141" width="9.140625" style="107" customWidth="1"/>
    <col min="6142" max="6142" width="0.13671875" style="107" customWidth="1"/>
    <col min="6143" max="6143" width="35.140625" style="107" customWidth="1"/>
    <col min="6144" max="6144" width="9.7109375" style="107" customWidth="1"/>
    <col min="6145" max="6145" width="9.421875" style="107" customWidth="1"/>
    <col min="6146" max="6146" width="10.421875" style="107" customWidth="1"/>
    <col min="6147" max="6149" width="13.7109375" style="107" customWidth="1"/>
    <col min="6150" max="6397" width="9.140625" style="107" customWidth="1"/>
    <col min="6398" max="6398" width="0.13671875" style="107" customWidth="1"/>
    <col min="6399" max="6399" width="35.140625" style="107" customWidth="1"/>
    <col min="6400" max="6400" width="9.7109375" style="107" customWidth="1"/>
    <col min="6401" max="6401" width="9.421875" style="107" customWidth="1"/>
    <col min="6402" max="6402" width="10.421875" style="107" customWidth="1"/>
    <col min="6403" max="6405" width="13.7109375" style="107" customWidth="1"/>
    <col min="6406" max="6653" width="9.140625" style="107" customWidth="1"/>
    <col min="6654" max="6654" width="0.13671875" style="107" customWidth="1"/>
    <col min="6655" max="6655" width="35.140625" style="107" customWidth="1"/>
    <col min="6656" max="6656" width="9.7109375" style="107" customWidth="1"/>
    <col min="6657" max="6657" width="9.421875" style="107" customWidth="1"/>
    <col min="6658" max="6658" width="10.421875" style="107" customWidth="1"/>
    <col min="6659" max="6661" width="13.7109375" style="107" customWidth="1"/>
    <col min="6662" max="6909" width="9.140625" style="107" customWidth="1"/>
    <col min="6910" max="6910" width="0.13671875" style="107" customWidth="1"/>
    <col min="6911" max="6911" width="35.140625" style="107" customWidth="1"/>
    <col min="6912" max="6912" width="9.7109375" style="107" customWidth="1"/>
    <col min="6913" max="6913" width="9.421875" style="107" customWidth="1"/>
    <col min="6914" max="6914" width="10.421875" style="107" customWidth="1"/>
    <col min="6915" max="6917" width="13.7109375" style="107" customWidth="1"/>
    <col min="6918" max="7165" width="9.140625" style="107" customWidth="1"/>
    <col min="7166" max="7166" width="0.13671875" style="107" customWidth="1"/>
    <col min="7167" max="7167" width="35.140625" style="107" customWidth="1"/>
    <col min="7168" max="7168" width="9.7109375" style="107" customWidth="1"/>
    <col min="7169" max="7169" width="9.421875" style="107" customWidth="1"/>
    <col min="7170" max="7170" width="10.421875" style="107" customWidth="1"/>
    <col min="7171" max="7173" width="13.7109375" style="107" customWidth="1"/>
    <col min="7174" max="7421" width="9.140625" style="107" customWidth="1"/>
    <col min="7422" max="7422" width="0.13671875" style="107" customWidth="1"/>
    <col min="7423" max="7423" width="35.140625" style="107" customWidth="1"/>
    <col min="7424" max="7424" width="9.7109375" style="107" customWidth="1"/>
    <col min="7425" max="7425" width="9.421875" style="107" customWidth="1"/>
    <col min="7426" max="7426" width="10.421875" style="107" customWidth="1"/>
    <col min="7427" max="7429" width="13.7109375" style="107" customWidth="1"/>
    <col min="7430" max="7677" width="9.140625" style="107" customWidth="1"/>
    <col min="7678" max="7678" width="0.13671875" style="107" customWidth="1"/>
    <col min="7679" max="7679" width="35.140625" style="107" customWidth="1"/>
    <col min="7680" max="7680" width="9.7109375" style="107" customWidth="1"/>
    <col min="7681" max="7681" width="9.421875" style="107" customWidth="1"/>
    <col min="7682" max="7682" width="10.421875" style="107" customWidth="1"/>
    <col min="7683" max="7685" width="13.7109375" style="107" customWidth="1"/>
    <col min="7686" max="7933" width="9.140625" style="107" customWidth="1"/>
    <col min="7934" max="7934" width="0.13671875" style="107" customWidth="1"/>
    <col min="7935" max="7935" width="35.140625" style="107" customWidth="1"/>
    <col min="7936" max="7936" width="9.7109375" style="107" customWidth="1"/>
    <col min="7937" max="7937" width="9.421875" style="107" customWidth="1"/>
    <col min="7938" max="7938" width="10.421875" style="107" customWidth="1"/>
    <col min="7939" max="7941" width="13.7109375" style="107" customWidth="1"/>
    <col min="7942" max="8189" width="9.140625" style="107" customWidth="1"/>
    <col min="8190" max="8190" width="0.13671875" style="107" customWidth="1"/>
    <col min="8191" max="8191" width="35.140625" style="107" customWidth="1"/>
    <col min="8192" max="8192" width="9.7109375" style="107" customWidth="1"/>
    <col min="8193" max="8193" width="9.421875" style="107" customWidth="1"/>
    <col min="8194" max="8194" width="10.421875" style="107" customWidth="1"/>
    <col min="8195" max="8197" width="13.7109375" style="107" customWidth="1"/>
    <col min="8198" max="8445" width="9.140625" style="107" customWidth="1"/>
    <col min="8446" max="8446" width="0.13671875" style="107" customWidth="1"/>
    <col min="8447" max="8447" width="35.140625" style="107" customWidth="1"/>
    <col min="8448" max="8448" width="9.7109375" style="107" customWidth="1"/>
    <col min="8449" max="8449" width="9.421875" style="107" customWidth="1"/>
    <col min="8450" max="8450" width="10.421875" style="107" customWidth="1"/>
    <col min="8451" max="8453" width="13.7109375" style="107" customWidth="1"/>
    <col min="8454" max="8701" width="9.140625" style="107" customWidth="1"/>
    <col min="8702" max="8702" width="0.13671875" style="107" customWidth="1"/>
    <col min="8703" max="8703" width="35.140625" style="107" customWidth="1"/>
    <col min="8704" max="8704" width="9.7109375" style="107" customWidth="1"/>
    <col min="8705" max="8705" width="9.421875" style="107" customWidth="1"/>
    <col min="8706" max="8706" width="10.421875" style="107" customWidth="1"/>
    <col min="8707" max="8709" width="13.7109375" style="107" customWidth="1"/>
    <col min="8710" max="8957" width="9.140625" style="107" customWidth="1"/>
    <col min="8958" max="8958" width="0.13671875" style="107" customWidth="1"/>
    <col min="8959" max="8959" width="35.140625" style="107" customWidth="1"/>
    <col min="8960" max="8960" width="9.7109375" style="107" customWidth="1"/>
    <col min="8961" max="8961" width="9.421875" style="107" customWidth="1"/>
    <col min="8962" max="8962" width="10.421875" style="107" customWidth="1"/>
    <col min="8963" max="8965" width="13.7109375" style="107" customWidth="1"/>
    <col min="8966" max="9213" width="9.140625" style="107" customWidth="1"/>
    <col min="9214" max="9214" width="0.13671875" style="107" customWidth="1"/>
    <col min="9215" max="9215" width="35.140625" style="107" customWidth="1"/>
    <col min="9216" max="9216" width="9.7109375" style="107" customWidth="1"/>
    <col min="9217" max="9217" width="9.421875" style="107" customWidth="1"/>
    <col min="9218" max="9218" width="10.421875" style="107" customWidth="1"/>
    <col min="9219" max="9221" width="13.7109375" style="107" customWidth="1"/>
    <col min="9222" max="9469" width="9.140625" style="107" customWidth="1"/>
    <col min="9470" max="9470" width="0.13671875" style="107" customWidth="1"/>
    <col min="9471" max="9471" width="35.140625" style="107" customWidth="1"/>
    <col min="9472" max="9472" width="9.7109375" style="107" customWidth="1"/>
    <col min="9473" max="9473" width="9.421875" style="107" customWidth="1"/>
    <col min="9474" max="9474" width="10.421875" style="107" customWidth="1"/>
    <col min="9475" max="9477" width="13.7109375" style="107" customWidth="1"/>
    <col min="9478" max="9725" width="9.140625" style="107" customWidth="1"/>
    <col min="9726" max="9726" width="0.13671875" style="107" customWidth="1"/>
    <col min="9727" max="9727" width="35.140625" style="107" customWidth="1"/>
    <col min="9728" max="9728" width="9.7109375" style="107" customWidth="1"/>
    <col min="9729" max="9729" width="9.421875" style="107" customWidth="1"/>
    <col min="9730" max="9730" width="10.421875" style="107" customWidth="1"/>
    <col min="9731" max="9733" width="13.7109375" style="107" customWidth="1"/>
    <col min="9734" max="9981" width="9.140625" style="107" customWidth="1"/>
    <col min="9982" max="9982" width="0.13671875" style="107" customWidth="1"/>
    <col min="9983" max="9983" width="35.140625" style="107" customWidth="1"/>
    <col min="9984" max="9984" width="9.7109375" style="107" customWidth="1"/>
    <col min="9985" max="9985" width="9.421875" style="107" customWidth="1"/>
    <col min="9986" max="9986" width="10.421875" style="107" customWidth="1"/>
    <col min="9987" max="9989" width="13.7109375" style="107" customWidth="1"/>
    <col min="9990" max="10237" width="9.140625" style="107" customWidth="1"/>
    <col min="10238" max="10238" width="0.13671875" style="107" customWidth="1"/>
    <col min="10239" max="10239" width="35.140625" style="107" customWidth="1"/>
    <col min="10240" max="10240" width="9.7109375" style="107" customWidth="1"/>
    <col min="10241" max="10241" width="9.421875" style="107" customWidth="1"/>
    <col min="10242" max="10242" width="10.421875" style="107" customWidth="1"/>
    <col min="10243" max="10245" width="13.7109375" style="107" customWidth="1"/>
    <col min="10246" max="10493" width="9.140625" style="107" customWidth="1"/>
    <col min="10494" max="10494" width="0.13671875" style="107" customWidth="1"/>
    <col min="10495" max="10495" width="35.140625" style="107" customWidth="1"/>
    <col min="10496" max="10496" width="9.7109375" style="107" customWidth="1"/>
    <col min="10497" max="10497" width="9.421875" style="107" customWidth="1"/>
    <col min="10498" max="10498" width="10.421875" style="107" customWidth="1"/>
    <col min="10499" max="10501" width="13.7109375" style="107" customWidth="1"/>
    <col min="10502" max="10749" width="9.140625" style="107" customWidth="1"/>
    <col min="10750" max="10750" width="0.13671875" style="107" customWidth="1"/>
    <col min="10751" max="10751" width="35.140625" style="107" customWidth="1"/>
    <col min="10752" max="10752" width="9.7109375" style="107" customWidth="1"/>
    <col min="10753" max="10753" width="9.421875" style="107" customWidth="1"/>
    <col min="10754" max="10754" width="10.421875" style="107" customWidth="1"/>
    <col min="10755" max="10757" width="13.7109375" style="107" customWidth="1"/>
    <col min="10758" max="11005" width="9.140625" style="107" customWidth="1"/>
    <col min="11006" max="11006" width="0.13671875" style="107" customWidth="1"/>
    <col min="11007" max="11007" width="35.140625" style="107" customWidth="1"/>
    <col min="11008" max="11008" width="9.7109375" style="107" customWidth="1"/>
    <col min="11009" max="11009" width="9.421875" style="107" customWidth="1"/>
    <col min="11010" max="11010" width="10.421875" style="107" customWidth="1"/>
    <col min="11011" max="11013" width="13.7109375" style="107" customWidth="1"/>
    <col min="11014" max="11261" width="9.140625" style="107" customWidth="1"/>
    <col min="11262" max="11262" width="0.13671875" style="107" customWidth="1"/>
    <col min="11263" max="11263" width="35.140625" style="107" customWidth="1"/>
    <col min="11264" max="11264" width="9.7109375" style="107" customWidth="1"/>
    <col min="11265" max="11265" width="9.421875" style="107" customWidth="1"/>
    <col min="11266" max="11266" width="10.421875" style="107" customWidth="1"/>
    <col min="11267" max="11269" width="13.7109375" style="107" customWidth="1"/>
    <col min="11270" max="11517" width="9.140625" style="107" customWidth="1"/>
    <col min="11518" max="11518" width="0.13671875" style="107" customWidth="1"/>
    <col min="11519" max="11519" width="35.140625" style="107" customWidth="1"/>
    <col min="11520" max="11520" width="9.7109375" style="107" customWidth="1"/>
    <col min="11521" max="11521" width="9.421875" style="107" customWidth="1"/>
    <col min="11522" max="11522" width="10.421875" style="107" customWidth="1"/>
    <col min="11523" max="11525" width="13.7109375" style="107" customWidth="1"/>
    <col min="11526" max="11773" width="9.140625" style="107" customWidth="1"/>
    <col min="11774" max="11774" width="0.13671875" style="107" customWidth="1"/>
    <col min="11775" max="11775" width="35.140625" style="107" customWidth="1"/>
    <col min="11776" max="11776" width="9.7109375" style="107" customWidth="1"/>
    <col min="11777" max="11777" width="9.421875" style="107" customWidth="1"/>
    <col min="11778" max="11778" width="10.421875" style="107" customWidth="1"/>
    <col min="11779" max="11781" width="13.7109375" style="107" customWidth="1"/>
    <col min="11782" max="12029" width="9.140625" style="107" customWidth="1"/>
    <col min="12030" max="12030" width="0.13671875" style="107" customWidth="1"/>
    <col min="12031" max="12031" width="35.140625" style="107" customWidth="1"/>
    <col min="12032" max="12032" width="9.7109375" style="107" customWidth="1"/>
    <col min="12033" max="12033" width="9.421875" style="107" customWidth="1"/>
    <col min="12034" max="12034" width="10.421875" style="107" customWidth="1"/>
    <col min="12035" max="12037" width="13.7109375" style="107" customWidth="1"/>
    <col min="12038" max="12285" width="9.140625" style="107" customWidth="1"/>
    <col min="12286" max="12286" width="0.13671875" style="107" customWidth="1"/>
    <col min="12287" max="12287" width="35.140625" style="107" customWidth="1"/>
    <col min="12288" max="12288" width="9.7109375" style="107" customWidth="1"/>
    <col min="12289" max="12289" width="9.421875" style="107" customWidth="1"/>
    <col min="12290" max="12290" width="10.421875" style="107" customWidth="1"/>
    <col min="12291" max="12293" width="13.7109375" style="107" customWidth="1"/>
    <col min="12294" max="12541" width="9.140625" style="107" customWidth="1"/>
    <col min="12542" max="12542" width="0.13671875" style="107" customWidth="1"/>
    <col min="12543" max="12543" width="35.140625" style="107" customWidth="1"/>
    <col min="12544" max="12544" width="9.7109375" style="107" customWidth="1"/>
    <col min="12545" max="12545" width="9.421875" style="107" customWidth="1"/>
    <col min="12546" max="12546" width="10.421875" style="107" customWidth="1"/>
    <col min="12547" max="12549" width="13.7109375" style="107" customWidth="1"/>
    <col min="12550" max="12797" width="9.140625" style="107" customWidth="1"/>
    <col min="12798" max="12798" width="0.13671875" style="107" customWidth="1"/>
    <col min="12799" max="12799" width="35.140625" style="107" customWidth="1"/>
    <col min="12800" max="12800" width="9.7109375" style="107" customWidth="1"/>
    <col min="12801" max="12801" width="9.421875" style="107" customWidth="1"/>
    <col min="12802" max="12802" width="10.421875" style="107" customWidth="1"/>
    <col min="12803" max="12805" width="13.7109375" style="107" customWidth="1"/>
    <col min="12806" max="13053" width="9.140625" style="107" customWidth="1"/>
    <col min="13054" max="13054" width="0.13671875" style="107" customWidth="1"/>
    <col min="13055" max="13055" width="35.140625" style="107" customWidth="1"/>
    <col min="13056" max="13056" width="9.7109375" style="107" customWidth="1"/>
    <col min="13057" max="13057" width="9.421875" style="107" customWidth="1"/>
    <col min="13058" max="13058" width="10.421875" style="107" customWidth="1"/>
    <col min="13059" max="13061" width="13.7109375" style="107" customWidth="1"/>
    <col min="13062" max="13309" width="9.140625" style="107" customWidth="1"/>
    <col min="13310" max="13310" width="0.13671875" style="107" customWidth="1"/>
    <col min="13311" max="13311" width="35.140625" style="107" customWidth="1"/>
    <col min="13312" max="13312" width="9.7109375" style="107" customWidth="1"/>
    <col min="13313" max="13313" width="9.421875" style="107" customWidth="1"/>
    <col min="13314" max="13314" width="10.421875" style="107" customWidth="1"/>
    <col min="13315" max="13317" width="13.7109375" style="107" customWidth="1"/>
    <col min="13318" max="13565" width="9.140625" style="107" customWidth="1"/>
    <col min="13566" max="13566" width="0.13671875" style="107" customWidth="1"/>
    <col min="13567" max="13567" width="35.140625" style="107" customWidth="1"/>
    <col min="13568" max="13568" width="9.7109375" style="107" customWidth="1"/>
    <col min="13569" max="13569" width="9.421875" style="107" customWidth="1"/>
    <col min="13570" max="13570" width="10.421875" style="107" customWidth="1"/>
    <col min="13571" max="13573" width="13.7109375" style="107" customWidth="1"/>
    <col min="13574" max="13821" width="9.140625" style="107" customWidth="1"/>
    <col min="13822" max="13822" width="0.13671875" style="107" customWidth="1"/>
    <col min="13823" max="13823" width="35.140625" style="107" customWidth="1"/>
    <col min="13824" max="13824" width="9.7109375" style="107" customWidth="1"/>
    <col min="13825" max="13825" width="9.421875" style="107" customWidth="1"/>
    <col min="13826" max="13826" width="10.421875" style="107" customWidth="1"/>
    <col min="13827" max="13829" width="13.7109375" style="107" customWidth="1"/>
    <col min="13830" max="14077" width="9.140625" style="107" customWidth="1"/>
    <col min="14078" max="14078" width="0.13671875" style="107" customWidth="1"/>
    <col min="14079" max="14079" width="35.140625" style="107" customWidth="1"/>
    <col min="14080" max="14080" width="9.7109375" style="107" customWidth="1"/>
    <col min="14081" max="14081" width="9.421875" style="107" customWidth="1"/>
    <col min="14082" max="14082" width="10.421875" style="107" customWidth="1"/>
    <col min="14083" max="14085" width="13.7109375" style="107" customWidth="1"/>
    <col min="14086" max="14333" width="9.140625" style="107" customWidth="1"/>
    <col min="14334" max="14334" width="0.13671875" style="107" customWidth="1"/>
    <col min="14335" max="14335" width="35.140625" style="107" customWidth="1"/>
    <col min="14336" max="14336" width="9.7109375" style="107" customWidth="1"/>
    <col min="14337" max="14337" width="9.421875" style="107" customWidth="1"/>
    <col min="14338" max="14338" width="10.421875" style="107" customWidth="1"/>
    <col min="14339" max="14341" width="13.7109375" style="107" customWidth="1"/>
    <col min="14342" max="14589" width="9.140625" style="107" customWidth="1"/>
    <col min="14590" max="14590" width="0.13671875" style="107" customWidth="1"/>
    <col min="14591" max="14591" width="35.140625" style="107" customWidth="1"/>
    <col min="14592" max="14592" width="9.7109375" style="107" customWidth="1"/>
    <col min="14593" max="14593" width="9.421875" style="107" customWidth="1"/>
    <col min="14594" max="14594" width="10.421875" style="107" customWidth="1"/>
    <col min="14595" max="14597" width="13.7109375" style="107" customWidth="1"/>
    <col min="14598" max="14845" width="9.140625" style="107" customWidth="1"/>
    <col min="14846" max="14846" width="0.13671875" style="107" customWidth="1"/>
    <col min="14847" max="14847" width="35.140625" style="107" customWidth="1"/>
    <col min="14848" max="14848" width="9.7109375" style="107" customWidth="1"/>
    <col min="14849" max="14849" width="9.421875" style="107" customWidth="1"/>
    <col min="14850" max="14850" width="10.421875" style="107" customWidth="1"/>
    <col min="14851" max="14853" width="13.7109375" style="107" customWidth="1"/>
    <col min="14854" max="15101" width="9.140625" style="107" customWidth="1"/>
    <col min="15102" max="15102" width="0.13671875" style="107" customWidth="1"/>
    <col min="15103" max="15103" width="35.140625" style="107" customWidth="1"/>
    <col min="15104" max="15104" width="9.7109375" style="107" customWidth="1"/>
    <col min="15105" max="15105" width="9.421875" style="107" customWidth="1"/>
    <col min="15106" max="15106" width="10.421875" style="107" customWidth="1"/>
    <col min="15107" max="15109" width="13.7109375" style="107" customWidth="1"/>
    <col min="15110" max="15357" width="9.140625" style="107" customWidth="1"/>
    <col min="15358" max="15358" width="0.13671875" style="107" customWidth="1"/>
    <col min="15359" max="15359" width="35.140625" style="107" customWidth="1"/>
    <col min="15360" max="15360" width="9.7109375" style="107" customWidth="1"/>
    <col min="15361" max="15361" width="9.421875" style="107" customWidth="1"/>
    <col min="15362" max="15362" width="10.421875" style="107" customWidth="1"/>
    <col min="15363" max="15365" width="13.7109375" style="107" customWidth="1"/>
    <col min="15366" max="15613" width="9.140625" style="107" customWidth="1"/>
    <col min="15614" max="15614" width="0.13671875" style="107" customWidth="1"/>
    <col min="15615" max="15615" width="35.140625" style="107" customWidth="1"/>
    <col min="15616" max="15616" width="9.7109375" style="107" customWidth="1"/>
    <col min="15617" max="15617" width="9.421875" style="107" customWidth="1"/>
    <col min="15618" max="15618" width="10.421875" style="107" customWidth="1"/>
    <col min="15619" max="15621" width="13.7109375" style="107" customWidth="1"/>
    <col min="15622" max="15869" width="9.140625" style="107" customWidth="1"/>
    <col min="15870" max="15870" width="0.13671875" style="107" customWidth="1"/>
    <col min="15871" max="15871" width="35.140625" style="107" customWidth="1"/>
    <col min="15872" max="15872" width="9.7109375" style="107" customWidth="1"/>
    <col min="15873" max="15873" width="9.421875" style="107" customWidth="1"/>
    <col min="15874" max="15874" width="10.421875" style="107" customWidth="1"/>
    <col min="15875" max="15877" width="13.7109375" style="107" customWidth="1"/>
    <col min="15878" max="16125" width="9.140625" style="107" customWidth="1"/>
    <col min="16126" max="16126" width="0.13671875" style="107" customWidth="1"/>
    <col min="16127" max="16127" width="35.140625" style="107" customWidth="1"/>
    <col min="16128" max="16128" width="9.7109375" style="107" customWidth="1"/>
    <col min="16129" max="16129" width="9.421875" style="107" customWidth="1"/>
    <col min="16130" max="16130" width="10.421875" style="107" customWidth="1"/>
    <col min="16131" max="16133" width="13.7109375" style="107" customWidth="1"/>
    <col min="16134" max="16384" width="9.140625" style="107" customWidth="1"/>
  </cols>
  <sheetData>
    <row r="1" spans="6:7" ht="18" customHeight="1">
      <c r="F1" s="151"/>
      <c r="G1" s="151"/>
    </row>
    <row r="2" spans="15:30" ht="15.2" customHeight="1">
      <c r="O2" s="352">
        <v>0.022928190091674627</v>
      </c>
      <c r="P2" s="352">
        <v>0.02283940931211263</v>
      </c>
      <c r="Q2" s="352">
        <v>0.02271130058068273</v>
      </c>
      <c r="R2" s="352">
        <v>0.022668645983973126</v>
      </c>
      <c r="S2" s="352">
        <v>0.02250872460113617</v>
      </c>
      <c r="T2" s="352">
        <v>0.022318041482520812</v>
      </c>
      <c r="U2" s="352">
        <v>0.022313956908771252</v>
      </c>
      <c r="V2" s="352">
        <v>0.022300620745263657</v>
      </c>
      <c r="W2" s="352">
        <v>0.02248494878153493</v>
      </c>
      <c r="X2" s="352">
        <v>0.022255677206697095</v>
      </c>
      <c r="Y2" s="352">
        <v>0.022448986349941146</v>
      </c>
      <c r="Z2" s="352">
        <v>0.022719351701672354</v>
      </c>
      <c r="AA2" s="352">
        <v>0.02281117744794812</v>
      </c>
      <c r="AB2" s="352">
        <v>0.022800364998260183</v>
      </c>
      <c r="AC2" s="352">
        <v>0.022826790513314234</v>
      </c>
      <c r="AD2" s="352">
        <v>0.022886630004061093</v>
      </c>
    </row>
    <row r="3" spans="2:30" ht="12.75">
      <c r="B3" s="121"/>
      <c r="C3" s="119">
        <v>2018</v>
      </c>
      <c r="D3" s="119">
        <f>+E3-1</f>
        <v>2023</v>
      </c>
      <c r="E3" s="119">
        <f>+'Income Statement Cash Flows'!E6</f>
        <v>2024</v>
      </c>
      <c r="F3" s="119">
        <f>+E3+1</f>
        <v>2025</v>
      </c>
      <c r="G3" s="119">
        <f aca="true" t="shared" si="0" ref="G3:AD3">+F3+1</f>
        <v>2026</v>
      </c>
      <c r="H3" s="119">
        <f t="shared" si="0"/>
        <v>2027</v>
      </c>
      <c r="I3" s="119">
        <f t="shared" si="0"/>
        <v>2028</v>
      </c>
      <c r="J3" s="119">
        <f t="shared" si="0"/>
        <v>2029</v>
      </c>
      <c r="K3" s="119">
        <f t="shared" si="0"/>
        <v>2030</v>
      </c>
      <c r="L3" s="119">
        <f t="shared" si="0"/>
        <v>2031</v>
      </c>
      <c r="M3" s="119">
        <f t="shared" si="0"/>
        <v>2032</v>
      </c>
      <c r="N3" s="119">
        <f t="shared" si="0"/>
        <v>2033</v>
      </c>
      <c r="O3" s="119">
        <f t="shared" si="0"/>
        <v>2034</v>
      </c>
      <c r="P3" s="119">
        <f t="shared" si="0"/>
        <v>2035</v>
      </c>
      <c r="Q3" s="119">
        <f t="shared" si="0"/>
        <v>2036</v>
      </c>
      <c r="R3" s="119">
        <f t="shared" si="0"/>
        <v>2037</v>
      </c>
      <c r="S3" s="119">
        <f t="shared" si="0"/>
        <v>2038</v>
      </c>
      <c r="T3" s="119">
        <f t="shared" si="0"/>
        <v>2039</v>
      </c>
      <c r="U3" s="119">
        <f t="shared" si="0"/>
        <v>2040</v>
      </c>
      <c r="V3" s="119">
        <f t="shared" si="0"/>
        <v>2041</v>
      </c>
      <c r="W3" s="119">
        <f t="shared" si="0"/>
        <v>2042</v>
      </c>
      <c r="X3" s="119">
        <f t="shared" si="0"/>
        <v>2043</v>
      </c>
      <c r="Y3" s="119">
        <f t="shared" si="0"/>
        <v>2044</v>
      </c>
      <c r="Z3" s="119">
        <f t="shared" si="0"/>
        <v>2045</v>
      </c>
      <c r="AA3" s="119">
        <f t="shared" si="0"/>
        <v>2046</v>
      </c>
      <c r="AB3" s="119">
        <f t="shared" si="0"/>
        <v>2047</v>
      </c>
      <c r="AC3" s="119">
        <f t="shared" si="0"/>
        <v>2048</v>
      </c>
      <c r="AD3" s="119">
        <f t="shared" si="0"/>
        <v>2049</v>
      </c>
    </row>
    <row r="4" spans="2:30" s="110" customFormat="1" ht="30" customHeight="1">
      <c r="B4" s="210" t="s">
        <v>860</v>
      </c>
      <c r="C4" s="210">
        <f>+C6-C5</f>
        <v>205511</v>
      </c>
      <c r="D4" s="210">
        <v>258000</v>
      </c>
      <c r="E4" s="210">
        <v>253000</v>
      </c>
      <c r="F4" s="210">
        <v>260000</v>
      </c>
      <c r="G4" s="210">
        <v>265000</v>
      </c>
      <c r="H4" s="210">
        <v>272000</v>
      </c>
      <c r="I4" s="210">
        <v>279000</v>
      </c>
      <c r="J4" s="210">
        <v>285000</v>
      </c>
      <c r="K4" s="210">
        <v>291000</v>
      </c>
      <c r="L4" s="210">
        <v>297000</v>
      </c>
      <c r="M4" s="210">
        <v>303000</v>
      </c>
      <c r="N4" s="210">
        <v>309000</v>
      </c>
      <c r="O4" s="210">
        <v>316000</v>
      </c>
      <c r="P4" s="210">
        <v>323000</v>
      </c>
      <c r="Q4" s="210">
        <v>331000</v>
      </c>
      <c r="R4" s="210">
        <v>338000</v>
      </c>
      <c r="S4" s="210">
        <v>346000</v>
      </c>
      <c r="T4" s="210">
        <v>354000</v>
      </c>
      <c r="U4" s="210">
        <v>362000</v>
      </c>
      <c r="V4" s="210">
        <v>369000</v>
      </c>
      <c r="W4" s="210">
        <v>378000</v>
      </c>
      <c r="X4" s="210">
        <v>387000</v>
      </c>
      <c r="Y4" s="210">
        <v>396000</v>
      </c>
      <c r="Z4" s="210">
        <v>0</v>
      </c>
      <c r="AA4" s="210">
        <v>0</v>
      </c>
      <c r="AB4" s="210">
        <v>0</v>
      </c>
      <c r="AC4" s="210">
        <v>0</v>
      </c>
      <c r="AD4" s="210">
        <v>0</v>
      </c>
    </row>
    <row r="5" spans="2:30" s="110" customFormat="1" ht="12.75">
      <c r="B5" s="210" t="s">
        <v>679</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row>
    <row r="6" spans="2:30" s="110" customFormat="1" ht="12.75">
      <c r="B6" s="210" t="s">
        <v>680</v>
      </c>
      <c r="C6" s="210">
        <v>205511</v>
      </c>
      <c r="D6" s="210">
        <f aca="true" t="shared" si="1" ref="D6">+D4</f>
        <v>258000</v>
      </c>
      <c r="E6" s="210">
        <f aca="true" t="shared" si="2" ref="E6:AD6">+E4</f>
        <v>253000</v>
      </c>
      <c r="F6" s="210">
        <f t="shared" si="2"/>
        <v>260000</v>
      </c>
      <c r="G6" s="210">
        <f t="shared" si="2"/>
        <v>265000</v>
      </c>
      <c r="H6" s="210">
        <f t="shared" si="2"/>
        <v>272000</v>
      </c>
      <c r="I6" s="210">
        <f t="shared" si="2"/>
        <v>279000</v>
      </c>
      <c r="J6" s="210">
        <f t="shared" si="2"/>
        <v>285000</v>
      </c>
      <c r="K6" s="210">
        <f t="shared" si="2"/>
        <v>291000</v>
      </c>
      <c r="L6" s="210">
        <f t="shared" si="2"/>
        <v>297000</v>
      </c>
      <c r="M6" s="210">
        <f t="shared" si="2"/>
        <v>303000</v>
      </c>
      <c r="N6" s="210">
        <f t="shared" si="2"/>
        <v>309000</v>
      </c>
      <c r="O6" s="210">
        <f t="shared" si="2"/>
        <v>316000</v>
      </c>
      <c r="P6" s="210">
        <f t="shared" si="2"/>
        <v>323000</v>
      </c>
      <c r="Q6" s="210">
        <f t="shared" si="2"/>
        <v>331000</v>
      </c>
      <c r="R6" s="210">
        <f t="shared" si="2"/>
        <v>338000</v>
      </c>
      <c r="S6" s="210">
        <f t="shared" si="2"/>
        <v>346000</v>
      </c>
      <c r="T6" s="210">
        <f t="shared" si="2"/>
        <v>354000</v>
      </c>
      <c r="U6" s="210">
        <f t="shared" si="2"/>
        <v>362000</v>
      </c>
      <c r="V6" s="210">
        <f t="shared" si="2"/>
        <v>369000</v>
      </c>
      <c r="W6" s="210">
        <f t="shared" si="2"/>
        <v>378000</v>
      </c>
      <c r="X6" s="210">
        <f t="shared" si="2"/>
        <v>387000</v>
      </c>
      <c r="Y6" s="210">
        <f t="shared" si="2"/>
        <v>396000</v>
      </c>
      <c r="Z6" s="210">
        <f t="shared" si="2"/>
        <v>0</v>
      </c>
      <c r="AA6" s="210">
        <f t="shared" si="2"/>
        <v>0</v>
      </c>
      <c r="AB6" s="210">
        <f t="shared" si="2"/>
        <v>0</v>
      </c>
      <c r="AC6" s="210">
        <f t="shared" si="2"/>
        <v>0</v>
      </c>
      <c r="AD6" s="210">
        <f t="shared" si="2"/>
        <v>0</v>
      </c>
    </row>
    <row r="7" spans="2:11" s="110" customFormat="1" ht="15">
      <c r="B7" s="210"/>
      <c r="C7" s="210"/>
      <c r="D7" s="211"/>
      <c r="E7" s="211"/>
      <c r="F7" s="211"/>
      <c r="G7" s="211"/>
      <c r="H7" s="211"/>
      <c r="I7" s="211"/>
      <c r="J7" s="211"/>
      <c r="K7" s="211"/>
    </row>
    <row r="8" spans="2:33" s="110" customFormat="1" ht="15">
      <c r="B8" s="210" t="s">
        <v>723</v>
      </c>
      <c r="C8" s="213">
        <v>48340.419323</v>
      </c>
      <c r="D8" s="213">
        <v>20367.5000821</v>
      </c>
      <c r="E8" s="213">
        <v>13444.47724764</v>
      </c>
      <c r="F8" s="213">
        <v>12650.897</v>
      </c>
      <c r="G8" s="213">
        <v>51523.79007279601</v>
      </c>
      <c r="H8" s="213">
        <v>4703.57</v>
      </c>
      <c r="I8" s="213">
        <v>4678.899</v>
      </c>
      <c r="J8" s="213">
        <v>12.375</v>
      </c>
      <c r="K8" s="213">
        <v>253872.96426495002</v>
      </c>
      <c r="L8" s="213">
        <v>21679.875</v>
      </c>
      <c r="M8" s="213">
        <v>48506.9713121</v>
      </c>
      <c r="N8" s="213">
        <v>22000</v>
      </c>
      <c r="O8" s="213">
        <v>22000</v>
      </c>
      <c r="P8" s="213">
        <v>22000</v>
      </c>
      <c r="Q8" s="213">
        <v>22000</v>
      </c>
      <c r="R8" s="213">
        <v>22000</v>
      </c>
      <c r="S8" s="213">
        <v>22000</v>
      </c>
      <c r="T8" s="213">
        <v>22000</v>
      </c>
      <c r="U8" s="213">
        <v>22000</v>
      </c>
      <c r="V8" s="213">
        <v>22000</v>
      </c>
      <c r="W8" s="213">
        <v>22000</v>
      </c>
      <c r="X8" s="213">
        <v>22000</v>
      </c>
      <c r="Y8" s="213">
        <v>22000</v>
      </c>
      <c r="Z8" s="213">
        <v>0</v>
      </c>
      <c r="AA8" s="213">
        <v>0</v>
      </c>
      <c r="AB8" s="213">
        <v>0</v>
      </c>
      <c r="AC8" s="213">
        <v>0</v>
      </c>
      <c r="AD8" s="213">
        <v>0</v>
      </c>
      <c r="AE8" s="213">
        <v>0</v>
      </c>
      <c r="AF8" s="213">
        <v>0</v>
      </c>
      <c r="AG8" s="213">
        <v>0</v>
      </c>
    </row>
    <row r="9" spans="2:33" s="110" customFormat="1" ht="12.75">
      <c r="B9" s="210" t="s">
        <v>478</v>
      </c>
      <c r="C9" s="210">
        <v>9862.532673499998</v>
      </c>
      <c r="D9" s="210">
        <v>7000</v>
      </c>
      <c r="E9" s="210">
        <v>8000</v>
      </c>
      <c r="F9" s="210">
        <v>8000</v>
      </c>
      <c r="G9" s="210">
        <v>8000</v>
      </c>
      <c r="H9" s="210">
        <v>9000</v>
      </c>
      <c r="I9" s="210">
        <v>8000</v>
      </c>
      <c r="J9" s="210">
        <v>9000</v>
      </c>
      <c r="K9" s="210">
        <v>9000</v>
      </c>
      <c r="L9" s="210">
        <v>9000</v>
      </c>
      <c r="M9" s="210">
        <v>9000</v>
      </c>
      <c r="N9" s="210">
        <v>9000</v>
      </c>
      <c r="O9" s="210">
        <v>10000</v>
      </c>
      <c r="P9" s="210">
        <v>10000</v>
      </c>
      <c r="Q9" s="210">
        <v>10000</v>
      </c>
      <c r="R9" s="210">
        <v>10000</v>
      </c>
      <c r="S9" s="210">
        <v>11000</v>
      </c>
      <c r="T9" s="210">
        <v>11000</v>
      </c>
      <c r="U9" s="210">
        <v>11000</v>
      </c>
      <c r="V9" s="210">
        <v>11000</v>
      </c>
      <c r="W9" s="210">
        <v>12000</v>
      </c>
      <c r="X9" s="210">
        <v>12000</v>
      </c>
      <c r="Y9" s="210">
        <v>12000</v>
      </c>
      <c r="Z9" s="210">
        <v>0</v>
      </c>
      <c r="AA9" s="210">
        <v>0</v>
      </c>
      <c r="AB9" s="210">
        <v>0</v>
      </c>
      <c r="AC9" s="210">
        <v>0</v>
      </c>
      <c r="AD9" s="210">
        <v>0</v>
      </c>
      <c r="AE9" s="210">
        <v>0</v>
      </c>
      <c r="AF9" s="210">
        <v>0</v>
      </c>
      <c r="AG9" s="210">
        <v>0</v>
      </c>
    </row>
    <row r="10" spans="2:33" s="110" customFormat="1" ht="12.75">
      <c r="B10" s="210" t="s">
        <v>393</v>
      </c>
      <c r="C10" s="210">
        <v>37000</v>
      </c>
      <c r="D10" s="210">
        <v>43000</v>
      </c>
      <c r="E10" s="210">
        <v>41000</v>
      </c>
      <c r="F10" s="210">
        <v>41000</v>
      </c>
      <c r="G10" s="210">
        <v>29000</v>
      </c>
      <c r="H10" s="210">
        <v>16000</v>
      </c>
      <c r="I10" s="210">
        <v>15000</v>
      </c>
      <c r="J10" s="210">
        <v>15000</v>
      </c>
      <c r="K10" s="210">
        <v>15000</v>
      </c>
      <c r="L10" s="210">
        <v>15000</v>
      </c>
      <c r="M10" s="210">
        <v>15000</v>
      </c>
      <c r="N10" s="210">
        <v>15000</v>
      </c>
      <c r="O10" s="210">
        <v>15000</v>
      </c>
      <c r="P10" s="210">
        <v>15000</v>
      </c>
      <c r="Q10" s="210">
        <v>15000</v>
      </c>
      <c r="R10" s="210">
        <v>15000</v>
      </c>
      <c r="S10" s="210">
        <v>15000</v>
      </c>
      <c r="T10" s="210">
        <v>15000</v>
      </c>
      <c r="U10" s="210">
        <v>15000</v>
      </c>
      <c r="V10" s="210">
        <v>15000</v>
      </c>
      <c r="W10" s="210">
        <v>15000</v>
      </c>
      <c r="X10" s="210">
        <v>15000</v>
      </c>
      <c r="Y10" s="210">
        <v>15000</v>
      </c>
      <c r="Z10" s="210">
        <v>0</v>
      </c>
      <c r="AA10" s="210">
        <v>0</v>
      </c>
      <c r="AB10" s="210">
        <v>0</v>
      </c>
      <c r="AC10" s="210">
        <v>0</v>
      </c>
      <c r="AD10" s="210">
        <v>0</v>
      </c>
      <c r="AE10" s="210">
        <v>0</v>
      </c>
      <c r="AF10" s="210">
        <v>0</v>
      </c>
      <c r="AG10" s="210">
        <v>0</v>
      </c>
    </row>
    <row r="11" spans="2:30" s="110" customFormat="1" ht="12.75">
      <c r="B11" s="210" t="s">
        <v>722</v>
      </c>
      <c r="C11" s="210">
        <f>SUM(C6:C10)</f>
        <v>300713.9519965</v>
      </c>
      <c r="D11" s="210">
        <f>SUM(D6:D9)</f>
        <v>285367.5000821</v>
      </c>
      <c r="E11" s="210">
        <f>SUM(E6:E9)</f>
        <v>274444.47724764</v>
      </c>
      <c r="F11" s="210">
        <f>SUM(F6:F9)</f>
        <v>280650.897</v>
      </c>
      <c r="G11" s="210">
        <f aca="true" t="shared" si="3" ref="G11:AD11">SUM(G6:G9)</f>
        <v>324523.790072796</v>
      </c>
      <c r="H11" s="210">
        <f t="shared" si="3"/>
        <v>285703.57</v>
      </c>
      <c r="I11" s="210">
        <f t="shared" si="3"/>
        <v>291678.899</v>
      </c>
      <c r="J11" s="210">
        <f t="shared" si="3"/>
        <v>294012.375</v>
      </c>
      <c r="K11" s="210">
        <f t="shared" si="3"/>
        <v>553872.96426495</v>
      </c>
      <c r="L11" s="210">
        <f t="shared" si="3"/>
        <v>327679.875</v>
      </c>
      <c r="M11" s="210">
        <f t="shared" si="3"/>
        <v>360506.9713121</v>
      </c>
      <c r="N11" s="210">
        <f t="shared" si="3"/>
        <v>340000</v>
      </c>
      <c r="O11" s="210">
        <f t="shared" si="3"/>
        <v>348000</v>
      </c>
      <c r="P11" s="210">
        <f t="shared" si="3"/>
        <v>355000</v>
      </c>
      <c r="Q11" s="210">
        <f t="shared" si="3"/>
        <v>363000</v>
      </c>
      <c r="R11" s="210">
        <f t="shared" si="3"/>
        <v>370000</v>
      </c>
      <c r="S11" s="210">
        <f t="shared" si="3"/>
        <v>379000</v>
      </c>
      <c r="T11" s="210">
        <f t="shared" si="3"/>
        <v>387000</v>
      </c>
      <c r="U11" s="210">
        <f t="shared" si="3"/>
        <v>395000</v>
      </c>
      <c r="V11" s="210">
        <f t="shared" si="3"/>
        <v>402000</v>
      </c>
      <c r="W11" s="210">
        <f t="shared" si="3"/>
        <v>412000</v>
      </c>
      <c r="X11" s="210">
        <f t="shared" si="3"/>
        <v>421000</v>
      </c>
      <c r="Y11" s="210">
        <f t="shared" si="3"/>
        <v>430000</v>
      </c>
      <c r="Z11" s="210">
        <f t="shared" si="3"/>
        <v>0</v>
      </c>
      <c r="AA11" s="210">
        <f t="shared" si="3"/>
        <v>0</v>
      </c>
      <c r="AB11" s="210">
        <f t="shared" si="3"/>
        <v>0</v>
      </c>
      <c r="AC11" s="210">
        <f t="shared" si="3"/>
        <v>0</v>
      </c>
      <c r="AD11" s="210">
        <f t="shared" si="3"/>
        <v>0</v>
      </c>
    </row>
    <row r="12" spans="2:30" s="110" customFormat="1" ht="12.75">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row>
    <row r="13" spans="2:30" s="110" customFormat="1" ht="12.75">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row>
    <row r="14" spans="2:30" ht="12.75">
      <c r="B14" s="122" t="s">
        <v>701</v>
      </c>
      <c r="C14" s="212">
        <f>+C11-C5+C13</f>
        <v>300713.9519965</v>
      </c>
      <c r="D14" s="212">
        <f>+D6+D8+D9+D10+D13</f>
        <v>328367.5000821</v>
      </c>
      <c r="E14" s="212">
        <f>+E6+E8+E9+E10+E13</f>
        <v>315444.47724764</v>
      </c>
      <c r="F14" s="212">
        <f>+F6+F8+F9+F10+F13</f>
        <v>321650.897</v>
      </c>
      <c r="G14" s="212">
        <f aca="true" t="shared" si="4" ref="G14:AD14">+G6+G8+G9+G10+G13</f>
        <v>353523.790072796</v>
      </c>
      <c r="H14" s="212">
        <f t="shared" si="4"/>
        <v>301703.57</v>
      </c>
      <c r="I14" s="212">
        <f t="shared" si="4"/>
        <v>306678.899</v>
      </c>
      <c r="J14" s="212">
        <f t="shared" si="4"/>
        <v>309012.375</v>
      </c>
      <c r="K14" s="212">
        <f t="shared" si="4"/>
        <v>568872.96426495</v>
      </c>
      <c r="L14" s="212">
        <f t="shared" si="4"/>
        <v>342679.875</v>
      </c>
      <c r="M14" s="212">
        <f t="shared" si="4"/>
        <v>375506.9713121</v>
      </c>
      <c r="N14" s="212">
        <f t="shared" si="4"/>
        <v>355000</v>
      </c>
      <c r="O14" s="212">
        <f t="shared" si="4"/>
        <v>363000</v>
      </c>
      <c r="P14" s="212">
        <f t="shared" si="4"/>
        <v>370000</v>
      </c>
      <c r="Q14" s="212">
        <f t="shared" si="4"/>
        <v>378000</v>
      </c>
      <c r="R14" s="212">
        <f t="shared" si="4"/>
        <v>385000</v>
      </c>
      <c r="S14" s="212">
        <f t="shared" si="4"/>
        <v>394000</v>
      </c>
      <c r="T14" s="212">
        <f t="shared" si="4"/>
        <v>402000</v>
      </c>
      <c r="U14" s="212">
        <f t="shared" si="4"/>
        <v>410000</v>
      </c>
      <c r="V14" s="212">
        <f t="shared" si="4"/>
        <v>417000</v>
      </c>
      <c r="W14" s="212">
        <f t="shared" si="4"/>
        <v>427000</v>
      </c>
      <c r="X14" s="212">
        <f t="shared" si="4"/>
        <v>436000</v>
      </c>
      <c r="Y14" s="212">
        <f t="shared" si="4"/>
        <v>445000</v>
      </c>
      <c r="Z14" s="212">
        <f t="shared" si="4"/>
        <v>0</v>
      </c>
      <c r="AA14" s="212">
        <f t="shared" si="4"/>
        <v>0</v>
      </c>
      <c r="AB14" s="212">
        <f t="shared" si="4"/>
        <v>0</v>
      </c>
      <c r="AC14" s="212">
        <f t="shared" si="4"/>
        <v>0</v>
      </c>
      <c r="AD14" s="212">
        <f t="shared" si="4"/>
        <v>0</v>
      </c>
    </row>
    <row r="15" spans="2:6" ht="12.75">
      <c r="B15" s="11"/>
      <c r="C15" s="11"/>
      <c r="D15" s="4">
        <f>+D14-D8</f>
        <v>308000</v>
      </c>
      <c r="E15" s="4">
        <f>+E14-E8</f>
        <v>302000</v>
      </c>
      <c r="F15" s="4">
        <f>+F14-F8</f>
        <v>309000</v>
      </c>
    </row>
    <row r="16" spans="2:6" ht="12.75">
      <c r="B16" s="11"/>
      <c r="C16" s="11"/>
      <c r="D16" s="11"/>
      <c r="E16" s="12"/>
      <c r="F16" s="12"/>
    </row>
    <row r="17" spans="2:6" ht="12.75">
      <c r="B17" s="11"/>
      <c r="C17" s="11"/>
      <c r="D17" s="11"/>
      <c r="E17" s="12"/>
      <c r="F17" s="12"/>
    </row>
    <row r="18" spans="2:6" ht="12.75">
      <c r="B18" s="11"/>
      <c r="C18" s="11"/>
      <c r="D18" s="11"/>
      <c r="E18" s="12"/>
      <c r="F18"/>
    </row>
    <row r="19" spans="2:6" ht="12.75">
      <c r="B19" s="380"/>
      <c r="C19" s="123"/>
      <c r="D19" s="123"/>
      <c r="E19" s="12"/>
      <c r="F19"/>
    </row>
    <row r="20" spans="2:8" ht="13.5" customHeight="1">
      <c r="B20" s="380"/>
      <c r="C20" s="123"/>
      <c r="D20" s="123"/>
      <c r="E20" s="12"/>
      <c r="F20"/>
      <c r="G20" s="110"/>
      <c r="H20" s="110"/>
    </row>
    <row r="21" spans="2:6" ht="12.75">
      <c r="B21" s="380"/>
      <c r="C21" s="123"/>
      <c r="D21" s="123"/>
      <c r="E21" s="12"/>
      <c r="F21"/>
    </row>
    <row r="22" spans="2:8" ht="12.75">
      <c r="B22" s="123"/>
      <c r="C22" s="123"/>
      <c r="D22" s="123"/>
      <c r="E22" s="12"/>
      <c r="F22"/>
      <c r="G22" s="110"/>
      <c r="H22" s="108"/>
    </row>
    <row r="23" spans="2:6" ht="12.75">
      <c r="B23" s="124"/>
      <c r="C23" s="124"/>
      <c r="D23" s="124"/>
      <c r="E23" s="12"/>
      <c r="F23"/>
    </row>
    <row r="24" spans="2:6" s="119" customFormat="1" ht="12.75">
      <c r="B24" s="124"/>
      <c r="C24" s="124"/>
      <c r="D24" s="124"/>
      <c r="E24" s="12"/>
      <c r="F24"/>
    </row>
    <row r="25" spans="2:6" ht="12.75">
      <c r="B25" s="380"/>
      <c r="C25" s="124"/>
      <c r="D25" s="124"/>
      <c r="E25" s="12"/>
      <c r="F25"/>
    </row>
    <row r="26" spans="2:6" ht="12.75">
      <c r="B26" s="124"/>
      <c r="C26" s="124"/>
      <c r="D26" s="124"/>
      <c r="E26" s="12"/>
      <c r="F26"/>
    </row>
    <row r="27" spans="2:6" ht="12.75">
      <c r="B27" s="124"/>
      <c r="C27" s="124"/>
      <c r="D27" s="124"/>
      <c r="E27" s="12"/>
      <c r="F27"/>
    </row>
    <row r="28" spans="2:6" ht="12.75">
      <c r="B28" s="124"/>
      <c r="C28" s="124"/>
      <c r="D28" s="124"/>
      <c r="E28" s="12"/>
      <c r="F28"/>
    </row>
    <row r="29" spans="2:6" ht="12.75">
      <c r="B29" s="124"/>
      <c r="C29" s="124"/>
      <c r="D29" s="124"/>
      <c r="E29" s="12"/>
      <c r="F29"/>
    </row>
    <row r="30" spans="2:6" ht="12.75">
      <c r="B30" s="124"/>
      <c r="C30" s="124"/>
      <c r="D30" s="124"/>
      <c r="E30" s="12"/>
      <c r="F30"/>
    </row>
    <row r="31" spans="2:6" ht="12.75">
      <c r="B31" s="124"/>
      <c r="C31" s="124"/>
      <c r="D31" s="124"/>
      <c r="E31" s="12"/>
      <c r="F31"/>
    </row>
    <row r="32" spans="2:6" ht="12.75">
      <c r="B32" s="124"/>
      <c r="C32" s="124"/>
      <c r="D32" s="124"/>
      <c r="E32" s="12"/>
      <c r="F32"/>
    </row>
    <row r="33" spans="2:6" ht="12.75">
      <c r="B33" s="124"/>
      <c r="C33" s="124"/>
      <c r="D33" s="124"/>
      <c r="E33" s="12"/>
      <c r="F33"/>
    </row>
    <row r="34" spans="2:5" ht="12.75">
      <c r="B34" s="124"/>
      <c r="C34" s="124"/>
      <c r="D34" s="124"/>
      <c r="E34" s="12"/>
    </row>
    <row r="35" spans="2:5" ht="12.75">
      <c r="B35" s="124"/>
      <c r="C35" s="124"/>
      <c r="D35" s="124"/>
      <c r="E35" s="12"/>
    </row>
    <row r="36" spans="2:5" ht="12.75">
      <c r="B36" s="124"/>
      <c r="C36" s="124"/>
      <c r="D36" s="124"/>
      <c r="E36" s="12"/>
    </row>
    <row r="37" spans="2:5" ht="12.75">
      <c r="B37" s="124"/>
      <c r="C37" s="124"/>
      <c r="D37" s="124"/>
      <c r="E37" s="12"/>
    </row>
    <row r="38" spans="2:5" ht="12.75">
      <c r="B38" s="124"/>
      <c r="C38" s="124"/>
      <c r="D38" s="124"/>
      <c r="E38" s="12"/>
    </row>
    <row r="39" spans="2:5" ht="12.75">
      <c r="B39" s="124"/>
      <c r="C39" s="124"/>
      <c r="D39" s="124"/>
      <c r="E39" s="12"/>
    </row>
    <row r="40" spans="2:5" ht="12.75">
      <c r="B40" s="124"/>
      <c r="C40" s="124"/>
      <c r="D40" s="124"/>
      <c r="E40" s="12"/>
    </row>
    <row r="41" spans="2:5" ht="12.75">
      <c r="B41" s="124"/>
      <c r="C41" s="124"/>
      <c r="D41" s="124"/>
      <c r="E41" s="12"/>
    </row>
    <row r="42" spans="2:5" ht="12.75">
      <c r="B42" s="124"/>
      <c r="C42" s="124"/>
      <c r="D42" s="124"/>
      <c r="E42" s="12"/>
    </row>
    <row r="43" spans="2:5" ht="12.75">
      <c r="B43" s="124"/>
      <c r="C43" s="124"/>
      <c r="D43" s="124"/>
      <c r="E43" s="12"/>
    </row>
    <row r="44" spans="2:5" ht="12.75">
      <c r="B44" s="124"/>
      <c r="C44" s="124"/>
      <c r="D44" s="124"/>
      <c r="E44" s="12"/>
    </row>
    <row r="45" spans="2:5" ht="12.75">
      <c r="B45" s="124"/>
      <c r="C45" s="124"/>
      <c r="D45" s="124"/>
      <c r="E45" s="12"/>
    </row>
    <row r="46" spans="2:5" ht="12.75">
      <c r="B46" s="124"/>
      <c r="C46" s="124"/>
      <c r="D46" s="124"/>
      <c r="E46" s="12"/>
    </row>
    <row r="47" spans="2:5" ht="12.75">
      <c r="B47" s="124"/>
      <c r="C47" s="124"/>
      <c r="D47" s="124"/>
      <c r="E47" s="12"/>
    </row>
    <row r="48" spans="2:5" ht="12.75">
      <c r="B48" s="124"/>
      <c r="C48" s="124"/>
      <c r="D48" s="124"/>
      <c r="E48" s="12"/>
    </row>
    <row r="49" spans="2:5" ht="12.75">
      <c r="B49" s="124"/>
      <c r="C49" s="124"/>
      <c r="D49" s="124"/>
      <c r="E49" s="12"/>
    </row>
    <row r="50" spans="2:5" ht="12.75">
      <c r="B50" s="124"/>
      <c r="C50" s="124"/>
      <c r="D50" s="124"/>
      <c r="E50" s="12"/>
    </row>
    <row r="51" spans="2:5" ht="12.75">
      <c r="B51" s="11"/>
      <c r="C51" s="11"/>
      <c r="D51" s="11"/>
      <c r="E51" s="12"/>
    </row>
    <row r="52" spans="2:5" ht="12.75">
      <c r="B52" s="11"/>
      <c r="C52" s="11"/>
      <c r="D52" s="11"/>
      <c r="E52" s="12"/>
    </row>
    <row r="53" spans="2:5" ht="12.75">
      <c r="B53" s="123"/>
      <c r="C53" s="123"/>
      <c r="D53" s="123"/>
      <c r="E53" s="12"/>
    </row>
    <row r="54" spans="2:5" ht="12.75">
      <c r="B54" s="123"/>
      <c r="C54" s="123"/>
      <c r="D54" s="123"/>
      <c r="E54" s="12"/>
    </row>
    <row r="55" spans="2:5" ht="12.75">
      <c r="B55" s="123"/>
      <c r="C55" s="123"/>
      <c r="D55" s="123"/>
      <c r="E55" s="12"/>
    </row>
    <row r="56" spans="2:5" ht="12.75">
      <c r="B56" s="123"/>
      <c r="C56" s="123"/>
      <c r="D56" s="123"/>
      <c r="E56" s="12"/>
    </row>
    <row r="57" spans="2:5" ht="12.75">
      <c r="B57" s="11"/>
      <c r="C57" s="11"/>
      <c r="D57" s="11"/>
      <c r="E57" s="12"/>
    </row>
    <row r="58" spans="2:5" ht="12.75">
      <c r="B58" s="11"/>
      <c r="C58" s="11"/>
      <c r="D58" s="11"/>
      <c r="E58"/>
    </row>
    <row r="59" spans="2:5" ht="12.75">
      <c r="B59" s="11"/>
      <c r="C59" s="11"/>
      <c r="D59" s="11"/>
      <c r="E59"/>
    </row>
    <row r="60" spans="2:5" ht="12.75">
      <c r="B60" s="11"/>
      <c r="C60" s="11"/>
      <c r="D60" s="11"/>
      <c r="E60"/>
    </row>
    <row r="61" spans="2:5" ht="12.75">
      <c r="B61" s="11"/>
      <c r="C61" s="11"/>
      <c r="D61" s="11"/>
      <c r="E61"/>
    </row>
    <row r="62" spans="2:5" ht="12.75">
      <c r="B62" s="11"/>
      <c r="C62" s="11"/>
      <c r="D62" s="11"/>
      <c r="E62"/>
    </row>
    <row r="63" spans="2:5" ht="12.75">
      <c r="B63" s="11"/>
      <c r="C63" s="11"/>
      <c r="D63" s="11"/>
      <c r="E63"/>
    </row>
    <row r="64" spans="2:5" ht="12.75">
      <c r="B64" s="11"/>
      <c r="C64" s="11"/>
      <c r="D64" s="11"/>
      <c r="E64"/>
    </row>
    <row r="65" spans="2:5" ht="12.75">
      <c r="B65" s="11"/>
      <c r="C65" s="11"/>
      <c r="D65" s="11"/>
      <c r="E65"/>
    </row>
    <row r="66" spans="2:5" ht="12.75">
      <c r="B66" s="11"/>
      <c r="C66" s="11"/>
      <c r="D66" s="11"/>
      <c r="E66"/>
    </row>
    <row r="67" spans="2:5" ht="12.75">
      <c r="B67" s="11"/>
      <c r="C67" s="11"/>
      <c r="D67" s="11"/>
      <c r="E67"/>
    </row>
    <row r="68" spans="2:5" ht="12.75">
      <c r="B68" s="11"/>
      <c r="C68" s="11"/>
      <c r="D68" s="11"/>
      <c r="E68"/>
    </row>
    <row r="69" spans="2:5" ht="12.75">
      <c r="B69" s="11"/>
      <c r="C69" s="11"/>
      <c r="D69" s="11"/>
      <c r="E69"/>
    </row>
    <row r="70" spans="2:5" ht="12.75">
      <c r="B70" s="11"/>
      <c r="C70" s="11"/>
      <c r="D70" s="11"/>
      <c r="E70"/>
    </row>
    <row r="71" spans="2:5" ht="12.75">
      <c r="B71" s="11"/>
      <c r="C71" s="11"/>
      <c r="D71" s="11"/>
      <c r="E71"/>
    </row>
    <row r="72" spans="2:5" ht="12.75">
      <c r="B72" s="11"/>
      <c r="C72" s="11"/>
      <c r="D72" s="11"/>
      <c r="E72"/>
    </row>
    <row r="73" spans="2:5" ht="12.75">
      <c r="B73" s="11"/>
      <c r="C73" s="11"/>
      <c r="D73" s="11"/>
      <c r="E73"/>
    </row>
    <row r="74" spans="2:5" ht="12.75">
      <c r="B74" s="11"/>
      <c r="C74" s="11"/>
      <c r="D74" s="11"/>
      <c r="E74"/>
    </row>
    <row r="75" spans="2:5" ht="12.75">
      <c r="B75" s="11"/>
      <c r="C75" s="11"/>
      <c r="D75" s="11"/>
      <c r="E75"/>
    </row>
    <row r="76" spans="2:5" ht="12.75">
      <c r="B76" s="11"/>
      <c r="C76" s="11"/>
      <c r="D76" s="11"/>
      <c r="E76"/>
    </row>
    <row r="77" spans="2:5" ht="12.75">
      <c r="B77" s="11"/>
      <c r="C77" s="11"/>
      <c r="D77" s="11"/>
      <c r="E77"/>
    </row>
    <row r="78" spans="2:5" ht="12.75">
      <c r="B78" s="11"/>
      <c r="C78" s="11"/>
      <c r="D78" s="11"/>
      <c r="E78"/>
    </row>
    <row r="79" spans="2:5" ht="12.75">
      <c r="B79" s="11"/>
      <c r="C79" s="11"/>
      <c r="D79" s="11"/>
      <c r="E79"/>
    </row>
    <row r="80" spans="2:5" ht="12.75">
      <c r="B80" s="11"/>
      <c r="C80" s="11"/>
      <c r="D80" s="11"/>
      <c r="E80"/>
    </row>
    <row r="81" spans="2:5" ht="12.75">
      <c r="B81" s="11"/>
      <c r="C81" s="11"/>
      <c r="D81" s="11"/>
      <c r="E81"/>
    </row>
    <row r="82" spans="2:5" ht="12.75">
      <c r="B82" s="11"/>
      <c r="C82" s="11"/>
      <c r="D82" s="11"/>
      <c r="E82"/>
    </row>
    <row r="83" spans="2:5" ht="12.75">
      <c r="B83" s="11"/>
      <c r="C83" s="11"/>
      <c r="D83" s="11"/>
      <c r="E83"/>
    </row>
    <row r="84" spans="2:5" ht="12.75">
      <c r="B84" s="11"/>
      <c r="C84" s="11"/>
      <c r="D84" s="11"/>
      <c r="E84"/>
    </row>
    <row r="85" spans="2:5" ht="12.75">
      <c r="B85" s="11"/>
      <c r="C85" s="11"/>
      <c r="D85" s="11"/>
      <c r="E85"/>
    </row>
    <row r="86" spans="2:5" ht="12.75">
      <c r="B86" s="11"/>
      <c r="C86" s="11"/>
      <c r="D86" s="11"/>
      <c r="E86"/>
    </row>
    <row r="87" spans="2:5" ht="12.75">
      <c r="B87" s="11"/>
      <c r="C87" s="11"/>
      <c r="D87" s="11"/>
      <c r="E87"/>
    </row>
    <row r="88" spans="2:5" ht="12.75">
      <c r="B88" s="11"/>
      <c r="C88" s="11"/>
      <c r="D88" s="11"/>
      <c r="E88"/>
    </row>
    <row r="89" spans="2:5" ht="12.75">
      <c r="B89" s="11"/>
      <c r="C89" s="11"/>
      <c r="D89" s="11"/>
      <c r="E89"/>
    </row>
    <row r="90" spans="2:5" ht="12.75">
      <c r="B90" s="11"/>
      <c r="C90" s="11"/>
      <c r="D90" s="11"/>
      <c r="E90"/>
    </row>
    <row r="91" spans="2:5" ht="12.75">
      <c r="B91" s="11"/>
      <c r="C91" s="11"/>
      <c r="D91" s="11"/>
      <c r="E91"/>
    </row>
    <row r="92" spans="2:5" ht="12.75">
      <c r="B92" s="11"/>
      <c r="C92" s="11"/>
      <c r="D92" s="11"/>
      <c r="E92"/>
    </row>
    <row r="93" spans="2:5" ht="12.75">
      <c r="B93" s="11"/>
      <c r="C93" s="11"/>
      <c r="D93" s="11"/>
      <c r="E93"/>
    </row>
    <row r="94" spans="2:5" ht="12.75">
      <c r="B94" s="11"/>
      <c r="C94" s="11"/>
      <c r="D94" s="11"/>
      <c r="E94"/>
    </row>
    <row r="95" spans="2:5" ht="12.75">
      <c r="B95" s="11"/>
      <c r="C95" s="11"/>
      <c r="D95" s="11"/>
      <c r="E95"/>
    </row>
    <row r="96" spans="2:5" ht="12.75">
      <c r="B96" s="11"/>
      <c r="C96" s="11"/>
      <c r="D96" s="11"/>
      <c r="E96"/>
    </row>
    <row r="97" spans="2:5" ht="12.75">
      <c r="B97" s="11"/>
      <c r="C97" s="11"/>
      <c r="D97" s="11"/>
      <c r="E97"/>
    </row>
    <row r="98" spans="2:5" ht="12.75">
      <c r="B98" s="11"/>
      <c r="C98" s="11"/>
      <c r="D98" s="11"/>
      <c r="E98"/>
    </row>
    <row r="99" spans="2:5" ht="12.75">
      <c r="B99" s="11"/>
      <c r="C99" s="11"/>
      <c r="D99" s="11"/>
      <c r="E99"/>
    </row>
    <row r="100" spans="2:5" ht="12.75">
      <c r="B100" s="11"/>
      <c r="C100" s="11"/>
      <c r="D100" s="11"/>
      <c r="E100"/>
    </row>
    <row r="101" spans="2:5" ht="12.75">
      <c r="B101" s="11"/>
      <c r="C101" s="11"/>
      <c r="D101" s="11"/>
      <c r="E101"/>
    </row>
    <row r="102" spans="2:5" ht="12.75">
      <c r="B102" s="11"/>
      <c r="C102" s="11"/>
      <c r="D102" s="11"/>
      <c r="E102"/>
    </row>
    <row r="103" spans="2:5" ht="12.75">
      <c r="B103" s="11"/>
      <c r="C103" s="11"/>
      <c r="D103" s="11"/>
      <c r="E103"/>
    </row>
    <row r="104" spans="2:5" ht="12.75">
      <c r="B104" s="11"/>
      <c r="C104" s="11"/>
      <c r="D104" s="11"/>
      <c r="E104"/>
    </row>
    <row r="105" spans="2:5" ht="12.75">
      <c r="B105" s="11"/>
      <c r="C105" s="11"/>
      <c r="D105" s="11"/>
      <c r="E105"/>
    </row>
    <row r="106" spans="2:5" ht="12.75">
      <c r="B106" s="11"/>
      <c r="C106" s="11"/>
      <c r="D106" s="11"/>
      <c r="E106"/>
    </row>
    <row r="107" spans="2:5" ht="12.75">
      <c r="B107" s="11"/>
      <c r="C107" s="11"/>
      <c r="D107" s="11"/>
      <c r="E107"/>
    </row>
    <row r="108" spans="2:5" ht="12.75">
      <c r="B108" s="11"/>
      <c r="C108" s="11"/>
      <c r="D108" s="11"/>
      <c r="E108"/>
    </row>
    <row r="109" spans="2:5" ht="12.75">
      <c r="B109" s="11"/>
      <c r="C109" s="11"/>
      <c r="D109" s="11"/>
      <c r="E109"/>
    </row>
    <row r="110" spans="2:5" ht="12.75">
      <c r="B110" s="11"/>
      <c r="C110" s="11"/>
      <c r="D110" s="11"/>
      <c r="E110"/>
    </row>
    <row r="111" spans="2:5" ht="12.75">
      <c r="B111" s="11"/>
      <c r="C111" s="11"/>
      <c r="D111" s="11"/>
      <c r="E111"/>
    </row>
    <row r="112" spans="2:5" ht="12.75">
      <c r="B112" s="11"/>
      <c r="C112" s="11"/>
      <c r="D112" s="11"/>
      <c r="E112"/>
    </row>
    <row r="113" spans="2:5" ht="12.75">
      <c r="B113" s="11"/>
      <c r="C113" s="11"/>
      <c r="D113" s="11"/>
      <c r="E113"/>
    </row>
    <row r="114" spans="2:5" ht="12.75">
      <c r="B114" s="11"/>
      <c r="C114" s="11"/>
      <c r="D114" s="11"/>
      <c r="E114"/>
    </row>
    <row r="115" spans="2:5" ht="12.75">
      <c r="B115" s="11"/>
      <c r="C115" s="11"/>
      <c r="D115" s="11"/>
      <c r="E115"/>
    </row>
    <row r="116" spans="2:5" ht="12.75">
      <c r="B116" s="11"/>
      <c r="C116" s="11"/>
      <c r="D116" s="11"/>
      <c r="E116"/>
    </row>
    <row r="117" spans="2:5" ht="12.75">
      <c r="B117" s="11"/>
      <c r="C117" s="11"/>
      <c r="D117" s="11"/>
      <c r="E117"/>
    </row>
    <row r="118" spans="2:5" ht="12.75">
      <c r="B118" s="11"/>
      <c r="C118" s="11"/>
      <c r="D118" s="11"/>
      <c r="E118"/>
    </row>
    <row r="119" spans="2:5" ht="12.75">
      <c r="B119" s="11"/>
      <c r="C119" s="11"/>
      <c r="D119" s="11"/>
      <c r="E119"/>
    </row>
    <row r="120" spans="2:5" ht="12.75">
      <c r="B120" s="11"/>
      <c r="C120" s="11"/>
      <c r="D120" s="11"/>
      <c r="E120"/>
    </row>
    <row r="121" spans="2:5" ht="12.75">
      <c r="B121" s="11"/>
      <c r="C121" s="11"/>
      <c r="D121" s="11"/>
      <c r="E121"/>
    </row>
    <row r="122" spans="2:5" ht="12.75">
      <c r="B122" s="11"/>
      <c r="C122" s="11"/>
      <c r="D122" s="11"/>
      <c r="E122"/>
    </row>
    <row r="123" spans="2:5" ht="12.75">
      <c r="B123" s="11"/>
      <c r="C123" s="11"/>
      <c r="D123" s="11"/>
      <c r="E123"/>
    </row>
    <row r="124" spans="2:5" ht="12.75">
      <c r="B124" s="11"/>
      <c r="C124" s="11"/>
      <c r="D124" s="11"/>
      <c r="E124"/>
    </row>
    <row r="125" spans="2:5" ht="12.75">
      <c r="B125" s="11"/>
      <c r="C125" s="11"/>
      <c r="D125" s="11"/>
      <c r="E125"/>
    </row>
    <row r="126" spans="2:5" ht="12.75">
      <c r="B126" s="11"/>
      <c r="C126" s="11"/>
      <c r="D126" s="11"/>
      <c r="E126"/>
    </row>
    <row r="127" spans="2:5" ht="12.75">
      <c r="B127" s="11"/>
      <c r="C127" s="11"/>
      <c r="D127" s="11"/>
      <c r="E127"/>
    </row>
    <row r="128" spans="2:5" ht="12.75">
      <c r="B128" s="122"/>
      <c r="C128" s="122"/>
      <c r="D128" s="122"/>
      <c r="E128" s="111"/>
    </row>
    <row r="129" spans="2:5" ht="12.75">
      <c r="B129" s="122"/>
      <c r="C129" s="122"/>
      <c r="D129" s="122"/>
      <c r="E129" s="111"/>
    </row>
    <row r="130" spans="2:5" ht="12.75">
      <c r="B130" s="122"/>
      <c r="C130" s="122"/>
      <c r="D130" s="122"/>
      <c r="E130" s="111"/>
    </row>
    <row r="131" spans="2:5" ht="12.75">
      <c r="B131" s="122"/>
      <c r="C131" s="122"/>
      <c r="D131" s="122"/>
      <c r="E131" s="111"/>
    </row>
    <row r="132" spans="2:5" ht="12.75">
      <c r="B132" s="122"/>
      <c r="C132" s="122"/>
      <c r="D132" s="122"/>
      <c r="E132" s="111"/>
    </row>
    <row r="133" spans="2:5" ht="12.75">
      <c r="B133" s="122"/>
      <c r="C133" s="122"/>
      <c r="D133" s="122"/>
      <c r="E133" s="111"/>
    </row>
    <row r="134" spans="2:5" ht="12.75">
      <c r="B134" s="122"/>
      <c r="C134" s="122"/>
      <c r="D134" s="122"/>
      <c r="E134" s="111"/>
    </row>
    <row r="135" spans="2:5" ht="12.75">
      <c r="B135" s="122"/>
      <c r="C135" s="122"/>
      <c r="D135" s="122"/>
      <c r="E135" s="111"/>
    </row>
    <row r="136" spans="2:5" ht="12.75">
      <c r="B136" s="122"/>
      <c r="C136" s="122"/>
      <c r="D136" s="122"/>
      <c r="E136" s="111"/>
    </row>
    <row r="137" spans="2:5" ht="12.75">
      <c r="B137" s="122"/>
      <c r="C137" s="122"/>
      <c r="D137" s="122"/>
      <c r="E137" s="111"/>
    </row>
    <row r="138" spans="2:5" ht="12.75">
      <c r="B138" s="122"/>
      <c r="C138" s="122"/>
      <c r="D138" s="122"/>
      <c r="E138" s="111"/>
    </row>
    <row r="139" spans="2:5" ht="12.75">
      <c r="B139" s="122"/>
      <c r="C139" s="122"/>
      <c r="D139" s="122"/>
      <c r="E139" s="111"/>
    </row>
    <row r="140" spans="2:5" ht="12.75">
      <c r="B140" s="122"/>
      <c r="C140" s="122"/>
      <c r="D140" s="122"/>
      <c r="E140" s="111"/>
    </row>
    <row r="141" spans="2:5" ht="12.75">
      <c r="B141" s="122"/>
      <c r="C141" s="122"/>
      <c r="D141" s="122"/>
      <c r="E141" s="111"/>
    </row>
    <row r="142" spans="2:5" ht="12.75">
      <c r="B142" s="122"/>
      <c r="C142" s="122"/>
      <c r="D142" s="122"/>
      <c r="E142" s="111"/>
    </row>
    <row r="143" spans="2:5" ht="12.75">
      <c r="B143" s="122"/>
      <c r="C143" s="122"/>
      <c r="D143" s="122"/>
      <c r="E143" s="111"/>
    </row>
    <row r="144" spans="2:5" ht="12.75">
      <c r="B144" s="122"/>
      <c r="C144" s="122"/>
      <c r="D144" s="122"/>
      <c r="E144" s="111"/>
    </row>
    <row r="145" spans="2:5" ht="12.75">
      <c r="B145" s="122"/>
      <c r="C145" s="122"/>
      <c r="D145" s="122"/>
      <c r="E145" s="111"/>
    </row>
    <row r="146" spans="2:5" ht="12.75">
      <c r="B146" s="122"/>
      <c r="C146" s="122"/>
      <c r="D146" s="122"/>
      <c r="E146" s="111"/>
    </row>
    <row r="147" spans="2:5" ht="12.75">
      <c r="B147" s="122"/>
      <c r="C147" s="122"/>
      <c r="D147" s="122"/>
      <c r="E147" s="111"/>
    </row>
    <row r="148" spans="2:5" ht="12.75">
      <c r="B148" s="122"/>
      <c r="C148" s="122"/>
      <c r="D148" s="122"/>
      <c r="E148" s="111"/>
    </row>
    <row r="149" spans="2:5" ht="12.75">
      <c r="B149" s="122"/>
      <c r="C149" s="122"/>
      <c r="D149" s="122"/>
      <c r="E149" s="111"/>
    </row>
    <row r="150" spans="2:5" ht="12.75">
      <c r="B150" s="122"/>
      <c r="C150" s="122"/>
      <c r="D150" s="122"/>
      <c r="E150" s="111"/>
    </row>
    <row r="151" spans="2:5" ht="12.75">
      <c r="B151" s="122"/>
      <c r="C151" s="122"/>
      <c r="D151" s="122"/>
      <c r="E151" s="111"/>
    </row>
    <row r="152" spans="2:5" ht="12.75">
      <c r="B152" s="122"/>
      <c r="C152" s="122"/>
      <c r="D152" s="122"/>
      <c r="E152" s="111"/>
    </row>
    <row r="153" spans="2:5" ht="12.75">
      <c r="B153" s="122"/>
      <c r="C153" s="122"/>
      <c r="D153" s="122"/>
      <c r="E153" s="111"/>
    </row>
    <row r="154" spans="2:5" ht="12.75">
      <c r="B154" s="122"/>
      <c r="C154" s="122"/>
      <c r="D154" s="122"/>
      <c r="E154" s="111"/>
    </row>
    <row r="155" spans="2:5" ht="12.75">
      <c r="B155" s="122"/>
      <c r="C155" s="122"/>
      <c r="D155" s="122"/>
      <c r="E155" s="111"/>
    </row>
    <row r="156" spans="2:5" ht="12.75">
      <c r="B156" s="122"/>
      <c r="C156" s="122"/>
      <c r="D156" s="122"/>
      <c r="E156" s="111"/>
    </row>
    <row r="157" spans="2:5" ht="12.75">
      <c r="B157" s="122"/>
      <c r="C157" s="122"/>
      <c r="D157" s="122"/>
      <c r="E157" s="111"/>
    </row>
    <row r="158" spans="2:5" ht="12.75">
      <c r="B158" s="122"/>
      <c r="C158" s="122"/>
      <c r="D158" s="122"/>
      <c r="E158" s="111"/>
    </row>
    <row r="159" spans="2:5" ht="12.75">
      <c r="B159" s="122"/>
      <c r="C159" s="122"/>
      <c r="D159" s="122"/>
      <c r="E159" s="111"/>
    </row>
    <row r="160" spans="2:5" ht="12.75">
      <c r="B160" s="122"/>
      <c r="C160" s="122"/>
      <c r="D160" s="122"/>
      <c r="E160" s="111"/>
    </row>
    <row r="161" spans="2:5" ht="12.75">
      <c r="B161" s="122"/>
      <c r="C161" s="122"/>
      <c r="D161" s="122"/>
      <c r="E161" s="111"/>
    </row>
    <row r="162" spans="2:5" ht="12.75">
      <c r="B162" s="122"/>
      <c r="C162" s="122"/>
      <c r="D162" s="122"/>
      <c r="E162" s="111"/>
    </row>
    <row r="163" spans="2:5" ht="12.75">
      <c r="B163" s="122"/>
      <c r="C163" s="122"/>
      <c r="D163" s="122"/>
      <c r="E163" s="111"/>
    </row>
    <row r="164" ht="12.75">
      <c r="E164" s="111"/>
    </row>
    <row r="165" ht="12.75">
      <c r="E165" s="111"/>
    </row>
    <row r="166" ht="12.75">
      <c r="E166" s="111"/>
    </row>
    <row r="167" spans="2:5" ht="12.75">
      <c r="B167" s="122"/>
      <c r="C167" s="122"/>
      <c r="D167" s="122"/>
      <c r="E167" s="111"/>
    </row>
    <row r="168" spans="2:5" ht="12.75">
      <c r="B168" s="122"/>
      <c r="C168" s="122"/>
      <c r="D168" s="122"/>
      <c r="E168" s="111"/>
    </row>
    <row r="169" spans="2:5" ht="12.75">
      <c r="B169" s="122"/>
      <c r="C169" s="122"/>
      <c r="D169" s="122"/>
      <c r="E169" s="111"/>
    </row>
    <row r="170" spans="2:5" ht="12.75">
      <c r="B170" s="122"/>
      <c r="C170" s="122"/>
      <c r="D170" s="122"/>
      <c r="E170" s="111"/>
    </row>
    <row r="171" spans="2:5" ht="12.75">
      <c r="B171" s="122"/>
      <c r="C171" s="122"/>
      <c r="D171" s="122"/>
      <c r="E171" s="111"/>
    </row>
    <row r="172" spans="2:5" ht="12.75">
      <c r="B172" s="122"/>
      <c r="C172" s="122"/>
      <c r="D172" s="122"/>
      <c r="E172" s="111"/>
    </row>
    <row r="173" spans="2:5" ht="12.75">
      <c r="B173" s="122"/>
      <c r="C173" s="122"/>
      <c r="D173" s="122"/>
      <c r="E173" s="111"/>
    </row>
    <row r="174" spans="2:5" ht="12.75">
      <c r="B174" s="122"/>
      <c r="C174" s="122"/>
      <c r="D174" s="122"/>
      <c r="E174" s="111"/>
    </row>
    <row r="175" spans="2:5" ht="12.75">
      <c r="B175" s="122"/>
      <c r="C175" s="122"/>
      <c r="D175" s="122"/>
      <c r="E175" s="111"/>
    </row>
    <row r="176" spans="2:5" ht="12.75">
      <c r="B176" s="122"/>
      <c r="C176" s="122"/>
      <c r="D176" s="122"/>
      <c r="E176" s="111"/>
    </row>
    <row r="177" spans="2:5" ht="12.75">
      <c r="B177" s="122"/>
      <c r="C177" s="122"/>
      <c r="D177" s="122"/>
      <c r="E177" s="111"/>
    </row>
    <row r="178" spans="2:5" ht="12.75">
      <c r="B178" s="122"/>
      <c r="C178" s="122"/>
      <c r="D178" s="122"/>
      <c r="E178" s="111"/>
    </row>
    <row r="179" spans="2:5" ht="12.75">
      <c r="B179" s="122"/>
      <c r="C179" s="122"/>
      <c r="D179" s="122"/>
      <c r="E179" s="111"/>
    </row>
    <row r="180" spans="2:5" ht="12.75">
      <c r="B180" s="122"/>
      <c r="C180" s="122"/>
      <c r="D180" s="122"/>
      <c r="E180" s="111"/>
    </row>
    <row r="181" spans="2:5" ht="12.75">
      <c r="B181" s="122"/>
      <c r="C181" s="122"/>
      <c r="D181" s="122"/>
      <c r="E181" s="111"/>
    </row>
    <row r="182" spans="2:5" ht="12.75">
      <c r="B182" s="122"/>
      <c r="C182" s="122"/>
      <c r="D182" s="122"/>
      <c r="E182" s="111"/>
    </row>
    <row r="183" spans="2:5" ht="12.75">
      <c r="B183" s="122"/>
      <c r="C183" s="122"/>
      <c r="D183" s="122"/>
      <c r="E183" s="111"/>
    </row>
    <row r="184" spans="2:5" ht="12.75">
      <c r="B184" s="122"/>
      <c r="C184" s="122"/>
      <c r="D184" s="122"/>
      <c r="E184" s="111"/>
    </row>
    <row r="185" spans="2:5" ht="12.75">
      <c r="B185" s="122"/>
      <c r="C185" s="122"/>
      <c r="D185" s="122"/>
      <c r="E185" s="111"/>
    </row>
    <row r="186" spans="2:5" ht="12.75">
      <c r="B186" s="122"/>
      <c r="C186" s="122"/>
      <c r="D186" s="122"/>
      <c r="E186" s="111"/>
    </row>
    <row r="187" spans="2:5" ht="12.75">
      <c r="B187" s="122"/>
      <c r="C187" s="122"/>
      <c r="D187" s="122"/>
      <c r="E187" s="111"/>
    </row>
    <row r="188" spans="2:5" ht="12.75">
      <c r="B188" s="122"/>
      <c r="C188" s="122"/>
      <c r="D188" s="122"/>
      <c r="E188" s="111"/>
    </row>
    <row r="189" spans="2:5" ht="12.75">
      <c r="B189" s="122"/>
      <c r="C189" s="122"/>
      <c r="D189" s="122"/>
      <c r="E189" s="111"/>
    </row>
    <row r="190" spans="2:5" ht="12.75">
      <c r="B190" s="122"/>
      <c r="C190" s="122"/>
      <c r="D190" s="122"/>
      <c r="E190" s="111"/>
    </row>
    <row r="191" spans="2:5" ht="12.75">
      <c r="B191" s="122"/>
      <c r="C191" s="122"/>
      <c r="D191" s="122"/>
      <c r="E191" s="111"/>
    </row>
    <row r="192" spans="2:5" ht="12.75">
      <c r="B192" s="122"/>
      <c r="C192" s="122"/>
      <c r="D192" s="122"/>
      <c r="E192" s="111"/>
    </row>
    <row r="193" spans="2:5" ht="12.75">
      <c r="B193" s="122"/>
      <c r="C193" s="122"/>
      <c r="D193" s="122"/>
      <c r="E193" s="111"/>
    </row>
    <row r="194" spans="2:5" ht="12.75">
      <c r="B194" s="122"/>
      <c r="C194" s="122"/>
      <c r="D194" s="122"/>
      <c r="E194" s="111"/>
    </row>
    <row r="195" spans="2:5" ht="12.75">
      <c r="B195" s="122"/>
      <c r="C195" s="122"/>
      <c r="D195" s="122"/>
      <c r="E195" s="111"/>
    </row>
    <row r="196" spans="2:5" ht="12.75">
      <c r="B196" s="122"/>
      <c r="C196" s="122"/>
      <c r="D196" s="122"/>
      <c r="E196" s="111"/>
    </row>
    <row r="197" spans="2:5" ht="12.75">
      <c r="B197" s="122"/>
      <c r="C197" s="122"/>
      <c r="D197" s="122"/>
      <c r="E197" s="111"/>
    </row>
    <row r="198" spans="2:5" ht="12.75">
      <c r="B198" s="122"/>
      <c r="C198" s="122"/>
      <c r="D198" s="122"/>
      <c r="E198" s="111"/>
    </row>
    <row r="199" spans="2:5" ht="12.75">
      <c r="B199" s="122"/>
      <c r="C199" s="122"/>
      <c r="D199" s="122"/>
      <c r="E199" s="111"/>
    </row>
    <row r="200" spans="2:5" ht="12.75">
      <c r="B200" s="122"/>
      <c r="C200" s="122"/>
      <c r="D200" s="122"/>
      <c r="E200" s="111"/>
    </row>
    <row r="201" spans="2:5" ht="12.75">
      <c r="B201" s="122"/>
      <c r="C201" s="122"/>
      <c r="D201" s="122"/>
      <c r="E201" s="111"/>
    </row>
    <row r="202" spans="2:5" ht="12.75">
      <c r="B202" s="122"/>
      <c r="C202" s="122"/>
      <c r="D202" s="122"/>
      <c r="E202" s="111"/>
    </row>
    <row r="203" spans="2:5" ht="12.75">
      <c r="B203" s="122"/>
      <c r="C203" s="122"/>
      <c r="D203" s="122"/>
      <c r="E203" s="111"/>
    </row>
    <row r="204" spans="2:5" ht="12.75">
      <c r="B204" s="122"/>
      <c r="C204" s="122"/>
      <c r="D204" s="122"/>
      <c r="E204" s="111"/>
    </row>
    <row r="205" spans="2:5" ht="12.75">
      <c r="B205" s="122"/>
      <c r="C205" s="122"/>
      <c r="D205" s="122"/>
      <c r="E205" s="111"/>
    </row>
    <row r="206" spans="2:5" ht="12.75">
      <c r="B206" s="122"/>
      <c r="C206" s="122"/>
      <c r="D206" s="122"/>
      <c r="E206" s="111"/>
    </row>
    <row r="207" spans="2:5" ht="12.75">
      <c r="B207" s="122"/>
      <c r="C207" s="122"/>
      <c r="D207" s="122"/>
      <c r="E207" s="111"/>
    </row>
    <row r="208" spans="2:5" ht="12.75">
      <c r="B208" s="122"/>
      <c r="C208" s="122"/>
      <c r="D208" s="122"/>
      <c r="E208" s="111"/>
    </row>
    <row r="209" spans="2:5" ht="12.75">
      <c r="B209" s="122"/>
      <c r="C209" s="122"/>
      <c r="D209" s="122"/>
      <c r="E209" s="111"/>
    </row>
    <row r="210" spans="2:5" ht="12.75">
      <c r="B210" s="122"/>
      <c r="C210" s="122"/>
      <c r="D210" s="122"/>
      <c r="E210" s="111"/>
    </row>
    <row r="211" spans="2:5" ht="12.75">
      <c r="B211" s="122"/>
      <c r="C211" s="122"/>
      <c r="D211" s="122"/>
      <c r="E211" s="111"/>
    </row>
    <row r="212" spans="2:5" ht="12.75">
      <c r="B212" s="122"/>
      <c r="C212" s="122"/>
      <c r="D212" s="122"/>
      <c r="E212" s="111"/>
    </row>
    <row r="213" spans="2:5" ht="12.75">
      <c r="B213" s="122"/>
      <c r="C213" s="122"/>
      <c r="D213" s="122"/>
      <c r="E213" s="111"/>
    </row>
    <row r="214" spans="2:5" ht="12.75">
      <c r="B214" s="122"/>
      <c r="C214" s="122"/>
      <c r="D214" s="122"/>
      <c r="E214" s="111"/>
    </row>
    <row r="215" spans="2:5" ht="12.75">
      <c r="B215" s="122"/>
      <c r="C215" s="122"/>
      <c r="D215" s="122"/>
      <c r="E215" s="111"/>
    </row>
    <row r="216" spans="2:5" ht="12.75">
      <c r="B216" s="122"/>
      <c r="C216" s="122"/>
      <c r="D216" s="122"/>
      <c r="E216" s="111"/>
    </row>
    <row r="217" spans="2:5" ht="12.75">
      <c r="B217" s="122"/>
      <c r="C217" s="122"/>
      <c r="D217" s="122"/>
      <c r="E217" s="111"/>
    </row>
    <row r="218" spans="2:5" ht="12.75">
      <c r="B218" s="122"/>
      <c r="C218" s="122"/>
      <c r="D218" s="122"/>
      <c r="E218" s="111"/>
    </row>
    <row r="219" spans="2:5" ht="12.75">
      <c r="B219" s="122"/>
      <c r="C219" s="122"/>
      <c r="D219" s="122"/>
      <c r="E219" s="111"/>
    </row>
    <row r="220" spans="2:5" ht="12.75">
      <c r="B220" s="122"/>
      <c r="C220" s="122"/>
      <c r="D220" s="122"/>
      <c r="E220" s="111"/>
    </row>
    <row r="221" spans="2:5" ht="12.75">
      <c r="B221" s="122"/>
      <c r="C221" s="122"/>
      <c r="D221" s="122"/>
      <c r="E221" s="111"/>
    </row>
    <row r="222" spans="2:5" ht="12.75">
      <c r="B222" s="122"/>
      <c r="C222" s="122"/>
      <c r="D222" s="122"/>
      <c r="E222" s="111"/>
    </row>
    <row r="223" spans="2:5" ht="12.75">
      <c r="B223" s="122"/>
      <c r="C223" s="122"/>
      <c r="D223" s="122"/>
      <c r="E223" s="111"/>
    </row>
    <row r="224" spans="2:5" ht="12.75">
      <c r="B224" s="122"/>
      <c r="C224" s="122"/>
      <c r="D224" s="122"/>
      <c r="E224" s="111"/>
    </row>
    <row r="225" spans="2:5" ht="12.75">
      <c r="B225" s="122"/>
      <c r="C225" s="122"/>
      <c r="D225" s="122"/>
      <c r="E225" s="111"/>
    </row>
    <row r="226" spans="2:5" ht="12.75">
      <c r="B226" s="122"/>
      <c r="C226" s="122"/>
      <c r="D226" s="122"/>
      <c r="E226" s="111"/>
    </row>
    <row r="227" spans="2:5" ht="12.75">
      <c r="B227" s="122"/>
      <c r="C227" s="122"/>
      <c r="D227" s="122"/>
      <c r="E227" s="111"/>
    </row>
    <row r="228" spans="2:5" ht="12.75">
      <c r="B228" s="122"/>
      <c r="C228" s="122"/>
      <c r="D228" s="122"/>
      <c r="E228" s="111"/>
    </row>
    <row r="229" spans="2:5" ht="12.75">
      <c r="B229" s="122"/>
      <c r="C229" s="122"/>
      <c r="D229" s="122"/>
      <c r="E229" s="111"/>
    </row>
    <row r="230" spans="2:5" ht="12.75">
      <c r="B230" s="122"/>
      <c r="C230" s="122"/>
      <c r="D230" s="122"/>
      <c r="E230" s="111"/>
    </row>
    <row r="231" spans="2:5" ht="12.75">
      <c r="B231" s="122"/>
      <c r="C231" s="122"/>
      <c r="D231" s="122"/>
      <c r="E231" s="111"/>
    </row>
    <row r="232" spans="2:5" ht="12.75">
      <c r="B232" s="122"/>
      <c r="C232" s="122"/>
      <c r="D232" s="122"/>
      <c r="E232" s="111"/>
    </row>
    <row r="233" spans="2:5" ht="12.75">
      <c r="B233" s="122"/>
      <c r="C233" s="122"/>
      <c r="D233" s="122"/>
      <c r="E233" s="111"/>
    </row>
    <row r="234" spans="2:5" ht="12.75">
      <c r="B234" s="122"/>
      <c r="C234" s="122"/>
      <c r="D234" s="122"/>
      <c r="E234" s="111"/>
    </row>
    <row r="235" spans="2:5" ht="12.75">
      <c r="B235" s="122"/>
      <c r="C235" s="122"/>
      <c r="D235" s="122"/>
      <c r="E235" s="111"/>
    </row>
    <row r="236" spans="2:5" ht="12.75">
      <c r="B236" s="122"/>
      <c r="C236" s="122"/>
      <c r="D236" s="122"/>
      <c r="E236" s="111"/>
    </row>
    <row r="237" spans="2:5" ht="12.75">
      <c r="B237" s="122"/>
      <c r="C237" s="122"/>
      <c r="D237" s="122"/>
      <c r="E237" s="111"/>
    </row>
    <row r="238" spans="2:5" ht="12.75">
      <c r="B238" s="122"/>
      <c r="C238" s="122"/>
      <c r="D238" s="122"/>
      <c r="E238" s="111"/>
    </row>
    <row r="239" spans="2:5" ht="12.75">
      <c r="B239" s="122"/>
      <c r="C239" s="122"/>
      <c r="D239" s="122"/>
      <c r="E239" s="111"/>
    </row>
    <row r="240" spans="2:5" ht="12.75">
      <c r="B240" s="122"/>
      <c r="C240" s="122"/>
      <c r="D240" s="122"/>
      <c r="E240" s="111"/>
    </row>
    <row r="241" spans="2:5" ht="12.75">
      <c r="B241" s="122"/>
      <c r="C241" s="122"/>
      <c r="D241" s="122"/>
      <c r="E241" s="111"/>
    </row>
    <row r="242" spans="2:5" ht="12.75">
      <c r="B242" s="122"/>
      <c r="C242" s="122"/>
      <c r="D242" s="122"/>
      <c r="E242" s="111"/>
    </row>
    <row r="243" spans="2:5" ht="12.75">
      <c r="B243" s="122"/>
      <c r="C243" s="122"/>
      <c r="D243" s="122"/>
      <c r="E243" s="111"/>
    </row>
    <row r="244" spans="2:5" ht="12.75">
      <c r="B244" s="122"/>
      <c r="C244" s="122"/>
      <c r="D244" s="122"/>
      <c r="E244" s="111"/>
    </row>
    <row r="245" spans="2:5" ht="12.75">
      <c r="B245" s="122"/>
      <c r="C245" s="122"/>
      <c r="D245" s="122"/>
      <c r="E245" s="111"/>
    </row>
    <row r="246" spans="2:5" ht="12.75">
      <c r="B246" s="122"/>
      <c r="C246" s="122"/>
      <c r="D246" s="122"/>
      <c r="E246" s="111"/>
    </row>
    <row r="247" spans="2:5" ht="12.75">
      <c r="B247" s="122"/>
      <c r="C247" s="122"/>
      <c r="D247" s="122"/>
      <c r="E247" s="111"/>
    </row>
    <row r="248" spans="2:5" ht="12.75">
      <c r="B248" s="122"/>
      <c r="C248" s="122"/>
      <c r="D248" s="122"/>
      <c r="E248" s="111"/>
    </row>
    <row r="249" spans="2:5" ht="12.75">
      <c r="B249" s="122"/>
      <c r="C249" s="122"/>
      <c r="D249" s="122"/>
      <c r="E249" s="111"/>
    </row>
    <row r="250" spans="2:5" ht="12.75">
      <c r="B250" s="122"/>
      <c r="C250" s="122"/>
      <c r="D250" s="122"/>
      <c r="E250" s="111"/>
    </row>
    <row r="251" spans="2:5" ht="12.75">
      <c r="B251" s="122"/>
      <c r="C251" s="122"/>
      <c r="D251" s="122"/>
      <c r="E251" s="111"/>
    </row>
    <row r="252" spans="2:5" ht="12.75">
      <c r="B252" s="122"/>
      <c r="C252" s="122"/>
      <c r="D252" s="122"/>
      <c r="E252" s="111"/>
    </row>
    <row r="253" spans="2:5" ht="12.75">
      <c r="B253" s="122"/>
      <c r="C253" s="122"/>
      <c r="D253" s="122"/>
      <c r="E253" s="111"/>
    </row>
    <row r="254" spans="2:5" ht="12.75">
      <c r="B254" s="122"/>
      <c r="C254" s="122"/>
      <c r="D254" s="122"/>
      <c r="E254" s="111"/>
    </row>
    <row r="255" spans="2:5" ht="12.75">
      <c r="B255" s="122"/>
      <c r="C255" s="122"/>
      <c r="D255" s="122"/>
      <c r="E255" s="111"/>
    </row>
    <row r="256" spans="2:5" ht="12.75">
      <c r="B256" s="122"/>
      <c r="C256" s="122"/>
      <c r="D256" s="122"/>
      <c r="E256" s="111"/>
    </row>
    <row r="257" spans="2:5" ht="12.75">
      <c r="B257" s="122"/>
      <c r="C257" s="122"/>
      <c r="D257" s="122"/>
      <c r="E257" s="111"/>
    </row>
    <row r="258" spans="2:5" ht="12.75">
      <c r="B258" s="122"/>
      <c r="C258" s="122"/>
      <c r="D258" s="122"/>
      <c r="E258" s="111"/>
    </row>
    <row r="259" spans="2:5" ht="12.75">
      <c r="B259" s="122"/>
      <c r="C259" s="122"/>
      <c r="D259" s="122"/>
      <c r="E259" s="111"/>
    </row>
    <row r="260" spans="2:5" ht="12.75">
      <c r="B260" s="122"/>
      <c r="C260" s="122"/>
      <c r="D260" s="122"/>
      <c r="E260" s="111"/>
    </row>
    <row r="261" spans="2:5" ht="12.75">
      <c r="B261" s="122"/>
      <c r="C261" s="122"/>
      <c r="D261" s="122"/>
      <c r="E261" s="111"/>
    </row>
    <row r="262" spans="2:5" ht="12.75">
      <c r="B262" s="122"/>
      <c r="C262" s="122"/>
      <c r="D262" s="122"/>
      <c r="E262" s="111"/>
    </row>
    <row r="263" spans="2:5" ht="12.75">
      <c r="B263" s="122"/>
      <c r="C263" s="122"/>
      <c r="D263" s="122"/>
      <c r="E263" s="111"/>
    </row>
    <row r="264" spans="2:5" ht="12.75">
      <c r="B264" s="122"/>
      <c r="C264" s="122"/>
      <c r="D264" s="122"/>
      <c r="E264" s="111"/>
    </row>
    <row r="265" spans="2:5" ht="12.75">
      <c r="B265" s="122"/>
      <c r="C265" s="122"/>
      <c r="D265" s="122"/>
      <c r="E265" s="111"/>
    </row>
    <row r="266" spans="2:5" ht="12.75">
      <c r="B266" s="122"/>
      <c r="C266" s="122"/>
      <c r="D266" s="122"/>
      <c r="E266" s="111"/>
    </row>
    <row r="267" spans="2:5" ht="12.75">
      <c r="B267" s="122"/>
      <c r="C267" s="122"/>
      <c r="D267" s="122"/>
      <c r="E267" s="111"/>
    </row>
    <row r="268" spans="2:5" ht="12.75">
      <c r="B268" s="122"/>
      <c r="C268" s="122"/>
      <c r="D268" s="122"/>
      <c r="E268" s="111"/>
    </row>
    <row r="269" spans="2:5" ht="12.75">
      <c r="B269" s="122"/>
      <c r="C269" s="122"/>
      <c r="D269" s="122"/>
      <c r="E269" s="111"/>
    </row>
    <row r="270" spans="2:5" ht="12.75">
      <c r="B270" s="122"/>
      <c r="C270" s="122"/>
      <c r="D270" s="122"/>
      <c r="E270" s="111"/>
    </row>
    <row r="271" spans="2:5" ht="12.75">
      <c r="B271" s="122"/>
      <c r="C271" s="122"/>
      <c r="D271" s="122"/>
      <c r="E271" s="111"/>
    </row>
    <row r="272" spans="2:5" ht="12.75">
      <c r="B272" s="122"/>
      <c r="C272" s="122"/>
      <c r="D272" s="122"/>
      <c r="E272" s="111"/>
    </row>
    <row r="273" spans="2:5" ht="12.75">
      <c r="B273" s="122"/>
      <c r="C273" s="122"/>
      <c r="D273" s="122"/>
      <c r="E273" s="111"/>
    </row>
    <row r="274" spans="2:5" ht="12.75" hidden="1">
      <c r="B274" s="122"/>
      <c r="C274" s="122"/>
      <c r="D274" s="122"/>
      <c r="E274" s="111"/>
    </row>
    <row r="275" spans="2:5" ht="12.75" hidden="1">
      <c r="B275" s="122"/>
      <c r="C275" s="122"/>
      <c r="D275" s="122"/>
      <c r="E275" s="111"/>
    </row>
    <row r="276" spans="2:5" ht="12.75" hidden="1">
      <c r="B276" s="122"/>
      <c r="C276" s="122"/>
      <c r="D276" s="122"/>
      <c r="E276" s="111"/>
    </row>
    <row r="277" spans="2:5" ht="12.75" hidden="1">
      <c r="B277" s="122"/>
      <c r="C277" s="122"/>
      <c r="D277" s="122"/>
      <c r="E277" s="111"/>
    </row>
    <row r="278" spans="2:5" ht="12.75" hidden="1">
      <c r="B278" s="122"/>
      <c r="C278" s="122"/>
      <c r="D278" s="122"/>
      <c r="E278" s="111"/>
    </row>
    <row r="279" spans="2:5" ht="12.75" hidden="1">
      <c r="B279" s="122"/>
      <c r="C279" s="122"/>
      <c r="D279" s="122"/>
      <c r="E279" s="111"/>
    </row>
    <row r="280" spans="2:5" ht="12.75" hidden="1">
      <c r="B280" s="122"/>
      <c r="C280" s="122"/>
      <c r="D280" s="122"/>
      <c r="E280" s="111"/>
    </row>
    <row r="281" spans="2:5" ht="12.75" hidden="1">
      <c r="B281" s="122"/>
      <c r="C281" s="122"/>
      <c r="D281" s="122"/>
      <c r="E281" s="111"/>
    </row>
    <row r="282" spans="2:5" ht="12.75" hidden="1">
      <c r="B282" s="122"/>
      <c r="C282" s="122"/>
      <c r="D282" s="122"/>
      <c r="E282" s="111"/>
    </row>
    <row r="283" spans="2:5" ht="12.75" hidden="1">
      <c r="B283" s="122"/>
      <c r="C283" s="122"/>
      <c r="D283" s="122"/>
      <c r="E283" s="111"/>
    </row>
    <row r="284" spans="2:5" ht="12.75" hidden="1">
      <c r="B284" s="122"/>
      <c r="C284" s="122"/>
      <c r="D284" s="122"/>
      <c r="E284" s="111"/>
    </row>
    <row r="285" spans="2:5" ht="12.75" hidden="1">
      <c r="B285" s="122"/>
      <c r="C285" s="122"/>
      <c r="D285" s="122"/>
      <c r="E285" s="111"/>
    </row>
    <row r="286" spans="2:5" ht="12.75" hidden="1">
      <c r="B286" s="122"/>
      <c r="C286" s="122"/>
      <c r="D286" s="122"/>
      <c r="E286" s="111"/>
    </row>
    <row r="287" spans="2:5" ht="12.75" hidden="1">
      <c r="B287" s="122"/>
      <c r="C287" s="122"/>
      <c r="D287" s="122"/>
      <c r="E287" s="111"/>
    </row>
    <row r="288" spans="2:5" ht="12.75" hidden="1">
      <c r="B288" s="122"/>
      <c r="C288" s="122"/>
      <c r="D288" s="122"/>
      <c r="E288" s="111"/>
    </row>
    <row r="289" spans="2:5" ht="12.75" hidden="1">
      <c r="B289" s="122"/>
      <c r="C289" s="122"/>
      <c r="D289" s="122"/>
      <c r="E289" s="111"/>
    </row>
    <row r="290" spans="2:5" ht="12.75" hidden="1">
      <c r="B290" s="122"/>
      <c r="C290" s="122"/>
      <c r="D290" s="122"/>
      <c r="E290" s="111"/>
    </row>
    <row r="291" spans="2:5" ht="12.75" hidden="1">
      <c r="B291" s="122"/>
      <c r="C291" s="122"/>
      <c r="D291" s="122"/>
      <c r="E291" s="111"/>
    </row>
    <row r="292" spans="2:5" ht="12.75" hidden="1">
      <c r="B292" s="122"/>
      <c r="C292" s="122"/>
      <c r="D292" s="122"/>
      <c r="E292" s="111"/>
    </row>
    <row r="293" spans="2:5" ht="12.75" hidden="1">
      <c r="B293" s="122"/>
      <c r="C293" s="122"/>
      <c r="D293" s="122"/>
      <c r="E293" s="111"/>
    </row>
    <row r="294" spans="2:5" ht="12.75" hidden="1">
      <c r="B294" s="122"/>
      <c r="C294" s="122"/>
      <c r="D294" s="122"/>
      <c r="E294" s="111"/>
    </row>
    <row r="295" spans="2:5" ht="12.75" hidden="1">
      <c r="B295" s="122"/>
      <c r="C295" s="122"/>
      <c r="D295" s="122"/>
      <c r="E295" s="111"/>
    </row>
    <row r="296" spans="2:5" ht="12.75" hidden="1">
      <c r="B296" s="122"/>
      <c r="C296" s="122"/>
      <c r="D296" s="122"/>
      <c r="E296" s="111"/>
    </row>
    <row r="297" spans="2:5" ht="12.75" hidden="1">
      <c r="B297" s="122"/>
      <c r="C297" s="122"/>
      <c r="D297" s="122"/>
      <c r="E297" s="111"/>
    </row>
    <row r="298" spans="2:5" ht="12.75" hidden="1">
      <c r="B298" s="122"/>
      <c r="C298" s="122"/>
      <c r="D298" s="122"/>
      <c r="E298" s="111"/>
    </row>
    <row r="299" spans="2:5" ht="12.75" hidden="1">
      <c r="B299" s="122"/>
      <c r="C299" s="122"/>
      <c r="D299" s="122"/>
      <c r="E299" s="111"/>
    </row>
    <row r="300" spans="2:5" ht="13.5" hidden="1" thickBot="1">
      <c r="B300" s="109"/>
      <c r="C300" s="109"/>
      <c r="D300" s="109"/>
      <c r="E300" s="112"/>
    </row>
    <row r="302" ht="409.6" customHeight="1" hidden="1"/>
    <row r="303" ht="409.6" customHeight="1" hidden="1" thickTop="1"/>
    <row r="304" ht="409.6" customHeight="1" hidden="1" thickTop="1"/>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C9E3EE5AD4A641B9C17E31E4B0539D" ma:contentTypeVersion="0" ma:contentTypeDescription="Create a new document." ma:contentTypeScope="" ma:versionID="47946026ab3801aecea62651e9f54e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F6F9F83-146C-4DA4-8F61-BD87AA8EC095}">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600AFB1E-68D3-4B22-BCC2-443BBFFE6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A18083-CEFB-4C7C-9C05-1BDAAD417006}">
  <ds:schemaRefs>
    <ds:schemaRef ds:uri="http://schemas.microsoft.com/sharepoint/v3/contenttype/forms"/>
  </ds:schemaRefs>
</ds:datastoreItem>
</file>

<file path=customXml/itemProps4.xml><?xml version="1.0" encoding="utf-8"?>
<ds:datastoreItem xmlns:ds="http://schemas.openxmlformats.org/officeDocument/2006/customXml" ds:itemID="{D45B1595-1136-40F5-8C27-E07D90D9F1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Lennox,Alexander (BPA) - FTR-2</cp:lastModifiedBy>
  <cp:lastPrinted>2018-10-12T16:41:46Z</cp:lastPrinted>
  <dcterms:created xsi:type="dcterms:W3CDTF">2010-11-26T22:14:36Z</dcterms:created>
  <dcterms:modified xsi:type="dcterms:W3CDTF">2023-07-14T15:03:59Z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WorkBook</vt:lpwstr>
  </property>
  <property fmtid="{D5CDD505-2E9C-101B-9397-08002B2CF9AE}" pid="3" name="ContentTypeId">
    <vt:lpwstr>0x01010053C9E3EE5AD4A641B9C17E31E4B0539D</vt:lpwstr>
  </property>
</Properties>
</file>