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5.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3.xml" ContentType="application/vnd.ms-office.chartstyle+xml"/>
  <Override PartName="/xl/charts/colors5.xml" ContentType="application/vnd.ms-office.chartcolor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bookViews>
    <workbookView xWindow="0" yWindow="0" windowWidth="19200" windowHeight="8892" activeTab="0"/>
  </bookViews>
  <sheets>
    <sheet name="Instructions" sheetId="8" r:id="rId1"/>
    <sheet name="RecommendationsTracker" sheetId="4" r:id="rId2"/>
    <sheet name="Realization Rates_Tracker" sheetId="2" r:id="rId3"/>
    <sheet name="Chart_OverallRR" sheetId="7" r:id="rId4"/>
    <sheet name="Chart_RRMethod" sheetId="6" r:id="rId5"/>
  </sheets>
  <definedNames>
    <definedName name="_bookmark105" localSheetId="1">'RecommendationsTracker'!$I$69</definedName>
    <definedName name="_xlnm._FilterDatabase" localSheetId="2" hidden="1">'Realization Rates_Tracker'!$A$7:$Y$47</definedName>
    <definedName name="_xlnm._FilterDatabase" localSheetId="1" hidden="1">'RecommendationsTracker'!$A$1:$R$63</definedName>
    <definedName name="_ftnref1" localSheetId="1">'RecommendationsTracker'!$F$67</definedName>
    <definedName name="_SG_14ec86f47e8149278f2a225c520a5f62" localSheetId="1">'RecommendationsTracker'!$H$68</definedName>
  </definedNames>
  <calcPr calcId="191029"/>
  <pivotCaches>
    <pivotCache cacheId="0" r:id="rId6"/>
  </pivotCaches>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Nelson,Carrie E (BPA) - PEJC-6</author>
  </authors>
  <commentList>
    <comment ref="E1" authorId="0">
      <text>
        <r>
          <rPr>
            <b/>
            <sz val="9"/>
            <color rgb="FF000000"/>
            <rFont val="Tahoma"/>
            <family val="2"/>
          </rPr>
          <t>Types: Recommendation for Change, Future Research, Other Consideration. Do not document "Continue doing" or Key finding unless something unique makes it needed to watch over tiem.</t>
        </r>
      </text>
    </comment>
    <comment ref="M1" authorId="0">
      <text>
        <r>
          <rPr>
            <b/>
            <sz val="9"/>
            <rFont val="Tahoma"/>
            <family val="2"/>
          </rPr>
          <t xml:space="preserve">Options: 
- </t>
        </r>
        <r>
          <rPr>
            <sz val="9"/>
            <rFont val="Tahoma"/>
            <family val="2"/>
          </rPr>
          <t xml:space="preserve">No Action
- Action Planned
- Action Completed
</t>
        </r>
      </text>
    </comment>
  </commentList>
</comments>
</file>

<file path=xl/comments3.xml><?xml version="1.0" encoding="utf-8"?>
<comments xmlns="http://schemas.openxmlformats.org/spreadsheetml/2006/main">
  <authors>
    <author>tc={504E0A81-8052-4EC8-9388-98A77F1BFB12}</author>
    <author>tc={505AF726-003B-4CC6-8D5E-CFB723238781}</author>
    <author>tc={65C6E139-BE64-4A16-8166-10AA1FF800E7}</author>
    <author>tc={B22D2D94-7277-4E2C-911E-B0AEB6A6C930}</author>
    <author>tc={61CF9CAE-D9B1-4E99-A745-E3152B7F89F5}</author>
    <author>tc={16D92F99-674C-426F-AB8D-F7EBCA2A7C48}</author>
    <author>tc={079E1726-15BC-493C-AB48-9D8D12B89B16}</author>
    <author>tc={9FD99D2F-C80F-4A63-9223-E65A1484328D}</author>
    <author>tc={9D5BB927-F56E-46A0-A17A-BC428D746BE9}</author>
  </authors>
  <commentList>
    <comment ref="I8" authorId="0">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9" authorId="1">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21" authorId="2">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22" authorId="3">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H23" authorId="4">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negative RR confirmed</t>
        </r>
      </text>
    </comment>
    <comment ref="I23" authorId="5">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31" authorId="6">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evaluted census of projects</t>
        </r>
      </text>
    </comment>
    <comment ref="J37" authorId="7">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sites included in evaluation, not total participating sites</t>
        </r>
      </text>
    </comment>
    <comment ref="J38" authorId="8">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sites included in evaluation, not total participating sites</t>
        </r>
      </text>
    </comment>
  </commentList>
</comments>
</file>

<file path=xl/sharedStrings.xml><?xml version="1.0" encoding="utf-8"?>
<sst xmlns="http://schemas.openxmlformats.org/spreadsheetml/2006/main" count="1441" uniqueCount="522">
  <si>
    <t>Measure</t>
  </si>
  <si>
    <t>Realization Rate</t>
  </si>
  <si>
    <t>Recommendation</t>
  </si>
  <si>
    <t>Insulation</t>
  </si>
  <si>
    <t>Windows</t>
  </si>
  <si>
    <t>Study</t>
  </si>
  <si>
    <t>FY2015</t>
  </si>
  <si>
    <t>DHP Replacing eFAF</t>
  </si>
  <si>
    <t>DHP Replacing Zonal</t>
  </si>
  <si>
    <t xml:space="preserve">Prescriptive Duct Sealing </t>
  </si>
  <si>
    <t>FY2015 and FY2016</t>
  </si>
  <si>
    <t>FY2009-2011</t>
  </si>
  <si>
    <t>FY2012-13</t>
  </si>
  <si>
    <t>If Completed, Outcome/Impact of Action Taken</t>
  </si>
  <si>
    <t>Sector</t>
  </si>
  <si>
    <t xml:space="preserve">Link to study </t>
  </si>
  <si>
    <t xml:space="preserve">Residential Insulation and Windows Measures </t>
  </si>
  <si>
    <t>Coverage Period</t>
  </si>
  <si>
    <t>Study Publish Date</t>
  </si>
  <si>
    <t>Residential</t>
  </si>
  <si>
    <t>Statistical</t>
  </si>
  <si>
    <t>Delivery Verification</t>
  </si>
  <si>
    <t>Engineering Analysis</t>
  </si>
  <si>
    <t>Sample Size</t>
  </si>
  <si>
    <t>ESRP</t>
  </si>
  <si>
    <t>UES Residential Lighting Projects</t>
  </si>
  <si>
    <t xml:space="preserve">Site-Specific Savings Portfolio </t>
  </si>
  <si>
    <t>Residential Ductless Heat Pump and Prescriptive Duct Sealing Measures</t>
  </si>
  <si>
    <t>Performance Tested Comfort System Air-Source Heat Pump Conversions and Performance Duct Sealing Data</t>
  </si>
  <si>
    <t>FY2014-2015</t>
  </si>
  <si>
    <t>data included in project documentation aligns very closely with measure data reported</t>
  </si>
  <si>
    <t>savings lower than expected - eval team found participants used less heating than expected</t>
  </si>
  <si>
    <t>savings variable and lower than expected</t>
  </si>
  <si>
    <t>evaluated savings were verified to be close to the reported savings</t>
  </si>
  <si>
    <t xml:space="preserve">reported savings are different than evaluation savings by more than the sampling error </t>
  </si>
  <si>
    <t>CY2017</t>
  </si>
  <si>
    <t>Showerheads</t>
  </si>
  <si>
    <t>Agricultural &amp; Industrial</t>
  </si>
  <si>
    <t>primary reason realization rate was not equal to one was discrepancies in the reported versus verified install location and efficiency tier</t>
  </si>
  <si>
    <t xml:space="preserve">incomplete or ineligible information on installation forms was primary reason DHP zonal projects received a realization rate less than 1.0 </t>
  </si>
  <si>
    <t>lower than expected savings - UES from December 2016 is closer to the evaluated savings than the reported UES</t>
  </si>
  <si>
    <t>savings close to December 2016 UES values - UES values in use by RTF are reflective of verified participant savings</t>
  </si>
  <si>
    <t>Lower Bound RR</t>
  </si>
  <si>
    <t>Upper Bound RR</t>
  </si>
  <si>
    <t>(All)</t>
  </si>
  <si>
    <t>Grand Total</t>
  </si>
  <si>
    <t>Row Labels</t>
  </si>
  <si>
    <t>Site-Specific Savings Portfolio</t>
  </si>
  <si>
    <t>Continue to report estimated increases in consumption in the MT&amp;R model workbooks and to document the application of any non-routine adjustments.</t>
  </si>
  <si>
    <t xml:space="preserve">Routinely test for the statistical significance of weather variables in the MT&amp;R energy consumption regression model. </t>
  </si>
  <si>
    <t>BPA should attempt to improve the accuracy of the reported SEM savings by recording negative SEM savings estimates or making program-level adjustments to savings.</t>
  </si>
  <si>
    <t xml:space="preserve">Assess the effect of BPA’s new policy of establishing a new baseline for participant facilities every two years on savings realization rates. </t>
  </si>
  <si>
    <t>Investigate the feasibility and reliability of evaluating savings for a sample of SEM participants instead of the population.</t>
  </si>
  <si>
    <t>Study how uncertainty of capital project savings estimates affects SEM savings estimates.</t>
  </si>
  <si>
    <t xml:space="preserve">Create unique Reference Numbers to distinguish between Simple Steps and Non-Simple Steps measures. The IS2.0 database uses the same measure reference numbers regardless of program. This makes it impossible to clearly identify which measures saved energy under which program. BPA should enhance their measure tracking processes to allow BPA to clearly identify the amount of saivngs reported to the Simple Steps program versus utility-run programs. </t>
  </si>
  <si>
    <t>Confidence level</t>
  </si>
  <si>
    <t>Measure Notes</t>
  </si>
  <si>
    <t>combination of all heating zones and customer types</t>
  </si>
  <si>
    <t xml:space="preserve">QA/QC Delivery Verification Pilot </t>
  </si>
  <si>
    <t>Pilot evaluation using QC results - 0 savings for any project missing DV information.</t>
  </si>
  <si>
    <t>Commercial, Industrial &amp; Ag</t>
  </si>
  <si>
    <t>Evaluated Savings Quantity (MWh)</t>
  </si>
  <si>
    <t>Method</t>
  </si>
  <si>
    <t>Total</t>
  </si>
  <si>
    <t>*Whisker and savings, don't worry about "overall" here</t>
  </si>
  <si>
    <t xml:space="preserve">includes 5 selected measures from the Energy Smart Reserve Power program </t>
  </si>
  <si>
    <t>by-request and direct install only</t>
  </si>
  <si>
    <t>by-request , direct install, and retail</t>
  </si>
  <si>
    <t>by-request only - mostly single family homes</t>
  </si>
  <si>
    <t>Reported Savings Quantity (MWh)</t>
  </si>
  <si>
    <t>Error Bars Data</t>
  </si>
  <si>
    <t xml:space="preserve">Ductless Heat Pumps </t>
  </si>
  <si>
    <t>Advanced Power Strips</t>
  </si>
  <si>
    <t>Heat Pump Water Heaters</t>
  </si>
  <si>
    <t>Green Motors</t>
  </si>
  <si>
    <t>Retail Lighting</t>
  </si>
  <si>
    <t>By-Request Lighting</t>
  </si>
  <si>
    <t>Transformer De-energization</t>
  </si>
  <si>
    <t>Opt. 1 Industrial Lighting</t>
  </si>
  <si>
    <t>Opt. 1 Com/Ag Lighting</t>
  </si>
  <si>
    <t>Opt. 1 Com/Ag Non-Lighting</t>
  </si>
  <si>
    <t>Opt. 1 Industrial Non-Lighting</t>
  </si>
  <si>
    <t>Opt. 2 Commercial Lighting</t>
  </si>
  <si>
    <t>Opt. 2 Industrial Lighting</t>
  </si>
  <si>
    <t>Opt. 2 Commercial Non-Lighting</t>
  </si>
  <si>
    <t>Opt. 2 Industrial Non-Lighting</t>
  </si>
  <si>
    <t>Duct Sealing Prescriptive</t>
  </si>
  <si>
    <t>Duct Sealing PTCS</t>
  </si>
  <si>
    <t>Commissioning Controls Sizing</t>
  </si>
  <si>
    <t>Heat Pumps</t>
  </si>
  <si>
    <t>Performance Duct Sealing</t>
  </si>
  <si>
    <t>ASHP Conversions</t>
  </si>
  <si>
    <t>BPA should coordinate w/ RTF about including these results when the RTF conducts its review of DHP UES</t>
  </si>
  <si>
    <t xml:space="preserve">Use most current UES to track and report measures </t>
  </si>
  <si>
    <t xml:space="preserve">Consider additional opportunities to save energy through DHP </t>
  </si>
  <si>
    <t>Future prescriptive duct sealing impact evaluation studies should include pre/post-site visits, contractor interviews, or submetering as part of the study</t>
  </si>
  <si>
    <t xml:space="preserve">available information indicates that additional research is warranted - need to better understand the variable savings from duct sealing </t>
  </si>
  <si>
    <t>Further research to identify if technological improvements are leading to more or less eFAF or zonal displacement</t>
  </si>
  <si>
    <t>more of the DHPs installed can be integrated with a central thermostat and controlled programatically instead of manually</t>
  </si>
  <si>
    <t>Requirements in the IM should be closely aligned with the RTF requirements</t>
  </si>
  <si>
    <t xml:space="preserve">misalignment of IM documentation requirements and RTF delivery verification requirements </t>
  </si>
  <si>
    <t xml:space="preserve">Update the per-unit savings value using a more robust estimation method such as as billing analysis </t>
  </si>
  <si>
    <t>claimed savings estimates used in the low-income weatherization program are higher than comparable estimates in other studies</t>
  </si>
  <si>
    <t>disconnect between QA inspection grades and delivery verification requirements</t>
  </si>
  <si>
    <t>Research to determine how and when the project is reported in IS2.0</t>
  </si>
  <si>
    <t>uncertainty as to whether the savings for a remediated project are reported to IS2.0 before or after remediation</t>
  </si>
  <si>
    <t xml:space="preserve">Use the revised QA/QC forms moving forward and/or collect installation documents for GSHP projects </t>
  </si>
  <si>
    <t>document review sample fulfillment was not achieved &amp; GSHP QA inspections used version of the QA/QC inspection forms that did not contain the DV requirements</t>
  </si>
  <si>
    <t>Align the oversight data collection with the RTF delivery requirements before undertaking the evaluation</t>
  </si>
  <si>
    <t>approach adopted for residential HVAC measures can work with other measure groups</t>
  </si>
  <si>
    <t>Use the most current RTF UES values for residential insulation and window retrofits</t>
  </si>
  <si>
    <t xml:space="preserve">2017 Delivery Verification </t>
  </si>
  <si>
    <t>N/A</t>
  </si>
  <si>
    <t xml:space="preserve">The current UES may be high </t>
  </si>
  <si>
    <t>savings are lower than expected</t>
  </si>
  <si>
    <t>Navigant recommends conducting any future evaluation work using participants from FY2018 or later</t>
  </si>
  <si>
    <t>many programmatic changes were made to the prescriptive duct sealing measure program during FY2016 and FY2017 that may have affect savings.</t>
  </si>
  <si>
    <t>Incorrect reference numbers were sometimes reported for by-request measures</t>
  </si>
  <si>
    <t>more accurate reporting</t>
  </si>
  <si>
    <t xml:space="preserve">customer utilities should use distribution logs similar to those used by the Simple Steps third-party implementer </t>
  </si>
  <si>
    <t xml:space="preserve">increased efficiency and accuracy of future evaluation efforts </t>
  </si>
  <si>
    <t>very few utilities were able to easily provide project documentation for sampled projects, and mapping processes were inconsistent and complex</t>
  </si>
  <si>
    <t>Alter Measure Distribution Log to include installed location for Direct Install lamps</t>
  </si>
  <si>
    <t xml:space="preserve">BPA's required projct documentation does not currently require installation location </t>
  </si>
  <si>
    <t>allow for evaluation via document review in the future</t>
  </si>
  <si>
    <t>BPA is planning to adjust the distribution log to include location for direct install lighting measures</t>
  </si>
  <si>
    <t xml:space="preserve">Share findings from this impact evaluation of window retrofits with the RTF </t>
  </si>
  <si>
    <t>RTF may incorporate findings into the next review of the measure</t>
  </si>
  <si>
    <t>findings from this evaluation support the current insulation UES values</t>
  </si>
  <si>
    <t>research other measures to improve cost effectiveness and expected savings</t>
  </si>
  <si>
    <t>consider prioritizing future evaluation resources on measures other than insulation</t>
  </si>
  <si>
    <t>consider additional research for window measures</t>
  </si>
  <si>
    <t>realiztaion rate and benefit/cost ratio were lower than expected for window measures and this measure is important to BPA's utility customers and stakeholders</t>
  </si>
  <si>
    <t>better understand how end-use customers are interacting with window measures</t>
  </si>
  <si>
    <t>incorporate stakeholder input on methodology before collecting data and before conducting analysis; use a phased approach to pilot the analysis and results, and identify the analysis results that will be used as evaluation findings before conducting the analysis, with parallel analysis to corroborate findings</t>
  </si>
  <si>
    <t>evaluation savings consistent with RTF UES values</t>
  </si>
  <si>
    <t xml:space="preserve">BPA agrees that evaluation savings are consistent with current RTF UES values and should continue to be used. While evaluation of insulation measures didn't provide recommendations directly to improve program design, BPA is nevertheless working to improve insulation measures </t>
  </si>
  <si>
    <t>BPA agrees and will make the findings available to the RTF</t>
  </si>
  <si>
    <t>BPA agrees it appears future evaluations no longer need to prioritize studies of insulation measures, but rather should focus on other measures where questions remain conerning their energy savings or cost effectiveness</t>
  </si>
  <si>
    <t>BPA agrees to further investigate the window UES measure in conjunction with the RTF committee and our regional partners</t>
  </si>
  <si>
    <t>BPA agrees with these recommendations and will plan to proceed with future evaluations of this type using the same framework. BPA will continue to improve its process for incorporating stakeholder input on the methodology because doing so will maximize opportunities for improving programs after results are available</t>
  </si>
  <si>
    <t>savings from window measures lower than expected and have relatively high error considering sample size of over 1,000 participants</t>
  </si>
  <si>
    <t xml:space="preserve">While BPA agrees with the value in aligning RTF and BPA requirements, the RTF functions independently of BPA's advice on best practices for DV and measure needs. Where the RTF chooses requirements that are not consistent with BPA's understanding of best practices and measure needs, BPA may need to continue to provide inconsistent offerings. </t>
  </si>
  <si>
    <t>BPA low income energy efficiency grant program offers stand alone "deemed" measures to be installed in addition to what measures are approved through the standard "Savings Investment Ratio" calculation. These measures yield high savings and could cause BPA's low income household savings to be much higher than with other programs</t>
  </si>
  <si>
    <t xml:space="preserve">current system allows grades to be automatically calculated for each inspection. This approach has been very successful and has given us much insight into our program and improved the performance of our technicians. It has also allowed us to simplify our Air Source Heat Pump specifications. </t>
  </si>
  <si>
    <t xml:space="preserve">BPA will reach out to inspectors and remind them of the requirement to use the most recent form. The information and the evaluator requested be included in the form is available through alternative means such as the registry and RefNos. </t>
  </si>
  <si>
    <t>BPA to look into whether it is feasible during revisions for the 2019 Rate Period Implementation Manual</t>
  </si>
  <si>
    <t>FY2012-2013</t>
  </si>
  <si>
    <t>Avoid embedded realization rates</t>
  </si>
  <si>
    <t xml:space="preserve">applying realization rates to its individual measure savings estimates prior to BPA appears to be over-estimating savings for the Option 2 domains and creates systematic differences in savings reported to BPA. </t>
  </si>
  <si>
    <t>Avoid or improve simplified saving calculators</t>
  </si>
  <si>
    <t xml:space="preserve">"deemed" values or simplified calculators for non-lighting measures do not provide reliable site-specific estimates of savings </t>
  </si>
  <si>
    <t>reliable savings estimates</t>
  </si>
  <si>
    <t>clarify M&amp;V protocols related to typical vs. first year savings</t>
  </si>
  <si>
    <t>BPA M&amp;V protocols are not clear about whether to estimate savings for typical conditions or for the first year after measure implementation</t>
  </si>
  <si>
    <t>clarify current practice baseline</t>
  </si>
  <si>
    <t xml:space="preserve">M&amp;V protocols are not aligned with RTF guidelines on the definition of current practice baselines </t>
  </si>
  <si>
    <t>Improve quality control for ESRP projects</t>
  </si>
  <si>
    <t>savings overestimated</t>
  </si>
  <si>
    <t>Improve lighting calculators</t>
  </si>
  <si>
    <t xml:space="preserve">BPA and Option 2 lighting calculators are not consistent and both lack key features </t>
  </si>
  <si>
    <t>consistent and reliable calculators</t>
  </si>
  <si>
    <t>Investigate opportunities for reducing reporting and QC burden</t>
  </si>
  <si>
    <t>there may be opportunities for reducing the reporting and QC burden for utilities and BPA staff</t>
  </si>
  <si>
    <t>reduced time and reporting burden for utilities and BPA</t>
  </si>
  <si>
    <t>Require working models</t>
  </si>
  <si>
    <t xml:space="preserve">evaluation staff could not obtain a working M&amp;V model for some projects </t>
  </si>
  <si>
    <t>make evaluation and QC easier</t>
  </si>
  <si>
    <t>Document M&amp;V protocol and project engineer</t>
  </si>
  <si>
    <t xml:space="preserve">project documentation does not indicate what protocol was used in estimating savings </t>
  </si>
  <si>
    <t>reduce burden on evaluators</t>
  </si>
  <si>
    <t>Obtain and store project invoices</t>
  </si>
  <si>
    <t>evaluation staff could not obtain invoices for half of Option 1 lighting measures</t>
  </si>
  <si>
    <t>reliable savings estimates and reduced burden on evaluators</t>
  </si>
  <si>
    <t>Improve document organization and version control</t>
  </si>
  <si>
    <t>increased organization and transparency</t>
  </si>
  <si>
    <t>difficult to determine how the data in documentation were used in estimating savings</t>
  </si>
  <si>
    <t>Document project specifications</t>
  </si>
  <si>
    <t>difficult to understand the exact specifications for measures</t>
  </si>
  <si>
    <t>streamlined evaluation and quality control</t>
  </si>
  <si>
    <t>Document milestone dates</t>
  </si>
  <si>
    <t>difficult to deduce important milestone dates in current documentation</t>
  </si>
  <si>
    <t>Improve TAP coding</t>
  </si>
  <si>
    <t xml:space="preserve">TAP coding is not being done for Option 1 lighting measures. </t>
  </si>
  <si>
    <t>easier to determine what M&amp;V protocols should apply</t>
  </si>
  <si>
    <t>Align evaluation procedures with M&amp;V protocols</t>
  </si>
  <si>
    <t>evaluation was hampered by the long duration from project completion to evaluation</t>
  </si>
  <si>
    <t>quicker evaluation</t>
  </si>
  <si>
    <t>Require and simplify end user contact</t>
  </si>
  <si>
    <t xml:space="preserve">trying to limit the number of end user sites visited in some cases made it difficult to confirm the current condition of measures and whether there are any relevant changes during the first year of measure operation - let to utility and end user contact protocols that were complex and difficult to enforce and track </t>
  </si>
  <si>
    <t>Commercial, Industrial, Ag</t>
  </si>
  <si>
    <t>Improve tracking of utility and end-user contact</t>
  </si>
  <si>
    <t>for some measures, utilities were not notified of when the site visit was scheduled</t>
  </si>
  <si>
    <t>Ensure all site-specific projects are included in evaluation</t>
  </si>
  <si>
    <t>complete and comprehensive evaluation</t>
  </si>
  <si>
    <t xml:space="preserve">agree with this recommendation/ action as already been taken </t>
  </si>
  <si>
    <t xml:space="preserve">utility that was using embedded realization rates was informed to avoid using those factors </t>
  </si>
  <si>
    <t>agree with this recommendation</t>
  </si>
  <si>
    <t>M&amp;V protocol team training Option 2 utilities on BPA M&amp;V protocols and working to clarify utility-specific M&amp;V protocols</t>
  </si>
  <si>
    <t xml:space="preserve">agree with this recommendation and will work on thi topic of savings definition in conjunction with the RTF and Council </t>
  </si>
  <si>
    <t>RTF Guidelines Subcommittee currently clarifying the definition of the current practice baseline</t>
  </si>
  <si>
    <t xml:space="preserve">generally agree with this recommendation and have found work ahs already been done to address gpas in quality control reviews. </t>
  </si>
  <si>
    <t xml:space="preserve">ESRP team reports that the existing implementation and M&amp;V procedures are thorough and have not created any issues </t>
  </si>
  <si>
    <t xml:space="preserve">several of the recommendations have already been implemented in the Option 1 calculator - did not see a pressing need for immediate action on Option 1 and Option 2 lighting projects </t>
  </si>
  <si>
    <t>BPA in process of updating lighting calculator to update to the latest RTF standard protocol for non-res lighting</t>
  </si>
  <si>
    <t xml:space="preserve">generally agree with this recommendation but do not think it is worth th effort at this time to undertake a specific project </t>
  </si>
  <si>
    <t xml:space="preserve">generally agree with this recommendation as a best practice and will invetigate including this as a best practice recommendation </t>
  </si>
  <si>
    <t>This is already being done by Option 1, and it is not being done by Option 2, but BPA is concerned about aditional requirements for Option 2 utilities</t>
  </si>
  <si>
    <t xml:space="preserve">planning team will work with the COTRs to see if it is possible for large end users to provide equivalent documentation in lieu of invoices </t>
  </si>
  <si>
    <t>generally agree with this recommendation as a best practice, but do not support additional requirements for utility reporting - will ensure this is on the list to be addressed with future tracking and reporting systems</t>
  </si>
  <si>
    <t>generally agree with this recommendation,planning team will investigate including this as a recommendation, but not a requirement</t>
  </si>
  <si>
    <t>need to be sensitive to privacy issues, so do not want to make additional requirements</t>
  </si>
  <si>
    <t>generally agree with this recommendation, and the ESI program is currently practicing this. Planning team will investigate including this as a recommendation of a best practice, but not a requirement, in our implementation language</t>
  </si>
  <si>
    <t xml:space="preserve">generally agree with this recommendation as a best practice. </t>
  </si>
  <si>
    <t xml:space="preserve">lighting calculator currently being updated and efforts are underway to align lighting measure reporting via refnos and TAP codes between lighting and Option 1 and 2 calculators </t>
  </si>
  <si>
    <t>agree that future evaluation should be aligned with BPA's M&amp;V protocols</t>
  </si>
  <si>
    <t>agree that evaluation could be more streamlined in the futre. Evaluation is currently working with engineering and C&amp;I teams to strategize on this topic</t>
  </si>
  <si>
    <t xml:space="preserve">Agree and the evaluation team will consider how to improve and simplify end user conact protocols </t>
  </si>
  <si>
    <t xml:space="preserve">Agree with this recommendation and future evaluations will focus on tracking the contact with utilities and end users </t>
  </si>
  <si>
    <t xml:space="preserve">Agree and the evaluation team will ensure to correctly allocate savings types within the portfolio </t>
  </si>
  <si>
    <t>Industrial</t>
  </si>
  <si>
    <t>Continue to use statistical analysis of facility consumption to estimate savings</t>
  </si>
  <si>
    <t>accurate savings estimates</t>
  </si>
  <si>
    <t>Continue to collect high-frequency consumption data</t>
  </si>
  <si>
    <t>better regression results</t>
  </si>
  <si>
    <t xml:space="preserve">evaluation team did not find a relationship between the number of SEM activities adopted an the magnitude of facility energy savings </t>
  </si>
  <si>
    <t>better understanding of program driven savings</t>
  </si>
  <si>
    <t>The EPT team should encourage energy teams to schedule regular meetings, at least quarterly</t>
  </si>
  <si>
    <t>7 of 24 energy teams reported that they did not meet regularly</t>
  </si>
  <si>
    <t xml:space="preserve">weather was an important determinant of energy consumption at industrial facilities and should be accounted for when estimating savings </t>
  </si>
  <si>
    <t>better regression modeling results</t>
  </si>
  <si>
    <t>evaluation team estimated lower SEM savings than BPA reported due to BPA's reporting practices</t>
  </si>
  <si>
    <t>more accurate reported savings</t>
  </si>
  <si>
    <t>investigate how the persistence of capital project savings can impact the accuracy of SEM savings estimates</t>
  </si>
  <si>
    <t xml:space="preserve">improve accuracy of SEM savings estimates in the long run </t>
  </si>
  <si>
    <t>this evaluation did not include some projects that have site-specific savings measures</t>
  </si>
  <si>
    <t>compare the number of implemented capital projects in participant and non-participant facilities</t>
  </si>
  <si>
    <t xml:space="preserve">understand whether participation in an SEM program increases the number of capital projects implemented </t>
  </si>
  <si>
    <t>collect data on participant facilities' costs of implementing SEM and saving from other fuels</t>
  </si>
  <si>
    <t>support an assessment of program cost-effectiveness</t>
  </si>
  <si>
    <t>continue to collect data from participant facilities after engagement ends</t>
  </si>
  <si>
    <t>help BPA to better assess the program's long-term value and cost-effectiveness</t>
  </si>
  <si>
    <t>The EPT team should encourage energy teams to develop methods to engage other employees in efforts to improve energy performance</t>
  </si>
  <si>
    <t>9 of 24 facilities reported not conducting employee engagement activities</t>
  </si>
  <si>
    <t>The EPT team should encourage energy managers or teams to regularly update senior management</t>
  </si>
  <si>
    <t>10 facilities reported that senior management did not require regulat update</t>
  </si>
  <si>
    <t>senior management continue to recognize value of these efforts</t>
  </si>
  <si>
    <t>evaluators should consider the potential benefits of aligning their approach with that used by the program.</t>
  </si>
  <si>
    <t>evaluators can choose from the statistical regression method to estimate savings</t>
  </si>
  <si>
    <t>evaluators should consider the relative merits of different savings estimation approaches in situations where there is a significant change to facility operations and energy consumption</t>
  </si>
  <si>
    <t xml:space="preserve">when there is a significant, non-programmatic change to facility operations and energy consumption, one estimation method may produce a more accurate savings estimate than antoher </t>
  </si>
  <si>
    <t>EPT team agrees and intends to continue this practice</t>
  </si>
  <si>
    <t>consider employing automated variable selection methods in building baseline regression models</t>
  </si>
  <si>
    <t>objective and cost0efficient way of identifying relevant independent variables</t>
  </si>
  <si>
    <t>Evaluate the energy savings of the newest EM projects, which were not considered in this evaluation</t>
  </si>
  <si>
    <t>understand why HPEM cohorts performed differently and to gain insights about the relationship between savings and implementation of specific SEM activities</t>
  </si>
  <si>
    <t>Estimate the persistence of SEM savings after a facility’s engagement with the program ends</t>
  </si>
  <si>
    <t>evaluate program cost-effectiveness</t>
  </si>
  <si>
    <t>Report Link</t>
  </si>
  <si>
    <t>FY2015-2016</t>
  </si>
  <si>
    <t>more accurate savings estimates</t>
  </si>
  <si>
    <t>Page Number</t>
  </si>
  <si>
    <t>QA inspection forms must require that the project pass all of the RTF DV requirements to pass the QA inspection</t>
  </si>
  <si>
    <t xml:space="preserve">QA inspection data function as delivery verification </t>
  </si>
  <si>
    <t>prevent project failure</t>
  </si>
  <si>
    <t>BPA will investigate the timing of savings reporting in IS2.0 relative to remediation reporting in the registry</t>
  </si>
  <si>
    <t>avoid projects not meeting all DV requirements and receving - savings - low realization rate</t>
  </si>
  <si>
    <t>suggest approach (approach  adopted for Residential HVAC measures) work efficiently</t>
  </si>
  <si>
    <t xml:space="preserve">BPA agrees with recommendation and has already taken steps to make these changes </t>
  </si>
  <si>
    <t>planning to create separate and unique retail lighting measures for Simple Steps and utility-run programs</t>
  </si>
  <si>
    <t xml:space="preserve">BPA understands the opportunities do exist to improve data collection, but we want to balance utility effort and evaluation ease moving forward. BPA will review the Simple Steps distribution log to determine if recommend a change to utility requirements </t>
  </si>
  <si>
    <t>conduct the energy management assessment annually to update participants’ progress in implementing SEM</t>
  </si>
  <si>
    <t>Use discretion about whether to calculate and report uncertainty of the MT&amp;R facility savings estimates</t>
  </si>
  <si>
    <t>estimation of savings uncertainty not essential for M&amp;V</t>
  </si>
  <si>
    <t>EPT team will continue its practice of documenting increases in energy consumption when calculated by the MT&amp;R model</t>
  </si>
  <si>
    <t>EPT team agrees and intends to report the uncertainty of the MT&amp;R facility savings estimates where approriate or useful</t>
  </si>
  <si>
    <t xml:space="preserve">program has since updated its practices and this has been integrated into newer processes. EPT will update the MT&amp;R guidelines with this practice </t>
  </si>
  <si>
    <t>updated practices to integrate tests for the statistical significance of weather variables</t>
  </si>
  <si>
    <t>will examine this recommendation and review our policies on reporting. Will also consider the impact of BPA's new rebaselining policies for reporting toward Council targets to ensure impacts of EM program are appropriately reflected</t>
  </si>
  <si>
    <t>BPA will consider the feasibility and value of conducting any of these additional research topics during program development avtivities</t>
  </si>
  <si>
    <t>in future evaluation designs, we will attempt to conduct a representative sample rather than a census of facilities</t>
  </si>
  <si>
    <t>other national or regional utility evaluations of SEM programs should address this issue</t>
  </si>
  <si>
    <t>cost of effort</t>
  </si>
  <si>
    <t>will consider implications of new baselining policies. There may be an opportunity to simulate the effect of the policy change using facilities with more than 2 years of participation, where the re-baselined model is similar to previously used.</t>
  </si>
  <si>
    <t>Agreed. We will consider this issue in future evaluation designs, while also incorporating practical consdierations for program data collection of all potential variables for model inclusion</t>
  </si>
  <si>
    <t>Agreed. See comment above for future evaluation design approach</t>
  </si>
  <si>
    <t>We agree with the value of aligning the evaluation approach with the program approach as much as possible. We will consider this evluation's final methodology, as well as newer research efforts for SEM evaluation</t>
  </si>
  <si>
    <t>show whether the newest participants achieved savings similar to that of the facilities included in this evaluation</t>
  </si>
  <si>
    <t>In future evaluations, we will include more recent participants. We will also undertake an internal effort to review MT&amp;R and reported savings for facilities not included in this evaluation to determine if results of this evaluation are relevant for the whole program population</t>
  </si>
  <si>
    <t>evaluation team is willing to undertake process evaluation to understand differences between cohorts and with specific SEM activities</t>
  </si>
  <si>
    <t>evaluation will work with the program team to determine the feasibility of collecting facility data after program participation</t>
  </si>
  <si>
    <t>BPA program team will consider the feasibility and value of conducting an assessment of SEM elements annually</t>
  </si>
  <si>
    <t>BPA will continue to empasize best practices for energy team engagement in its SEM curriculum and delivery. The program will assess the need to enhance its materials and methods to address opportunities for continuous improvement</t>
  </si>
  <si>
    <t>BPA will continue to emphasize Employee Engagement in its SEM curriculum and delivery. The program will assess the need to enhance its materials and methods to address opportunities for continuous improvement</t>
  </si>
  <si>
    <t>BPA will continue to emphasize the importance of communicating energy performance to senior management in its SEM curriculum and delivery. The program will assess the need to enhance its materials and methods to address opportunities for continuous improvement</t>
  </si>
  <si>
    <t>facilities with higher frequency energy model data had a smaller regression coefficient of variation</t>
  </si>
  <si>
    <t>Conduct a process evaluation</t>
  </si>
  <si>
    <t>Consider faster or real-team evaluation</t>
  </si>
  <si>
    <t>risk of utilities not receiving credit despite having necessary documentation</t>
  </si>
  <si>
    <t>Annual aMW (Evaluated)</t>
  </si>
  <si>
    <t>HPEM</t>
  </si>
  <si>
    <t>Track &amp; Tune</t>
  </si>
  <si>
    <t xml:space="preserve">Industrial SEM </t>
  </si>
  <si>
    <t>realization rate low because negative savings estimates were recorded as zeros</t>
  </si>
  <si>
    <t>realization rate greater than 1.0 because evaluated savings significantly higher than the MT&amp;R savings for one T&amp;T facility</t>
  </si>
  <si>
    <t>Industrial SEM</t>
  </si>
  <si>
    <t xml:space="preserve">Study </t>
  </si>
  <si>
    <t xml:space="preserve">Study Publish Date </t>
  </si>
  <si>
    <t>includes all HPEM 1 and HPEM 2 facilities</t>
  </si>
  <si>
    <t>sample of Track &amp; Tune facilities</t>
  </si>
  <si>
    <t>evaluated savings are substantially lower than reported, but does not have large impact on portfolio due to small size. The factors leading to this low realization rate include incomplete implementation of measure and downstream reuse of a large portion of the "saved" water</t>
  </si>
  <si>
    <t>evaluated savings had large error bands but demonstrate low savings on average. Evaluated savings per site were negative: -132 kWh/year</t>
  </si>
  <si>
    <t>combination of all heating zones and single family and manufactured homes</t>
  </si>
  <si>
    <t>Precision - Type (Sampling only or Regression)</t>
  </si>
  <si>
    <t>Population Size</t>
  </si>
  <si>
    <t>Relative Precision</t>
  </si>
  <si>
    <t>Sampling</t>
  </si>
  <si>
    <t>Not defined</t>
  </si>
  <si>
    <t>no precision due to lack of analysis of capital project</t>
  </si>
  <si>
    <t>Insulation (14-15)</t>
  </si>
  <si>
    <t>Windows (14-15)</t>
  </si>
  <si>
    <t>Retail Lighting (15)</t>
  </si>
  <si>
    <t>By-Request Lighting (15)</t>
  </si>
  <si>
    <t>Opt. 1 Com/Ag Lighting (12-13)</t>
  </si>
  <si>
    <t>Opt. 1 Industrial Lighting (12-13)</t>
  </si>
  <si>
    <t>Opt. 1 Com/Ag Non-Lighting (12-13)</t>
  </si>
  <si>
    <t>Opt. 2 Commercial Lighting (12-13)</t>
  </si>
  <si>
    <t>Opt. 2 Industrial Lighting (12-13)</t>
  </si>
  <si>
    <t>Opt. 2 Commercial Non-Lighting (12-13)</t>
  </si>
  <si>
    <t>Opt. 2 Industrial Non-Lighting (12-13)</t>
  </si>
  <si>
    <t>DHP Replacing eFAF (15-16)</t>
  </si>
  <si>
    <t>DHP Replacing Zonal (15-16)</t>
  </si>
  <si>
    <t>Prescriptive Duct Sealing (15-16)</t>
  </si>
  <si>
    <t>ASHP Conversions (09-11)</t>
  </si>
  <si>
    <t>ASHP Conversion w/ Duct Sealing (09-11)</t>
  </si>
  <si>
    <t>Performance Duct Sealing (09-11)</t>
  </si>
  <si>
    <t>Opt. 1 Industrial Non-Lighting (12-13_</t>
  </si>
  <si>
    <t>Opt. 2 ESRP (12-13)</t>
  </si>
  <si>
    <t>Ductless Heat Pumps (17)</t>
  </si>
  <si>
    <t>Advanced Power Strips (17)</t>
  </si>
  <si>
    <t>Showerheads (17)</t>
  </si>
  <si>
    <t>Heat Pump Water Heaters (17)</t>
  </si>
  <si>
    <t>Transformer De-energization (17)</t>
  </si>
  <si>
    <t>Green Motors (17)</t>
  </si>
  <si>
    <t>Duct Sealing Prescriptive (17)</t>
  </si>
  <si>
    <t>Duct Sealing PTCS (17)</t>
  </si>
  <si>
    <t>Commissioning Controls Sizing (17)</t>
  </si>
  <si>
    <t>Heat Pumps (17)</t>
  </si>
  <si>
    <t>HPEM (10-14)</t>
  </si>
  <si>
    <t>Track &amp; Tune (10-14)</t>
  </si>
  <si>
    <t>Regression</t>
  </si>
  <si>
    <t>Annual aMW (Reported)</t>
  </si>
  <si>
    <t xml:space="preserve">Evaluated Annual aMW </t>
  </si>
  <si>
    <t xml:space="preserve">Reported Annual aMW </t>
  </si>
  <si>
    <t>10% precision on RR and 16% precision on savings estimate</t>
  </si>
  <si>
    <t>7% precision on RR and 12% precision on savings estimate</t>
  </si>
  <si>
    <t>15% precision on RR and 46% precision on savings estimate</t>
  </si>
  <si>
    <t>no precision reported</t>
  </si>
  <si>
    <t>Evaluation Method Category</t>
  </si>
  <si>
    <t>Sector(s)</t>
  </si>
  <si>
    <t>Measure &amp; Study Period (for Graph)</t>
  </si>
  <si>
    <t>Realization Rate Notes</t>
  </si>
  <si>
    <t>Other Notes</t>
  </si>
  <si>
    <t>savings lower than expected, driven by some continued use of the eFAF or displacement of non-electric heat</t>
  </si>
  <si>
    <t>Measure &amp; Study Period</t>
  </si>
  <si>
    <t xml:space="preserve">ASHP Conversion w/ Duct Sealing </t>
  </si>
  <si>
    <t>No - 2016 UES</t>
  </si>
  <si>
    <t>evaluated savings are close to the current UES, but slightly lower; the upper error bound of the evaluation results is 6% lower than the average current UES</t>
  </si>
  <si>
    <t>Reported savings are savings per site based on UES Dec. 2016 rather than actual claimed savings</t>
  </si>
  <si>
    <t>18% precision on RR and 27% precision on savings estimate; reported savings are savings per site based on UES Dec. 2016 rather than actual claimed savings</t>
  </si>
  <si>
    <t xml:space="preserve">unable to verify 100% of the reported savings for this measure group due to 1) quantity adjustments, 2) reassignment of reference numbers and UES values for a few sampled projects, 3) one utility was unable to provide all necessary documentation, resulting in 0 savings assigned fora  few sampled measures </t>
  </si>
  <si>
    <t>No - v6 UES</t>
  </si>
  <si>
    <t>"Reported Savings" represents savings during the evaluation period?</t>
  </si>
  <si>
    <t>Realization Rate (Left Axis)</t>
  </si>
  <si>
    <t xml:space="preserve"> Realization Rate (Left Axis)</t>
  </si>
  <si>
    <t>Change</t>
  </si>
  <si>
    <t>Continue</t>
  </si>
  <si>
    <t>Consider</t>
  </si>
  <si>
    <t>Future Research</t>
  </si>
  <si>
    <t>Lower</t>
  </si>
  <si>
    <t>Precision</t>
  </si>
  <si>
    <t>Upper</t>
  </si>
  <si>
    <t>Point Estimate</t>
  </si>
  <si>
    <t>Additional effort for utilities, engineers and data system to track</t>
  </si>
  <si>
    <t>BPA/Program Response</t>
  </si>
  <si>
    <t>Recommendation Type</t>
  </si>
  <si>
    <t>Who: Group the recommendation is directed to</t>
  </si>
  <si>
    <t>Why: Research Finding that lead to Recommendation</t>
  </si>
  <si>
    <t>Outcome: Goal / Benefit of Recommendation</t>
  </si>
  <si>
    <t>Outcome: Drawback or Cost of Recommendation</t>
  </si>
  <si>
    <t>Status 
(No action, Action Planned, Action Completed)</t>
  </si>
  <si>
    <t>Link to Program Response Memo</t>
  </si>
  <si>
    <t>CY 2010-2014</t>
  </si>
  <si>
    <t>FY 2014-2015</t>
  </si>
  <si>
    <t>Realization Rate Policy</t>
  </si>
  <si>
    <t>BPA has committed to tracking its evaluation realization rates across studies through this centralized document.</t>
  </si>
  <si>
    <t>The following should be reported and included in the tracker:</t>
  </si>
  <si>
    <t>Measures Covered</t>
  </si>
  <si>
    <t xml:space="preserve">The body of the report should clearly state which measures are covered by the evaluation. An appendix should list the technical characteristics of the included measures/projects to ensure that future parties can relate the energy savings to the relevant line items in the BPA reporting system. </t>
  </si>
  <si>
    <t>Population Size (N and kWh)</t>
  </si>
  <si>
    <t>Sample size (N and kWh)</t>
  </si>
  <si>
    <t xml:space="preserve">The body of the report should clearly state the population of measures or projects identified as the evaluation population, in terms of numbers and reported energy savings. If any portion of the population was excluded prior to sampling, this should be described either in the report or in an appendix </t>
  </si>
  <si>
    <t>The body of the report should clearly state the sample size of the projects or measures included in the final evaluation analysis, in terms of both kWh and number of units. In the body or in an appendix, the approach to creating the sample should be clearly stated (i.e., sample design), and any qualitative judgments to exclude certain projects or measures are to be defined (possibly in an appendix).</t>
  </si>
  <si>
    <t>Time Period of Population/Sample</t>
  </si>
  <si>
    <t>The body of the report should clearly state the time period of projects/measures included in the evaluation. For example, the evaluation may include measures completed during a specific fiscal year, or multiple fiscal years.</t>
  </si>
  <si>
    <t>Realization Rates on Sampled Units</t>
  </si>
  <si>
    <t xml:space="preserve">The body of the report should clearly state the evaluation finding of realization rate(s) on the measures/projects sampled by the evaluation. </t>
  </si>
  <si>
    <t>Realization Rate on New Measure Savings</t>
  </si>
  <si>
    <t xml:space="preserve">If applicable, and desired by BPA, the evaluation can also report the realization rate on new or future energy savings and identify any assumptions or basis for the change (e.g., new unit energy savings (UES) values). </t>
  </si>
  <si>
    <t>Confidence Level</t>
  </si>
  <si>
    <t xml:space="preserve">The confidence level represents the probability that the true value of a parameter (e.g., a realization rate) falls within a given interval. </t>
  </si>
  <si>
    <t xml:space="preserve">Precision is a measure of statistical variability. With respect to the estimation of realization rates, precision is expressed as a +/- from the estimated realization rate and represents the (confidence) interval believed to contain the true realization rate. </t>
  </si>
  <si>
    <t>Basic study information</t>
  </si>
  <si>
    <t>Beyond the information listed above, the Realization Rate tracker tab includes information such as study name, coverage period, publish date, evaluation method category, sector(s) and measure(s) and link to studies.</t>
  </si>
  <si>
    <t xml:space="preserve">After an evaluation report is final, the evaluation contractor or BPA staff should input relevant information into the “Realization Rates Tracker” tab of the Tracker. </t>
  </si>
  <si>
    <t>Staff should complete this with a balance on comprehensiveness and simplicity (e.g., rather than inputting substantial text, cell comments may be added for additional context or background).</t>
  </si>
  <si>
    <t xml:space="preserve">Additionally, consistent with RTF Guidelines, the evaluation report should include the following: </t>
  </si>
  <si>
    <t>All data collection instruments</t>
  </si>
  <si>
    <t>All survey questionnaires and on-site data collection instruments and procedural manuals should be provided. For each instrument, a discussion of pre-test results should also be provided, if relevant.</t>
  </si>
  <si>
    <t>Baseline definitions</t>
  </si>
  <si>
    <t>For pre-conditions baselines, evidence should be provided indicating that the equipment or practice replaced by the measure had RUL. For current practice baseline, a description should be included of how the current practice features were identified.</t>
  </si>
  <si>
    <t>Key steps in the analysis</t>
  </si>
  <si>
    <t>The steps in the analysis should be sufficiently clear (including data cleaning methods and model functional forms) that another analyst could replicate the results.</t>
  </si>
  <si>
    <t>Results</t>
  </si>
  <si>
    <t>For each estimated parameter (e.g., total annual savings, mean operating hours, delivery verification rate, savings realization rate), estimated values, the population size and sample size (both number and energy savings, confidence level, standard error, confidence intervals) should be reported.</t>
  </si>
  <si>
    <t>Threats to Validity</t>
  </si>
  <si>
    <t xml:space="preserve">Include a discussion of the extent to which non-sampling error of any form may be an issue in the evaluation and the impact that it likely has on the calculation of realization rates. </t>
  </si>
  <si>
    <t>Recommendation Policies</t>
  </si>
  <si>
    <t xml:space="preserve">As noted above, when writing reports, evaluation should follow Regional Technical Forum (RTF) guidance on documenting approaches, results and threats to validity. </t>
  </si>
  <si>
    <t>Key Findings</t>
  </si>
  <si>
    <t xml:space="preserve">Evaluations should also clearly distinguish between findings, recommendations and considerations. Some of these elements are tracked in the “RecommendationTracker” tab of the Tracker. </t>
  </si>
  <si>
    <t xml:space="preserve">The evaluation should clearly describe the results of the study and summarize the key findings and conclusions of the study. Findings should include factual information supported by the study’s data/analysis, and conclusions interpret the findings. Evaluations should provide both, where relevant. </t>
  </si>
  <si>
    <t>Continue Doing</t>
  </si>
  <si>
    <t xml:space="preserve">The report should state what is going well with the program/measure and what BPA and the program should continue to do to support reliable savings estimates. </t>
  </si>
  <si>
    <t>Recommendations for change should include the following components:</t>
  </si>
  <si>
    <t>Recommendations for Change</t>
  </si>
  <si>
    <t>Considerations for future research</t>
  </si>
  <si>
    <t xml:space="preserve">If the evaluation finds that additional research could be useful for BPA in the future, these should be placed in a separate section from recommendations. </t>
  </si>
  <si>
    <t>Other considerations</t>
  </si>
  <si>
    <t>If the evaluation has other issues BPA should consider but that do not rise to the level of a recommendation, those should also be placed in a separate section from recommendations. This might include topics where the action required is not sufficiently specific, outcomes are unclear, or data were inconclusive.</t>
  </si>
  <si>
    <t xml:space="preserve">The goal of the associated Recommendations tracker is for BPA to have a centralized system for documenting recommendations for change and tracking whether those changes are implemented over time. </t>
  </si>
  <si>
    <t xml:space="preserve">Each recommendation/consideration should be documented on a unique row on the tracker and include relevant information as noted above (e.g., Who, Why, Outcome). </t>
  </si>
  <si>
    <t xml:space="preserve">Each row also contains space for a BPA/Program Response to the evaluation recommendation (see BPA Response Memo) below as well as Status and Outcome or impact of action taken. </t>
  </si>
  <si>
    <t xml:space="preserve">When an evaluation is complete, the evaluation contractor or BPA staff should complete the “Recommendations Tracker”. At least on an annual basis, BPA should review the recommendations tracker and update status as appropriate for all evaluations. </t>
  </si>
  <si>
    <t>CY 2018-2019</t>
  </si>
  <si>
    <t>VSHP w/ Duct Sealing</t>
  </si>
  <si>
    <t>VSHP</t>
  </si>
  <si>
    <t>Yes</t>
  </si>
  <si>
    <t>DHP Replacing eFAF - Heating Zone 3</t>
  </si>
  <si>
    <t>Duct Sealing - PTCS &amp; Prescriptive</t>
  </si>
  <si>
    <t>NA</t>
  </si>
  <si>
    <t>Measure not offered during study time period; reported late so included in evaluation</t>
  </si>
  <si>
    <t>DHP Replacing Zonal (18-19)</t>
  </si>
  <si>
    <t>DHP Replacing eFAF (18-19)</t>
  </si>
  <si>
    <t>ASHP Conversion w/ Duct Sealing (18-19)</t>
  </si>
  <si>
    <t>ASHP Conversions (18-19)</t>
  </si>
  <si>
    <t>VSHP w/ Duct Sealing (18-19)</t>
  </si>
  <si>
    <t>VSHP (18-19)</t>
  </si>
  <si>
    <t>Duct Sealing - PTCS &amp; Prescriptive (18-19)</t>
  </si>
  <si>
    <t>Custom Industrial Impact Evaluation for Option 1 Utilities</t>
  </si>
  <si>
    <t>FY2020-2021</t>
  </si>
  <si>
    <t>More ECwV projects may reduce overall engineering and administrative load for energy efficiency programs and liberate resources for more energy efficiency projects.</t>
  </si>
  <si>
    <t>More accurate reported savings</t>
  </si>
  <si>
    <t>Consistency with RTF</t>
  </si>
  <si>
    <t>This step will ensure that project reviewers continuously consider what is current practice and empower them to recommend changes when they find inconsistencies.</t>
  </si>
  <si>
    <t>In this evaluation, evaluators observed this inconsistency between BPA and RTF guidelines for evaporative cooling use in potato sheds. BPA’s guidelines indicate that evaporative cooling is technically compliant as a new construction energy efficiency measure since it is not prescribed by energy codes for potato storage sheds. Evaluators agreed that there is no applicable energy code. Following RTF guidelines, evaluator research concluded (via literature review and end user and vendor interviews) that evaporative cooling in potato sheds is equivalent to current practice. Although a complete and comprehensive standard practice study was not practical and was out of scope for this evaluation, evaluators determined via literature review that evaporative cooling is longstanding practice with best practice documentation going back more than 30 years. Additionally, vendors and end users interviewed during the evaluation all considered evaporative cooling the default choice for new potato sheds.</t>
  </si>
  <si>
    <t xml:space="preserve">Improve accuracy of savings estimates and reliability of individual models. This step would highlight areas of concern before or after the final project M&amp;V and allow the project reviewers to verify that the best possible model was chosen according to best practices and appropriate BPA protocols while still accounting for part load operation and actual equipment performance where possible. </t>
  </si>
  <si>
    <t>BPA Programs / Engineering</t>
  </si>
  <si>
    <t>The ESI/BPA engineering working group will consider updating the savings threshold at which the ECwV M&amp;V Protocol can be applied. The opportunity to streamline program work load in this way will need to be focused on projects with a well-substantiated baseline, baseline planning, and reasonable characterization of post-implementation behavior, in accordance with the BPA ECwV M&amp;V protocol.</t>
  </si>
  <si>
    <t xml:space="preserve">The ESI team has reviewed and updated its internal processes to reduce the probability and impact of aberrant reporting errors. This includes improving the report templates and enhancing internal processes to improve connection between the quality control (QC) team and the M&amp;V implementers. ESI has begun requesting ‘live’/active analysis files for more projects, particularly those with the magnitude to significantly impact the overall program realization rate. The time and workload required for this additional QC activity will be balanced with future benefits.  The ESI team will continue to reserve the right to review live analysis files at any time if there is a concern with the underlying analysis. </t>
  </si>
  <si>
    <t>Opt. 1 Custom Industrial (20-21)</t>
  </si>
  <si>
    <t>The ESI team will continue to comply with the recommendation for new construction baselines specified in the BPA End-Use Metering Absent Baseline Measurement: An M&amp;V Protocol Application Guide (Section 4.1).  Like the 2020 RTF Guidelines, the BPA’s M&amp;V Guidelines call for practitioners to develop an industry standard practice/current practice baseline for new construction projects that lack an applicable code. In both documents, the industry standard practice/current practice baseline development can be informed by a variety of sources, including practitioner experience with similar projects, alternative design documents, and end-user and vendor input. There is sufficient alignment between these policies to allow for consistent results.
The ESI team agrees that passive humidification/evaporative cooling has been widely adopted in potato shed design in the Northwest region in the past few years. This regional market transformation was largely influenced by programs such as ESI and a small number of regional distributors that market evaporative cooling products.  The ESI/BPA engineering working group will consider the evaluator’s recommendation for future potato shed new construction projects. The working group will also more thoroughly evaluate the economics of alternative systems for humidity control (e.g. active humidification via misting systems) to determine whether the market requires continued financial support to sustain this observed market activity.</t>
  </si>
  <si>
    <t>Current practice baselines will continue to be specified in project documentation for lost opportunity projects. ESI will encourage practitioners to more clearly describe the rationale used for the current practice baseline used for these projects. The ESI/BPA engineering working group has a regular meeting cadence and has added site-specific current practice baseline review to its scope.  Project engineers, including both Energy Smart Industrial Partners and Technical Service Providers, will be encouraged to engage with this group if they have questions about the appropriateness of a specific current practice baseline.</t>
  </si>
  <si>
    <t>The ESI program will continue to specify models that are well-suited to calculating savings for the project. With the exception of analyses that relied on production data that was not available at the time of the initial analysis, the ESI team did not see large discrepancies between the evaluation team’s analyses and submitted project analyses. 
In the case of compressed air, the evaluation found a small difference between the part-load performance modeled in their preferred model and the one used by the ESI team; Appendix B of the report has a 100% realization rate for compressed air projects.  Most projects informing this recommendation utilized Engineering Calculations with Verification (ECwV), designed to scale M&amp;V resources for small projects.   Though the evaluation found 30% higher savings, the program’s ECwV estimates were conservative, and no systematic issues were identified.  In order to continue to deliver cost-effective savings to the region, model choices may be standardized on tools that provide acceptable accuracy for projects with small savings.  The engineering working group will continue to review opportunities to improve accuracy in streamlined tools.  The ability to tailor part-load efficiency will be reviewed for addition to the NWRCAT.</t>
  </si>
  <si>
    <t>Action Planned</t>
  </si>
  <si>
    <t>Action Completed</t>
  </si>
  <si>
    <t>Project engineers should make an explicit statement of the current practice assumed for all lost opportunity projects. This process should reference Regional Technical Forum Guidelines for the Assessment of Energy Efficiency Measures[1] Section 4.3.3 and should be included in planning and completion reports. BPA could also consider working collaboratively with evaluators and others in the region to establish improved current practice baseline protocols for custom industrial projects. This new industrial current practice baseline working group could develop new protocols that may be used by implementers, utilities and evaluators in the region. When a question arises as to the current practice baseline for a project type that is not covered by existing guidance, the current practice baseline working group could make itself available to provide guidance and add that guidance to the working documentation. This group may also help adapt programs to changes in national efficiency guidelines such as the work done by the Northwest Energy Efficiency Alliance (NEEA) in coordination with the U.S. Department of Energy to develop the Extended Motor Products (XMP) program.</t>
  </si>
  <si>
    <t>Reduced errors particularly larger projects</t>
  </si>
  <si>
    <t xml:space="preserve">Consider applying ECwV to a wider size range of projects. While the evaluation sample size is not large enough to provide a suggested size level, there is some evidence that the savings threshold for ECwV could be increased. However, at least anecdotally, projects with more interactive effects between different pieces of equipment tend to have lower accuracy ECwV results, so it makes sense to add a brief assessment of the level of risk in savings estimation error due to the simpler protocol with fewer verification requirements. </t>
  </si>
  <si>
    <t>Revisit quality control procedures. BPA should revisit all quality control procedures leading from the initial savings claim for a project through to final reporting, to see where they can be improved to catch this type of error (and others) in the future. Independently-executable and reviewable model files should be submitted to BPA by project engineers to enable easier in-depth review of project claimed savings. This should apply to all projects, and not just to projects with large savings.</t>
  </si>
  <si>
    <t xml:space="preserve">Specify models that are well-suited to calculating savings for the project. Engineers specifying a model should make a brief qualitative list of the key features and inputs that are expected to impact savings and then ensure that the model specified accurately addresses each of those features. This step should ensure that project engineers and reviewers consider likely scenarios that may cause a major difference in observed savings for the proposed model. </t>
  </si>
  <si>
    <t xml:space="preserve">Nonrepresentative model specifications are sometimes used by project engineers leading to less accurate savings estimates. For some projects, the evaluators observed issues with the model used to estimate savings missing key elements that would improve the accuracy of savings estimates. </t>
  </si>
  <si>
    <t>BPA should consider updating its policy for determining baseline to adhere to RTF guidelines. Additionally, the evaluators recommend that BPA assume that evaporative cooling in potato sheds is current practice or identify a similar measure that represents current practice. RTF guidelines do allow for a melded baseline.</t>
  </si>
  <si>
    <t>https://www.bpa.gov/-/media/Aep/energy-efficiency/evaluation-projects-studies/170209-lighting-impact-evaluation-bpa-response-memo.pdf</t>
  </si>
  <si>
    <t>https://www.bpa.gov/-/media/Aep/energy-efficiency/evaluation-projects-studies/170213-industrial-sem-impact-evaluation-bpa-response-memo.pdf</t>
  </si>
  <si>
    <t>https://www.bpa.gov/-/media/Aep/energy-efficiency/evaluation-projects-studies/170222-bpa-industrial-sem-impact-evaluation-report.pdf</t>
  </si>
  <si>
    <t>https://www.bpa.gov/-/media/Aep/energy-efficiency/evaluation-projects-studies/170411bpa-responses-to-site-specific-evaluation-recs.pdf</t>
  </si>
  <si>
    <t>https://www.bpa.gov/-/media/Aep/energy-efficiency/evaluation-projects-studies/180219-phasebillinganalysis-bpa-response-memo.pdf</t>
  </si>
  <si>
    <t>https://www.bpa.gov/-/media/Aep/energy-efficiency/evaluation-projects-studies/1802-bpa-residential-impact-evaluation-final-report.pdf</t>
  </si>
  <si>
    <t>https://www.bpa.gov/-/media/Aep/energy-efficiency/evaluation-projects-studies/2018-19-bpa-res-hvac-impact-evaluation-final-report.pdf</t>
  </si>
  <si>
    <t>https://www.bpa.gov/-/media/Aep/energy-efficiency/evaluation-projects-studies/bpa-2017-delivery-verification-evaluation-report.pdf</t>
  </si>
  <si>
    <t>https://www.bpa.gov/-/media/Aep/energy-efficiency/evaluation-projects-studies/180501-bpa-2017-delivery-verification-programs-response-memo.pdf</t>
  </si>
  <si>
    <t>https://www.bpa.gov/-/media/Aep/energy-efficiency/evaluation-projects-studies/2020-2021-custom-industrial-impact-evaluation-for-option1-utilities-final-report.pdf</t>
  </si>
  <si>
    <t>https://www.bpa.gov/-/media/Aep/energy-efficiency/evaluation-projects-studies/170215-bpa-evaluation-ues-res-lighting-report.pdf</t>
  </si>
  <si>
    <t>https://www.bpa.gov/-/media/Aep/energy-efficiency/evaluation-projects-studies/impact-evaluation-site-specific-portfolio-final-report.pdf</t>
  </si>
  <si>
    <t>https://www.bpa.gov/-/media/Aep/energy-efficiency/evaluation-projects-studies/2020-2021-custom-industrial-impact-evaluation-option1-utilities-programs-response-memo.pdf</t>
  </si>
  <si>
    <t>Strategic Energy Management Persistence Evaluation</t>
  </si>
  <si>
    <t>FY2015-2017</t>
  </si>
  <si>
    <t>Comprehensively track SEM engagements in the SEM program database.</t>
  </si>
  <si>
    <t xml:space="preserve">Documenting all measures, active or otherwise, will also reduce likelihood of bias when determining EUL and savings persistence. Identifying a complete history of successful and unsuccessful measures may benefit engineering staff by identifying measures with the highest rates of success. </t>
  </si>
  <si>
    <t>BPA (or its implementation contractor) currently enters data into the program database during each SEM site’s engagement period. However, only total savings are recorded. For the persistence study, the Evergreen team needed to determine whether specific SEM measures were still operational. BPA and/or its implementation contractor document individual SEM measures in each site’s annual completion report PDF file for any engagement prior to 2017.</t>
  </si>
  <si>
    <t>https://www.bpa.gov/-/media/Aep/energy-efficiency/evaluation-projects-studies/bpa-sem-persistence-study-report.pdf</t>
  </si>
  <si>
    <t>Custom Industrial Impact Evaluation for Option 2 Utilities</t>
  </si>
  <si>
    <t>BPA should clarify requirements for the basis year of savings in the BPA Implementation Manual. The implementation manual should clearly state what first year savings means and what the basis year is for estimating savings. E.g., “The first year of savings should be calculated assuming that the post implementation period represents the new norm of operation. If there have been changes in standard operating procedures, then the baseline model should be adjusted to match conditions for the first year of operations.”</t>
  </si>
  <si>
    <t>Evaluators observed that BPA Implementation Manual and M&amp;V protocols were generally followed correctly, except that savings were not always estimated for the first year post implementation. For some evaluated projects, the difference in reported savings and evaluated savings is due to savings not being estimated for the first year of operation after the measure is installed.</t>
  </si>
  <si>
    <t>So that claimed savings are more accurate and aligned with BPA policy.</t>
  </si>
  <si>
    <t>Low to no cost</t>
  </si>
  <si>
    <t>BPA should consider applying ECwV to a wider size range of projects. While the evaluation sample size is not large enough to provide a suggested size level, there is some evidence that the savings threshold for ECwV could be increased from what the ECwV guide recommends (200,000 kWh). However, at least anecdotally, projects with more interactive effects between different pieces of equipment tend to have lower accuracy ECwV results, so it makes sense to add to the M&amp;V protocol selection guide a brief assessment of the level of risk in savings estimation error due to the simpler protocol with fewer verification requirements. More ECwV projects may reduce overall engineering and administrative load for energy efficiency programs and liberate resources for more energy efficiency projects.</t>
  </si>
  <si>
    <t xml:space="preserve">Small and medium-sized projects showed similar results in evaluated savings using the BPA Engineering Calculations with Verification (ECwV) protocol or high-rigor M&amp;V methods. While there was variability from site to site and the ECwV results are less precise, ECwV results were similar to evaluated results overall. This finding is consistent with the results from a similar analysis conducted for this program for Option 1 utilities. </t>
  </si>
  <si>
    <t>Reduce BPA evaluation and program costs.</t>
  </si>
  <si>
    <t>No cost (could be cost savings)</t>
  </si>
  <si>
    <t>BPA should offer training and access for Option 2 utilities to BPA’s solutions for common measures. Access to BPA’s library of approved solutions may reduce engineering overhead for utilities and help to develop more consistent regional practices. This can include solutions and models that are fully IPMVP compliant or simplified approaches for common measures (NWRCAT, VFD calculators, etc.).</t>
  </si>
  <si>
    <t>The evaluators observed some energy models that were not consistent with regional Custom Project practices. This included:
• A refrigeration model using strip curtain insulation values different from ASHRAE, RTF deemed, and BPA UES measures of a similar kind. 
• A compressed air model with deemed savings values based on size.</t>
  </si>
  <si>
    <t>Greater utility awareness and usage of BPA resources.</t>
  </si>
  <si>
    <t>Opt. 2 Custom Industrial (20-21)</t>
  </si>
  <si>
    <t>https://www.bpa.gov/-/media/Aep/energy-efficiency/evaluation-projects-studies/2020-2021-custom-industrial-impact-evaluation-for-option2-utilities-report.pdf</t>
  </si>
  <si>
    <r>
      <rPr>
        <b/>
        <sz val="11"/>
        <color rgb="FF595959"/>
        <rFont val="Arial"/>
        <family val="2"/>
      </rPr>
      <t>What</t>
    </r>
    <r>
      <rPr>
        <sz val="11"/>
        <color rgb="FF595959"/>
        <rFont val="Arial"/>
        <family val="2"/>
      </rPr>
      <t xml:space="preserve"> change is recommended by the evaluation</t>
    </r>
  </si>
  <si>
    <r>
      <rPr>
        <b/>
        <sz val="11"/>
        <color rgb="FF595959"/>
        <rFont val="Arial"/>
        <family val="2"/>
      </rPr>
      <t>Who</t>
    </r>
    <r>
      <rPr>
        <sz val="11"/>
        <color rgb="FF595959"/>
        <rFont val="Arial"/>
        <family val="2"/>
      </rPr>
      <t xml:space="preserve"> should take the action</t>
    </r>
  </si>
  <si>
    <r>
      <rPr>
        <b/>
        <sz val="11"/>
        <color rgb="FF595959"/>
        <rFont val="Arial"/>
        <family val="2"/>
      </rPr>
      <t xml:space="preserve">Why </t>
    </r>
    <r>
      <rPr>
        <sz val="11"/>
        <color rgb="FF595959"/>
        <rFont val="Arial"/>
        <family val="2"/>
      </rPr>
      <t>the finding led to this recommendation</t>
    </r>
  </si>
  <si>
    <r>
      <rPr>
        <b/>
        <sz val="11"/>
        <color rgb="FF595959"/>
        <rFont val="Arial"/>
        <family val="2"/>
      </rPr>
      <t xml:space="preserve">Outcomes. </t>
    </r>
    <r>
      <rPr>
        <sz val="11"/>
        <color rgb="FF595959"/>
        <rFont val="Arial"/>
        <family val="2"/>
      </rPr>
      <t>The report should also identify what outcomes are expected from implementing this recommendation, including expected improvements and any costs or drawbacks and the relative magnitiude of each</t>
    </r>
  </si>
  <si>
    <r>
      <t xml:space="preserve">Small and medium-sized projects showed little bias in evaluated results using the BPA </t>
    </r>
    <r>
      <rPr>
        <b/>
        <i/>
        <sz val="11"/>
        <color rgb="FF595959"/>
        <rFont val="Arial"/>
        <family val="2"/>
      </rPr>
      <t>Engineering Calculations with Verification</t>
    </r>
    <r>
      <rPr>
        <b/>
        <sz val="11"/>
        <color rgb="FF595959"/>
        <rFont val="Arial"/>
        <family val="2"/>
      </rPr>
      <t xml:space="preserve"> (ECwV) protocol or high-rigor M&amp;V methods. </t>
    </r>
    <r>
      <rPr>
        <sz val="11"/>
        <color rgb="FF595959"/>
        <rFont val="Arial"/>
        <family val="2"/>
      </rPr>
      <t>While there was variability from site to site and the ECwV results are less precise, they were similar to evaluated results overall.</t>
    </r>
  </si>
  <si>
    <r>
      <t xml:space="preserve">Evaluators identified a </t>
    </r>
    <r>
      <rPr>
        <b/>
        <sz val="11"/>
        <color rgb="FF595959"/>
        <rFont val="Arial"/>
        <family val="2"/>
      </rPr>
      <t>documentation error in the largest project.</t>
    </r>
    <r>
      <rPr>
        <sz val="11"/>
        <color rgb="FF595959"/>
        <rFont val="Arial"/>
        <family val="2"/>
      </rPr>
      <t xml:space="preserve"> The largest project implemented during the evaluated period had a documentation error, where the project savings reported were equal to the post-installation consumption rather than the savings. While the evaluators only observed documentation errors in this one project, indicating that this is not a widespread problem, the fact remains that this error did get through on the largest project. This was a certainty site, so the error was not extrapolated to the overall realization rates. Based on where the error was found, evaluators determined that it was probably a one-time issue and not widespread.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</si>
</sst>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77" formatCode="0%"/>
  </numFmts>
  <fonts count="36">
    <font>
      <sz val="11"/>
      <color theme="1"/>
      <name val="Caecilia LT Std Light"/>
      <family val="2"/>
      <scheme val="minor"/>
    </font>
    <font>
      <sz val="10"/>
      <name val="Arial"/>
      <family val="2"/>
    </font>
    <font>
      <sz val="8"/>
      <name val="Caecilia LT Std Light"/>
      <family val="2"/>
      <scheme val="minor"/>
    </font>
    <font>
      <u val="single"/>
      <sz val="11"/>
      <color theme="10"/>
      <name val="Caecilia LT Std Light"/>
      <family val="2"/>
      <scheme val="minor"/>
    </font>
    <font>
      <sz val="9"/>
      <name val="Tahoma"/>
      <family val="2"/>
    </font>
    <font>
      <b/>
      <sz val="9"/>
      <name val="Tahoma"/>
      <family val="2"/>
    </font>
    <font>
      <b/>
      <sz val="9"/>
      <color rgb="FF000000"/>
      <name val="Tahoma"/>
      <family val="2"/>
    </font>
    <font>
      <b/>
      <sz val="11"/>
      <color theme="1"/>
      <name val="Arial"/>
      <family val="2"/>
    </font>
    <font>
      <sz val="11"/>
      <color theme="1"/>
      <name val="Arial"/>
      <family val="2"/>
    </font>
    <font>
      <sz val="11"/>
      <name val="Arial"/>
      <family val="2"/>
    </font>
    <font>
      <sz val="12"/>
      <color theme="1"/>
      <name val="Arial"/>
      <family val="2"/>
    </font>
    <font>
      <b/>
      <sz val="12"/>
      <color theme="1"/>
      <name val="Arial"/>
      <family val="2"/>
    </font>
    <font>
      <b/>
      <sz val="12"/>
      <color theme="0"/>
      <name val="Arial"/>
      <family val="2"/>
    </font>
    <font>
      <sz val="12"/>
      <name val="Arial"/>
      <family val="2"/>
    </font>
    <font>
      <sz val="11"/>
      <color rgb="FFFF0000"/>
      <name val="Arial"/>
      <family val="2"/>
    </font>
    <font>
      <b/>
      <sz val="11"/>
      <color theme="0"/>
      <name val="Arial"/>
      <family val="2"/>
    </font>
    <font>
      <b/>
      <sz val="11"/>
      <color rgb="FF595959"/>
      <name val="Arial"/>
      <family val="2"/>
    </font>
    <font>
      <sz val="11"/>
      <color rgb="FF595959"/>
      <name val="Arial"/>
      <family val="2"/>
    </font>
    <font>
      <b/>
      <i/>
      <sz val="11"/>
      <color rgb="FF595959"/>
      <name val="Arial"/>
      <family val="2"/>
    </font>
    <font>
      <u val="single"/>
      <sz val="11"/>
      <color rgb="FF025DB8"/>
      <name val="Arial"/>
      <family val="2"/>
    </font>
    <font>
      <sz val="11"/>
      <color rgb="FF025DB8"/>
      <name val="Arial"/>
      <family val="2"/>
    </font>
    <font>
      <sz val="12"/>
      <color rgb="FF595959"/>
      <name val="Arial"/>
      <family val="2"/>
    </font>
    <font>
      <sz val="18"/>
      <color theme="7"/>
      <name val="Arial"/>
      <family val="2"/>
    </font>
    <font>
      <sz val="16"/>
      <color theme="7"/>
      <name val="Arial"/>
      <family val="2"/>
    </font>
    <font>
      <sz val="14"/>
      <color theme="7"/>
      <name val="Arial"/>
      <family val="2"/>
    </font>
    <font>
      <sz val="18"/>
      <color theme="1" tint="0.35"/>
      <name val="Arial"/>
      <family val="2"/>
    </font>
    <font>
      <sz val="16"/>
      <color theme="7"/>
      <name val="Caecilia LT Std Light"/>
      <family val="2"/>
    </font>
    <font>
      <sz val="18"/>
      <color theme="7"/>
      <name val="Caecilia LT Std Light"/>
      <family val="2"/>
    </font>
    <font>
      <sz val="14"/>
      <color theme="7"/>
      <name val="+mn-cs"/>
      <family val="2"/>
    </font>
    <font>
      <sz val="12"/>
      <color theme="7"/>
      <name val="+mn-cs"/>
      <family val="2"/>
    </font>
    <font>
      <sz val="18"/>
      <color theme="1" tint="0.35"/>
      <name val="Caecilia LT Std Light"/>
      <family val="2"/>
    </font>
    <font>
      <sz val="16"/>
      <color theme="7"/>
      <name val="+mn-cs"/>
      <family val="2"/>
    </font>
    <font>
      <sz val="13"/>
      <color theme="7"/>
      <name val="+mn-cs"/>
      <family val="2"/>
    </font>
    <font>
      <sz val="16"/>
      <color rgb="FF595959"/>
      <name val="Arial"/>
      <family val="2"/>
    </font>
    <font>
      <sz val="14"/>
      <color rgb="FF595959"/>
      <name val="Arial"/>
      <family val="2"/>
    </font>
    <font>
      <b/>
      <sz val="8"/>
      <name val="Caecilia LT Std Light"/>
      <family val="2"/>
    </font>
  </fonts>
  <fills count="4">
    <fill>
      <patternFill/>
    </fill>
    <fill>
      <patternFill patternType="gray125"/>
    </fill>
    <fill>
      <patternFill patternType="solid">
        <fgColor rgb="FF003C70"/>
        <bgColor indexed="64"/>
      </patternFill>
    </fill>
    <fill>
      <patternFill patternType="solid">
        <fgColor theme="9" tint="0.39998000860214233"/>
        <bgColor indexed="64"/>
      </patternFill>
    </fill>
  </fills>
  <borders count="3">
    <border>
      <left/>
      <right/>
      <top/>
      <bottom/>
      <diagonal/>
    </border>
    <border>
      <left style="thin"/>
      <right style="thin"/>
      <top style="thin"/>
      <botto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62">
    <xf numFmtId="0" fontId="0" fillId="0" borderId="0" xfId="0"/>
    <xf numFmtId="0" fontId="7" fillId="0" borderId="0" xfId="0" applyFont="1"/>
    <xf numFmtId="0" fontId="8" fillId="0" borderId="0" xfId="0" applyFont="1" applyAlignment="1">
      <alignment wrapText="1"/>
    </xf>
    <xf numFmtId="0" fontId="8" fillId="0" borderId="0" xfId="0" applyFont="1"/>
    <xf numFmtId="0" fontId="9" fillId="0" borderId="0" xfId="0" applyFont="1"/>
    <xf numFmtId="0" fontId="9" fillId="0" borderId="0" xfId="0" applyFont="1" applyAlignment="1">
      <alignment wrapText="1"/>
    </xf>
    <xf numFmtId="0" fontId="9" fillId="0" borderId="0" xfId="0" applyFont="1" applyAlignment="1">
      <alignment horizontal="fill" wrapText="1"/>
    </xf>
    <xf numFmtId="0" fontId="9" fillId="0" borderId="0" xfId="0" applyFont="1" applyAlignment="1">
      <alignment horizontal="fill"/>
    </xf>
    <xf numFmtId="0" fontId="10" fillId="0" borderId="0" xfId="0" applyFont="1"/>
    <xf numFmtId="14" fontId="10" fillId="0" borderId="0" xfId="0" applyNumberFormat="1" applyFont="1"/>
    <xf numFmtId="9" fontId="10" fillId="0" borderId="0" xfId="0" applyNumberFormat="1" applyFont="1"/>
    <xf numFmtId="0" fontId="10" fillId="0" borderId="0" xfId="0" applyFont="1" applyAlignment="1">
      <alignment horizontal="fill"/>
    </xf>
    <xf numFmtId="0" fontId="11" fillId="0" borderId="0" xfId="0" applyFont="1"/>
    <xf numFmtId="0" fontId="10" fillId="0" borderId="0" xfId="0" applyFont="1" applyAlignment="1">
      <alignment horizontal="left" wrapText="1"/>
    </xf>
    <xf numFmtId="0" fontId="13" fillId="0" borderId="0" xfId="0" applyFont="1"/>
    <xf numFmtId="14" fontId="13" fillId="0" borderId="0" xfId="0" applyNumberFormat="1" applyFont="1"/>
    <xf numFmtId="9" fontId="13" fillId="0" borderId="0" xfId="0" applyNumberFormat="1" applyFont="1"/>
    <xf numFmtId="9" fontId="13" fillId="0" borderId="0" xfId="15" applyFont="1" applyFill="1" applyAlignment="1">
      <alignment/>
    </xf>
    <xf numFmtId="0" fontId="14" fillId="0" borderId="0" xfId="0" applyFont="1"/>
    <xf numFmtId="2" fontId="8" fillId="0" borderId="0" xfId="0" applyNumberFormat="1" applyFont="1"/>
    <xf numFmtId="9" fontId="8" fillId="0" borderId="0" xfId="0" applyNumberFormat="1" applyFont="1"/>
    <xf numFmtId="0" fontId="8" fillId="0" borderId="0" xfId="0" applyFont="1"/>
    <xf numFmtId="0" fontId="8" fillId="0" borderId="0" xfId="0" applyFont="1" applyAlignment="1">
      <alignment horizontal="left"/>
    </xf>
    <xf numFmtId="0" fontId="16" fillId="0" borderId="0" xfId="0" applyFont="1"/>
    <xf numFmtId="0" fontId="17" fillId="0" borderId="0" xfId="0" applyFont="1" applyAlignment="1">
      <alignment wrapText="1"/>
    </xf>
    <xf numFmtId="0" fontId="17" fillId="0" borderId="0" xfId="0" applyFont="1"/>
    <xf numFmtId="0" fontId="15" fillId="2" borderId="1" xfId="20" applyFont="1" applyFill="1" applyBorder="1" applyAlignment="1">
      <alignment horizontal="center" vertical="center" wrapText="1"/>
      <protection/>
    </xf>
    <xf numFmtId="0" fontId="15" fillId="2" borderId="1" xfId="0" applyFont="1" applyFill="1" applyBorder="1" applyAlignment="1">
      <alignment horizontal="center" vertical="center" wrapText="1"/>
    </xf>
    <xf numFmtId="0" fontId="15" fillId="2" borderId="2" xfId="20" applyFont="1" applyFill="1" applyBorder="1" applyAlignment="1">
      <alignment horizontal="fill" vertical="center" wrapText="1"/>
      <protection/>
    </xf>
    <xf numFmtId="17" fontId="17" fillId="0" borderId="0" xfId="0" applyNumberFormat="1" applyFont="1" applyAlignment="1">
      <alignment wrapText="1"/>
    </xf>
    <xf numFmtId="0" fontId="17" fillId="0" borderId="0" xfId="0" applyFont="1" applyAlignment="1">
      <alignment horizontal="center" wrapText="1"/>
    </xf>
    <xf numFmtId="0" fontId="17" fillId="0" borderId="0" xfId="0" applyFont="1" applyAlignment="1">
      <alignment horizontal="fill" wrapText="1"/>
    </xf>
    <xf numFmtId="0" fontId="17" fillId="0" borderId="0" xfId="0" applyFont="1" applyAlignment="1">
      <alignment horizontal="fill"/>
    </xf>
    <xf numFmtId="0" fontId="17" fillId="0" borderId="0" xfId="20" applyFont="1">
      <alignment/>
      <protection/>
    </xf>
    <xf numFmtId="0" fontId="17" fillId="3" borderId="0" xfId="0" applyFont="1" applyFill="1" applyAlignment="1">
      <alignment horizontal="fill"/>
    </xf>
    <xf numFmtId="0" fontId="19" fillId="0" borderId="0" xfId="21" applyFont="1" applyFill="1" applyAlignment="1">
      <alignment horizontal="fill"/>
    </xf>
    <xf numFmtId="0" fontId="20" fillId="0" borderId="0" xfId="0" applyFont="1" applyAlignment="1">
      <alignment horizontal="fill"/>
    </xf>
    <xf numFmtId="0" fontId="19" fillId="0" borderId="0" xfId="21" applyFont="1"/>
    <xf numFmtId="0" fontId="19" fillId="0" borderId="0" xfId="21" applyFont="1" applyAlignment="1">
      <alignment/>
    </xf>
    <xf numFmtId="0" fontId="12" fillId="2" borderId="0" xfId="0" applyFont="1" applyFill="1" applyAlignment="1">
      <alignment horizontal="left" wrapText="1"/>
    </xf>
    <xf numFmtId="14" fontId="12" fillId="2" borderId="0" xfId="0" applyNumberFormat="1" applyFont="1" applyFill="1" applyAlignment="1">
      <alignment horizontal="left" wrapText="1"/>
    </xf>
    <xf numFmtId="9" fontId="12" fillId="2" borderId="0" xfId="0" applyNumberFormat="1" applyFont="1" applyFill="1" applyAlignment="1">
      <alignment horizontal="left" wrapText="1"/>
    </xf>
    <xf numFmtId="0" fontId="21" fillId="0" borderId="0" xfId="0" applyFont="1"/>
    <xf numFmtId="14" fontId="21" fillId="0" borderId="0" xfId="0" applyNumberFormat="1" applyFont="1"/>
    <xf numFmtId="9" fontId="21" fillId="0" borderId="0" xfId="0" applyNumberFormat="1" applyFont="1"/>
    <xf numFmtId="3" fontId="21" fillId="0" borderId="0" xfId="0" applyNumberFormat="1" applyFont="1"/>
    <xf numFmtId="4" fontId="21" fillId="0" borderId="0" xfId="0" applyNumberFormat="1" applyFont="1"/>
    <xf numFmtId="2" fontId="21" fillId="0" borderId="0" xfId="0" applyNumberFormat="1" applyFont="1"/>
    <xf numFmtId="164" fontId="21" fillId="0" borderId="0" xfId="0" applyNumberFormat="1" applyFont="1"/>
    <xf numFmtId="17" fontId="21" fillId="0" borderId="0" xfId="0" applyNumberFormat="1" applyFont="1"/>
    <xf numFmtId="9" fontId="21" fillId="0" borderId="0" xfId="15" applyFont="1" applyFill="1" applyAlignment="1">
      <alignment/>
    </xf>
    <xf numFmtId="17" fontId="21" fillId="0" borderId="0" xfId="0" applyNumberFormat="1" applyFont="1" applyAlignment="1">
      <alignment horizontal="fill"/>
    </xf>
    <xf numFmtId="9" fontId="21" fillId="0" borderId="0" xfId="0" applyNumberFormat="1" applyFont="1" applyAlignment="1">
      <alignment horizontal="right"/>
    </xf>
    <xf numFmtId="165" fontId="21" fillId="0" borderId="0" xfId="0" applyNumberFormat="1" applyFont="1"/>
    <xf numFmtId="0" fontId="21" fillId="0" borderId="0" xfId="0" applyFont="1" applyAlignment="1">
      <alignment horizontal="fill"/>
    </xf>
    <xf numFmtId="9" fontId="21" fillId="0" borderId="0" xfId="15" applyFont="1" applyFill="1" applyAlignment="1">
      <alignment horizontal="right"/>
    </xf>
    <xf numFmtId="10" fontId="21" fillId="0" borderId="0" xfId="0" applyNumberFormat="1" applyFont="1"/>
    <xf numFmtId="9" fontId="19" fillId="0" borderId="0" xfId="21" applyNumberFormat="1" applyFont="1"/>
    <xf numFmtId="0" fontId="19" fillId="0" borderId="0" xfId="21" applyFont="1" applyAlignment="1">
      <alignment horizontal="fill"/>
    </xf>
    <xf numFmtId="0" fontId="15" fillId="2" borderId="0" xfId="0" applyFont="1" applyFill="1"/>
    <xf numFmtId="2" fontId="17" fillId="0" borderId="0" xfId="0" applyNumberFormat="1" applyFont="1"/>
    <xf numFmtId="9" fontId="17" fillId="0" borderId="0" xfId="15" applyFont="1"/>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27">
    <dxf>
      <font>
        <i val="0"/>
        <name val="Arial"/>
      </font>
    </dxf>
    <dxf>
      <font>
        <i val="0"/>
        <name val="Arial"/>
      </font>
    </dxf>
    <dxf>
      <font>
        <i val="0"/>
        <name val="Arial"/>
      </font>
    </dxf>
    <dxf>
      <font>
        <i val="0"/>
        <name val="Arial"/>
      </font>
    </dxf>
    <dxf>
      <font>
        <i val="0"/>
        <name val="Arial"/>
      </font>
    </dxf>
    <dxf>
      <font>
        <i val="0"/>
        <name val="Arial"/>
      </font>
    </dxf>
    <dxf>
      <numFmt numFmtId="177" formatCode="0%"/>
    </dxf>
    <dxf>
      <font>
        <i val="0"/>
        <name val="Arial"/>
      </font>
    </dxf>
    <dxf>
      <font>
        <i val="0"/>
        <name val="Arial"/>
      </font>
    </dxf>
    <dxf>
      <font>
        <i val="0"/>
        <name val="Arial"/>
      </font>
    </dxf>
    <dxf>
      <font>
        <i val="0"/>
        <name val="Arial"/>
      </font>
    </dxf>
    <dxf>
      <font>
        <i val="0"/>
        <name val="Arial"/>
      </font>
    </dxf>
    <dxf>
      <font>
        <i val="0"/>
        <name val="Arial"/>
      </font>
    </dxf>
    <dxf>
      <numFmt numFmtId="177" formatCode="0%"/>
    </dxf>
    <dxf>
      <font>
        <i val="0"/>
        <name val="Arial"/>
      </font>
    </dxf>
    <dxf>
      <font>
        <i val="0"/>
        <name val="Arial"/>
      </font>
    </dxf>
    <dxf>
      <font>
        <i val="0"/>
        <name val="Arial"/>
      </font>
    </dxf>
    <dxf>
      <font>
        <i val="0"/>
        <name val="Arial"/>
      </font>
    </dxf>
    <dxf>
      <font>
        <i val="0"/>
        <name val="Arial"/>
      </font>
    </dxf>
    <dxf>
      <numFmt numFmtId="177" formatCode="0%"/>
    </dxf>
    <dxf>
      <font>
        <i val="0"/>
        <name val="Arial"/>
      </font>
    </dxf>
    <dxf>
      <font>
        <i val="0"/>
        <name val="Arial"/>
      </font>
    </dxf>
    <dxf>
      <font>
        <i val="0"/>
        <name val="Arial"/>
      </font>
    </dxf>
    <dxf>
      <font>
        <i val="0"/>
        <name val="Arial"/>
      </font>
    </dxf>
    <dxf>
      <font>
        <i val="0"/>
        <name val="Arial"/>
      </font>
    </dxf>
    <dxf>
      <font>
        <i val="0"/>
        <name val="Arial"/>
      </font>
    </dxf>
    <dxf>
      <numFmt numFmtId="177"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microsoft.com/office/2017/10/relationships/person" Target="persons/person.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Chart_OverallRR!$C$4</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Chart_OverallRR!$B$5:$B$8</c:f>
              <c:strCache/>
            </c:strRef>
          </c:cat>
          <c:val>
            <c:numRef>
              <c:f>Chart_OverallRR!$C$5:$C$8</c:f>
              <c:numCache/>
            </c:numRef>
          </c:val>
        </c:ser>
        <c:ser>
          <c:idx val="1"/>
          <c:order val="1"/>
          <c:tx>
            <c:strRef>
              <c:f>Chart_OverallRR!$D$4</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Chart_OverallRR!$B$5:$B$8</c:f>
              <c:strCache/>
            </c:strRef>
          </c:cat>
          <c:val>
            <c:numRef>
              <c:f>Chart_OverallRR!$D$5:$D$8</c:f>
              <c:numCache/>
            </c:numRef>
          </c:val>
        </c:ser>
        <c:gapWidth val="219"/>
        <c:axId val="9606788"/>
        <c:axId val="19352229"/>
      </c:barChart>
      <c:lineChart>
        <c:grouping val="standard"/>
        <c:varyColors val="0"/>
        <c:ser>
          <c:idx val="2"/>
          <c:order val="2"/>
          <c:tx>
            <c:strRef>
              <c:f>Chart_OverallRR!$E$4</c:f>
              <c:strCache>
                <c:ptCount val="1"/>
                <c:pt idx="0">
                  <c:v>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cat>
            <c:strRef>
              <c:f>Chart_OverallRR!$B$5:$B$8</c:f>
              <c:strCache/>
            </c:strRef>
          </c:cat>
          <c:val>
            <c:numRef>
              <c:f>Chart_OverallRR!$E$5:$E$8</c:f>
              <c:numCache/>
            </c:numRef>
          </c:val>
          <c:smooth val="0"/>
        </c:ser>
        <c:marker val="1"/>
        <c:axId val="39952334"/>
        <c:axId val="24026687"/>
      </c:lineChart>
      <c:catAx>
        <c:axId val="3995233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rgbClr val="595959"/>
                </a:solidFill>
                <a:latin typeface="Arial"/>
                <a:ea typeface="Arial"/>
                <a:cs typeface="Arial"/>
              </a:defRPr>
            </a:pPr>
          </a:p>
        </c:txPr>
        <c:crossAx val="24026687"/>
        <c:crosses val="autoZero"/>
        <c:auto val="1"/>
        <c:lblOffset val="100"/>
        <c:noMultiLvlLbl val="0"/>
      </c:catAx>
      <c:valAx>
        <c:axId val="24026687"/>
        <c:scaling>
          <c:orientation val="minMax"/>
        </c:scaling>
        <c:axPos val="l"/>
        <c:title>
          <c:tx>
            <c:rich>
              <a:bodyPr vert="horz" rot="-5400000" anchor="ctr"/>
              <a:lstStyle/>
              <a:p>
                <a:pPr algn="ctr">
                  <a:defRPr/>
                </a:pPr>
                <a:r>
                  <a:rPr lang="en-US" cap="none" sz="1800" b="0" i="0" u="none" baseline="0">
                    <a:solidFill>
                      <a:schemeClr val="accent4"/>
                    </a:solidFill>
                    <a:latin typeface="+mn-lt"/>
                    <a:ea typeface="Arial"/>
                    <a:cs typeface="Arial"/>
                  </a:rPr>
                  <a:t>Realization Rate</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400" b="0" i="0" u="none" baseline="0">
                <a:solidFill>
                  <a:srgbClr val="595959"/>
                </a:solidFill>
                <a:latin typeface="Arial"/>
                <a:ea typeface="Arial"/>
                <a:cs typeface="Arial"/>
              </a:defRPr>
            </a:pPr>
          </a:p>
        </c:txPr>
        <c:crossAx val="39952334"/>
        <c:crosses val="autoZero"/>
        <c:crossBetween val="between"/>
        <c:dispUnits/>
      </c:valAx>
      <c:catAx>
        <c:axId val="9606788"/>
        <c:scaling>
          <c:orientation val="minMax"/>
        </c:scaling>
        <c:axPos val="b"/>
        <c:delete val="1"/>
        <c:majorTickMark val="out"/>
        <c:minorTickMark val="none"/>
        <c:tickLblPos val="nextTo"/>
        <c:crossAx val="19352229"/>
        <c:crosses val="autoZero"/>
        <c:auto val="1"/>
        <c:lblOffset val="100"/>
        <c:noMultiLvlLbl val="0"/>
      </c:catAx>
      <c:valAx>
        <c:axId val="19352229"/>
        <c:scaling>
          <c:orientation val="minMax"/>
        </c:scaling>
        <c:axPos val="l"/>
        <c:title>
          <c:tx>
            <c:rich>
              <a:bodyPr vert="horz" rot="-5400000" anchor="ctr"/>
              <a:lstStyle/>
              <a:p>
                <a:pPr algn="ctr">
                  <a:defRPr/>
                </a:pPr>
                <a:r>
                  <a:rPr lang="en-US" cap="none" sz="1800" b="0" i="0" u="none" baseline="0">
                    <a:solidFill>
                      <a:schemeClr val="accent4"/>
                    </a:solidFill>
                    <a:latin typeface="Arial"/>
                    <a:ea typeface="Arial"/>
                    <a:cs typeface="Arial"/>
                  </a:rPr>
                  <a:t>Annual aMW</a:t>
                </a:r>
              </a:p>
            </c:rich>
          </c:tx>
          <c:layout/>
          <c:overlay val="0"/>
          <c:spPr>
            <a:noFill/>
            <a:ln>
              <a:noFill/>
            </a:ln>
          </c:spPr>
        </c:title>
        <c:delete val="0"/>
        <c:numFmt formatCode="0" sourceLinked="0"/>
        <c:majorTickMark val="out"/>
        <c:minorTickMark val="none"/>
        <c:tickLblPos val="nextTo"/>
        <c:spPr>
          <a:noFill/>
          <a:ln>
            <a:noFill/>
          </a:ln>
        </c:spPr>
        <c:txPr>
          <a:bodyPr/>
          <a:lstStyle/>
          <a:p>
            <a:pPr>
              <a:defRPr lang="en-US" cap="none" sz="1400" b="0" i="0" u="none" baseline="0">
                <a:solidFill>
                  <a:schemeClr val="accent4"/>
                </a:solidFill>
                <a:latin typeface="Arial"/>
                <a:ea typeface="Arial"/>
                <a:cs typeface="Arial"/>
              </a:defRPr>
            </a:pPr>
          </a:p>
        </c:txPr>
        <c:crossAx val="9606788"/>
        <c:crosses val="max"/>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rgbClr val="595959"/>
              </a:solidFill>
              <a:latin typeface="Arial"/>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[0]Chart_RRMethod!PivotTable1</c:name>
  </c:pivotSource>
  <c:chart>
    <c:autoTitleDeleted val="1"/>
    <c:plotArea>
      <c:layout>
        <c:manualLayout>
          <c:layoutTarget val="inner"/>
          <c:xMode val="edge"/>
          <c:yMode val="edge"/>
          <c:x val="0.15575"/>
          <c:y val="0.0425"/>
          <c:w val="0.77725"/>
          <c:h val="0.626"/>
        </c:manualLayout>
      </c:layout>
      <c:barChart>
        <c:barDir val="col"/>
        <c:grouping val="clustered"/>
        <c:varyColors val="0"/>
        <c:ser>
          <c:idx val="1"/>
          <c:order val="0"/>
          <c:tx>
            <c:strRef>
              <c:f>Chart_RRMethod!$E$5:$E$12</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Chart_RRMethod!$E$5:$E$12</c:f>
              <c:strCache>
                <c:ptCount val="8"/>
                <c:pt idx="0">
                  <c:v>Advanced Power Strips (17)</c:v>
                </c:pt>
                <c:pt idx="1">
                  <c:v>By-Request Lighting (15)</c:v>
                </c:pt>
                <c:pt idx="2">
                  <c:v>Ductless Heat Pumps (17)</c:v>
                </c:pt>
                <c:pt idx="3">
                  <c:v>Green Motors (17)</c:v>
                </c:pt>
                <c:pt idx="4">
                  <c:v>Heat Pump Water Heaters (17)</c:v>
                </c:pt>
                <c:pt idx="5">
                  <c:v>Retail Lighting (15)</c:v>
                </c:pt>
                <c:pt idx="6">
                  <c:v>Showerheads (17)</c:v>
                </c:pt>
                <c:pt idx="7">
                  <c:v>Transformer De-energization (17)</c:v>
                </c:pt>
              </c:strCache>
            </c:strRef>
          </c:cat>
          <c:val>
            <c:numRef>
              <c:f>Chart_RRMethod!$E$5:$E$12</c:f>
              <c:numCache>
                <c:formatCode>General</c:formatCode>
                <c:ptCount val="8"/>
                <c:pt idx="0">
                  <c:v>0.71</c:v>
                </c:pt>
                <c:pt idx="1">
                  <c:v>0.48999999999999994</c:v>
                </c:pt>
                <c:pt idx="2">
                  <c:v>1.01</c:v>
                </c:pt>
                <c:pt idx="3">
                  <c:v>0.060000000000000005</c:v>
                </c:pt>
                <c:pt idx="4">
                  <c:v>0.11</c:v>
                </c:pt>
                <c:pt idx="5">
                  <c:v>5.08</c:v>
                </c:pt>
                <c:pt idx="6">
                  <c:v>0.94</c:v>
                </c:pt>
                <c:pt idx="7">
                  <c:v>0.2</c:v>
                </c:pt>
              </c:numCache>
            </c:numRef>
          </c:val>
        </c:ser>
        <c:ser>
          <c:idx val="2"/>
          <c:order val="1"/>
          <c:tx>
            <c:strRef>
              <c:f>Chart_RRMethod!$E$5:$E$12</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Chart_RRMethod!$E$5:$E$12</c:f>
              <c:strCache>
                <c:ptCount val="8"/>
                <c:pt idx="0">
                  <c:v>Advanced Power Strips (17)</c:v>
                </c:pt>
                <c:pt idx="1">
                  <c:v>By-Request Lighting (15)</c:v>
                </c:pt>
                <c:pt idx="2">
                  <c:v>Ductless Heat Pumps (17)</c:v>
                </c:pt>
                <c:pt idx="3">
                  <c:v>Green Motors (17)</c:v>
                </c:pt>
                <c:pt idx="4">
                  <c:v>Heat Pump Water Heaters (17)</c:v>
                </c:pt>
                <c:pt idx="5">
                  <c:v>Retail Lighting (15)</c:v>
                </c:pt>
                <c:pt idx="6">
                  <c:v>Showerheads (17)</c:v>
                </c:pt>
                <c:pt idx="7">
                  <c:v>Transformer De-energization (17)</c:v>
                </c:pt>
              </c:strCache>
            </c:strRef>
          </c:cat>
          <c:val>
            <c:numRef>
              <c:f>Chart_RRMethod!$E$5:$E$12</c:f>
              <c:numCache>
                <c:formatCode>General</c:formatCode>
                <c:ptCount val="8"/>
                <c:pt idx="0">
                  <c:v>0.71</c:v>
                </c:pt>
                <c:pt idx="1">
                  <c:v>0.46</c:v>
                </c:pt>
                <c:pt idx="2">
                  <c:v>0.95</c:v>
                </c:pt>
                <c:pt idx="3">
                  <c:v>0.06</c:v>
                </c:pt>
                <c:pt idx="4">
                  <c:v>0.11</c:v>
                </c:pt>
                <c:pt idx="5">
                  <c:v>5.09</c:v>
                </c:pt>
                <c:pt idx="6">
                  <c:v>0.94</c:v>
                </c:pt>
                <c:pt idx="7">
                  <c:v>0.2</c:v>
                </c:pt>
              </c:numCache>
            </c:numRef>
          </c:val>
        </c:ser>
        <c:gapWidth val="219"/>
        <c:axId val="14913592"/>
        <c:axId val="4601"/>
      </c:barChart>
      <c:lineChart>
        <c:grouping val="standard"/>
        <c:varyColors val="0"/>
        <c:ser>
          <c:idx val="0"/>
          <c:order val="2"/>
          <c:tx>
            <c:strRef>
              <c:f>Chart_RRMethod!$E$5:$E$12</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Pt>
            <c:idx val="0"/>
            <c:spPr>
              <a:ln w="28575">
                <a:noFill/>
                <a:round/>
              </a:ln>
            </c:spPr>
            <c:marker>
              <c:size val="8"/>
              <c:spPr>
                <a:solidFill>
                  <a:srgbClr val="E87722"/>
                </a:solidFill>
                <a:ln w="9525">
                  <a:solidFill>
                    <a:srgbClr val="E87722"/>
                  </a:solidFill>
                </a:ln>
              </c:spPr>
            </c:marker>
          </c:dPt>
          <c:dPt>
            <c:idx val="1"/>
            <c:spPr>
              <a:ln w="28575">
                <a:noFill/>
                <a:round/>
              </a:ln>
            </c:spPr>
            <c:marker>
              <c:size val="8"/>
              <c:spPr>
                <a:solidFill>
                  <a:srgbClr val="E87722"/>
                </a:solidFill>
                <a:ln w="9525">
                  <a:solidFill>
                    <a:srgbClr val="E87722"/>
                  </a:solidFill>
                </a:ln>
              </c:spPr>
            </c:marker>
          </c:dPt>
          <c:dPt>
            <c:idx val="2"/>
            <c:spPr>
              <a:ln w="28575">
                <a:noFill/>
                <a:round/>
              </a:ln>
            </c:spPr>
            <c:marker>
              <c:size val="8"/>
              <c:spPr>
                <a:solidFill>
                  <a:srgbClr val="E87722"/>
                </a:solidFill>
                <a:ln w="9525">
                  <a:solidFill>
                    <a:srgbClr val="E87722"/>
                  </a:solidFill>
                </a:ln>
              </c:spPr>
            </c:marker>
          </c:dPt>
          <c:dPt>
            <c:idx val="3"/>
            <c:spPr>
              <a:ln w="28575">
                <a:noFill/>
                <a:round/>
              </a:ln>
            </c:spPr>
            <c:marker>
              <c:size val="8"/>
              <c:spPr>
                <a:solidFill>
                  <a:srgbClr val="E87722"/>
                </a:solidFill>
                <a:ln w="9525">
                  <a:solidFill>
                    <a:srgbClr val="E87722"/>
                  </a:solidFill>
                </a:ln>
              </c:spPr>
            </c:marker>
          </c:dPt>
          <c:dPt>
            <c:idx val="4"/>
            <c:spPr>
              <a:ln w="28575">
                <a:noFill/>
                <a:round/>
              </a:ln>
            </c:spPr>
            <c:marker>
              <c:size val="8"/>
              <c:spPr>
                <a:solidFill>
                  <a:srgbClr val="E87722"/>
                </a:solidFill>
                <a:ln w="9525">
                  <a:solidFill>
                    <a:srgbClr val="E87722"/>
                  </a:solidFill>
                </a:ln>
              </c:spPr>
            </c:marker>
          </c:dPt>
          <c:dPt>
            <c:idx val="5"/>
            <c:spPr>
              <a:ln w="28575">
                <a:noFill/>
                <a:round/>
              </a:ln>
            </c:spPr>
            <c:marker>
              <c:size val="8"/>
              <c:spPr>
                <a:solidFill>
                  <a:srgbClr val="E87722"/>
                </a:solidFill>
                <a:ln w="9525">
                  <a:solidFill>
                    <a:srgbClr val="E87722"/>
                  </a:solidFill>
                </a:ln>
              </c:spPr>
            </c:marker>
          </c:dPt>
          <c:dPt>
            <c:idx val="6"/>
            <c:spPr>
              <a:ln w="28575">
                <a:noFill/>
                <a:round/>
              </a:ln>
            </c:spPr>
            <c:marker>
              <c:size val="8"/>
              <c:spPr>
                <a:solidFill>
                  <a:srgbClr val="E87722"/>
                </a:solidFill>
                <a:ln w="9525">
                  <a:solidFill>
                    <a:srgbClr val="E87722"/>
                  </a:solidFill>
                </a:ln>
              </c:spPr>
            </c:marker>
          </c:dPt>
          <c:dPt>
            <c:idx val="7"/>
            <c:spPr>
              <a:ln w="28575">
                <a:noFill/>
                <a:round/>
              </a:ln>
            </c:spPr>
            <c:marker>
              <c:size val="8"/>
              <c:spPr>
                <a:solidFill>
                  <a:srgbClr val="E87722"/>
                </a:solidFill>
                <a:ln w="9525">
                  <a:solidFill>
                    <a:srgbClr val="E87722"/>
                  </a:solidFill>
                </a:ln>
              </c:spPr>
            </c:marker>
          </c:dPt>
          <c:dPt>
            <c:idx val="8"/>
            <c:spPr>
              <a:ln w="28575">
                <a:noFill/>
                <a:round/>
              </a:ln>
            </c:spPr>
            <c:marker>
              <c:size val="8"/>
              <c:spPr>
                <a:solidFill>
                  <a:srgbClr val="E87722"/>
                </a:solidFill>
                <a:ln w="9525">
                  <a:solidFill>
                    <a:srgbClr val="E87722"/>
                  </a:solidFill>
                </a:ln>
              </c:spPr>
            </c:marker>
          </c:dPt>
          <c:dLbls>
            <c:numFmt formatCode="General" sourceLinked="1"/>
            <c:showLegendKey val="0"/>
            <c:showVal val="0"/>
            <c:showBubbleSize val="0"/>
            <c:showCatName val="0"/>
            <c:showSerName val="0"/>
            <c:showLeaderLines val="1"/>
            <c:showPercent val="0"/>
          </c:dLbls>
          <c:errBars>
            <c:errDir val="y"/>
            <c:errBarType val="both"/>
            <c:errValType val="cust"/>
            <c:plus>
              <c:numRef>
                <c:f>Chart_RRMethod!$E$5:$E$12</c:f>
                <c:numCache/>
              </c:numRef>
            </c:plus>
            <c:minus>
              <c:numRef>
                <c:f>Chart_RRMethod!$E$5:$E$12</c:f>
                <c:numCache/>
              </c:numRef>
            </c:minus>
            <c:noEndCap val="0"/>
            <c:spPr>
              <a:ln w="12700" cap="flat" cmpd="sng">
                <a:solidFill>
                  <a:srgbClr val="E87722"/>
                </a:solidFill>
                <a:round/>
              </a:ln>
            </c:spPr>
          </c:errBars>
          <c:cat>
            <c:strRef>
              <c:f>Chart_RRMethod!$E$5:$E$12</c:f>
              <c:strCache>
                <c:ptCount val="8"/>
                <c:pt idx="0">
                  <c:v>Advanced Power Strips (17)</c:v>
                </c:pt>
                <c:pt idx="1">
                  <c:v>By-Request Lighting (15)</c:v>
                </c:pt>
                <c:pt idx="2">
                  <c:v>Ductless Heat Pumps (17)</c:v>
                </c:pt>
                <c:pt idx="3">
                  <c:v>Green Motors (17)</c:v>
                </c:pt>
                <c:pt idx="4">
                  <c:v>Heat Pump Water Heaters (17)</c:v>
                </c:pt>
                <c:pt idx="5">
                  <c:v>Retail Lighting (15)</c:v>
                </c:pt>
                <c:pt idx="6">
                  <c:v>Showerheads (17)</c:v>
                </c:pt>
                <c:pt idx="7">
                  <c:v>Transformer De-energization (17)</c:v>
                </c:pt>
              </c:strCache>
            </c:strRef>
          </c:cat>
          <c:val>
            <c:numRef>
              <c:f>Chart_RRMethod!$E$5:$E$12</c:f>
              <c:numCache>
                <c:formatCode>0%</c:formatCode>
                <c:ptCount val="8"/>
                <c:pt idx="0">
                  <c:v>1</c:v>
                </c:pt>
                <c:pt idx="1">
                  <c:v>0.929</c:v>
                </c:pt>
                <c:pt idx="2">
                  <c:v>0.95</c:v>
                </c:pt>
                <c:pt idx="3">
                  <c:v>1</c:v>
                </c:pt>
                <c:pt idx="4">
                  <c:v>1.09</c:v>
                </c:pt>
                <c:pt idx="5">
                  <c:v>1</c:v>
                </c:pt>
                <c:pt idx="6">
                  <c:v>1</c:v>
                </c:pt>
                <c:pt idx="7">
                  <c:v>1</c:v>
                </c:pt>
              </c:numCache>
            </c:numRef>
          </c:val>
          <c:smooth val="0"/>
        </c:ser>
        <c:marker val="1"/>
        <c:axId val="41410"/>
        <c:axId val="372691"/>
      </c:lineChart>
      <c:catAx>
        <c:axId val="1491359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2160000"/>
          <a:lstStyle/>
          <a:p>
            <a:pPr>
              <a:defRPr lang="en-US" cap="none" sz="1400" b="0" i="0" u="none" baseline="0">
                <a:solidFill>
                  <a:schemeClr val="accent4"/>
                </a:solidFill>
                <a:latin typeface="Arial"/>
                <a:ea typeface="Arial"/>
                <a:cs typeface="Arial"/>
              </a:defRPr>
            </a:pPr>
          </a:p>
        </c:txPr>
        <c:crossAx val="4601"/>
        <c:crosses val="autoZero"/>
        <c:auto val="1"/>
        <c:lblOffset val="100"/>
        <c:noMultiLvlLbl val="0"/>
      </c:catAx>
      <c:valAx>
        <c:axId val="4601"/>
        <c:scaling>
          <c:orientation val="minMax"/>
          <c:max val="6"/>
          <c:min val="0"/>
        </c:scaling>
        <c:axPos val="l"/>
        <c:title>
          <c:tx>
            <c:rich>
              <a:bodyPr vert="horz" rot="-5400000" anchor="ctr"/>
              <a:lstStyle/>
              <a:p>
                <a:pPr algn="ctr">
                  <a:defRPr/>
                </a:pPr>
                <a:r>
                  <a:rPr lang="en-US" cap="none" sz="1800" b="0" i="0" u="none" baseline="0">
                    <a:solidFill>
                      <a:schemeClr val="accent4"/>
                    </a:solidFill>
                    <a:latin typeface="Arial"/>
                    <a:ea typeface="Arial"/>
                    <a:cs typeface="Arial"/>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accent4"/>
                </a:solidFill>
                <a:latin typeface="Arial"/>
                <a:ea typeface="Arial"/>
                <a:cs typeface="Arial"/>
              </a:defRPr>
            </a:pPr>
          </a:p>
        </c:txPr>
        <c:crossAx val="14913592"/>
        <c:crosses val="max"/>
        <c:crossBetween val="between"/>
        <c:dispUnits/>
      </c:valAx>
      <c:catAx>
        <c:axId val="41410"/>
        <c:scaling>
          <c:orientation val="minMax"/>
        </c:scaling>
        <c:axPos val="b"/>
        <c:delete val="1"/>
        <c:majorTickMark val="out"/>
        <c:minorTickMark val="none"/>
        <c:tickLblPos val="nextTo"/>
        <c:crossAx val="372691"/>
        <c:crosses val="autoZero"/>
        <c:auto val="1"/>
        <c:lblOffset val="100"/>
        <c:noMultiLvlLbl val="0"/>
      </c:catAx>
      <c:valAx>
        <c:axId val="372691"/>
        <c:scaling>
          <c:orientation val="minMax"/>
          <c:max val="1.2"/>
          <c:min val="0"/>
        </c:scaling>
        <c:axPos val="l"/>
        <c:title>
          <c:tx>
            <c:rich>
              <a:bodyPr vert="horz" rot="-5400000" anchor="ctr"/>
              <a:lstStyle/>
              <a:p>
                <a:pPr algn="ctr">
                  <a:defRPr/>
                </a:pPr>
                <a:r>
                  <a:rPr lang="en-US" cap="none" sz="1800" b="0" i="0" u="none" baseline="0">
                    <a:solidFill>
                      <a:schemeClr val="accent4"/>
                    </a:solidFill>
                    <a:latin typeface="Arial"/>
                    <a:ea typeface="Arial"/>
                    <a:cs typeface="Arial"/>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Arial"/>
                <a:ea typeface="Arial"/>
                <a:cs typeface="Arial"/>
              </a:defRPr>
            </a:pPr>
          </a:p>
        </c:txPr>
        <c:crossAx val="41410"/>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dLbl>
          <c:idx val="0"/>
          <c:showLegendKey val="0"/>
          <c:showVal val="0"/>
          <c:showCatName val="0"/>
          <c:showSerName val="0"/>
          <c:showPercent val="0"/>
          <c:showBubbleSize val="0"/>
          <c:extLst>
            <c:ext xmlns:c15="http://schemas.microsoft.com/office/drawing/2012/chart" uri="{CE6537A1-D6FC-4f65-9D91-7224C49458BB}"/>
          </c:extLst>
        </c:dLbl>
      </c:pivotFmt>
      <c:pivotFmt>
        <c:idx val="30"/>
        <c:dLbl>
          <c:idx val="0"/>
          <c:showLegendKey val="0"/>
          <c:showVal val="0"/>
          <c:showCatName val="0"/>
          <c:showSerName val="0"/>
          <c:showPercent val="0"/>
          <c:showBubbleSize val="0"/>
          <c:extLst>
            <c:ext xmlns:c15="http://schemas.microsoft.com/office/drawing/2012/chart" uri="{CE6537A1-D6FC-4f65-9D91-7224C49458BB}"/>
          </c:extLst>
        </c:dLbl>
      </c:pivotFmt>
      <c:pivotFmt>
        <c:idx val="31"/>
        <c:dLbl>
          <c:idx val="0"/>
          <c:showLegendKey val="0"/>
          <c:showVal val="0"/>
          <c:showCatName val="0"/>
          <c:showSerName val="0"/>
          <c:showPercent val="0"/>
          <c:showBubbleSize val="0"/>
          <c:extLst>
            <c:ext xmlns:c15="http://schemas.microsoft.com/office/drawing/2012/chart" uri="{CE6537A1-D6FC-4f65-9D91-7224C49458BB}"/>
          </c:extLst>
        </c:dLbl>
      </c:pivotFmt>
      <c:pivotFmt>
        <c:idx val="32"/>
        <c:dLbl>
          <c:idx val="0"/>
          <c:showLegendKey val="0"/>
          <c:showVal val="0"/>
          <c:showCatName val="0"/>
          <c:showSerName val="0"/>
          <c:showPercent val="0"/>
          <c:showBubbleSize val="0"/>
          <c:extLst>
            <c:ext xmlns:c15="http://schemas.microsoft.com/office/drawing/2012/chart" uri="{CE6537A1-D6FC-4f65-9D91-7224C49458BB}"/>
          </c:extLst>
        </c:dLbl>
      </c:pivotFmt>
      <c:pivotFmt>
        <c:idx val="33"/>
        <c:dLbl>
          <c:idx val="0"/>
          <c:showLegendKey val="0"/>
          <c:showVal val="0"/>
          <c:showCatName val="0"/>
          <c:showSerName val="0"/>
          <c:showPercent val="0"/>
          <c:showBubbleSize val="0"/>
          <c:extLst>
            <c:ext xmlns:c15="http://schemas.microsoft.com/office/drawing/2012/chart" uri="{CE6537A1-D6FC-4f65-9D91-7224C49458BB}"/>
          </c:extLst>
        </c:dLbl>
      </c:pivotFmt>
      <c:pivotFmt>
        <c:idx val="34"/>
        <c:dLbl>
          <c:idx val="0"/>
          <c:showLegendKey val="0"/>
          <c:showVal val="0"/>
          <c:showCatName val="0"/>
          <c:showSerName val="0"/>
          <c:showPercent val="0"/>
          <c:showBubbleSize val="0"/>
          <c:extLst>
            <c:ext xmlns:c15="http://schemas.microsoft.com/office/drawing/2012/chart" uri="{CE6537A1-D6FC-4f65-9D91-7224C49458BB}"/>
          </c:extLst>
        </c:dLbl>
      </c:pivotFmt>
      <c:pivotFmt>
        <c:idx val="35"/>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ln xmlns:a="http://schemas.openxmlformats.org/drawingml/2006/main" w="28575" cap="rnd">
            <a:noFill/>
            <a:round/>
          </a:ln>
          <a:effectLst xmlns:a="http://schemas.openxmlformats.org/drawingml/2006/main"/>
        </c:spPr>
        <c:marker>
          <c:symbol val="square"/>
          <c:size val="8"/>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38"/>
        <c:dLbl>
          <c:idx val="0"/>
          <c:showLegendKey val="0"/>
          <c:showVal val="0"/>
          <c:showCatName val="0"/>
          <c:showSerName val="0"/>
          <c:showPercent val="0"/>
          <c:showBubbleSize val="0"/>
          <c:extLst>
            <c:ext xmlns:c15="http://schemas.microsoft.com/office/drawing/2012/chart" uri="{CE6537A1-D6FC-4f65-9D91-7224C49458BB}"/>
          </c:extLst>
        </c:dLbl>
      </c:pivotFmt>
      <c:pivotFmt>
        <c:idx val="39"/>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44"/>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[0]Chart_RRMethod!PivotTable6</c:name>
  </c:pivotSource>
  <c:chart>
    <c:autoTitleDeleted val="1"/>
    <c:plotArea>
      <c:layout/>
      <c:barChart>
        <c:barDir val="col"/>
        <c:grouping val="clustered"/>
        <c:varyColors val="0"/>
        <c:ser>
          <c:idx val="1"/>
          <c:order val="0"/>
          <c:tx>
            <c:strRef>
              <c:f>Chart_RRMethod!$E$50:$E$61</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Chart_RRMethod!$E$50:$E$61</c:f>
              <c:strCache>
                <c:ptCount val="11"/>
                <c:pt idx="0">
                  <c:v>Opt. 1 Com/Ag Lighting (12-13)</c:v>
                </c:pt>
                <c:pt idx="1">
                  <c:v>Opt. 1 Com/Ag Non-Lighting (12-13)</c:v>
                </c:pt>
                <c:pt idx="2">
                  <c:v>Opt. 1 Custom Industrial (20-21)</c:v>
                </c:pt>
                <c:pt idx="3">
                  <c:v>Opt. 1 Industrial Lighting (12-13)</c:v>
                </c:pt>
                <c:pt idx="4">
                  <c:v>Opt. 1 Industrial Non-Lighting (12-13_</c:v>
                </c:pt>
                <c:pt idx="5">
                  <c:v>Opt. 2 Commercial Lighting (12-13)</c:v>
                </c:pt>
                <c:pt idx="6">
                  <c:v>Opt. 2 Commercial Non-Lighting (12-13)</c:v>
                </c:pt>
                <c:pt idx="7">
                  <c:v>Opt. 2 Custom Industrial (20-21)</c:v>
                </c:pt>
                <c:pt idx="8">
                  <c:v>Opt. 2 ESRP (12-13)</c:v>
                </c:pt>
                <c:pt idx="9">
                  <c:v>Opt. 2 Industrial Lighting (12-13)</c:v>
                </c:pt>
                <c:pt idx="10">
                  <c:v>Opt. 2 Industrial Non-Lighting (12-13)</c:v>
                </c:pt>
              </c:strCache>
            </c:strRef>
          </c:cat>
          <c:val>
            <c:numRef>
              <c:f>Chart_RRMethod!$E$50:$E$61</c:f>
              <c:numCache>
                <c:formatCode>General</c:formatCode>
                <c:ptCount val="11"/>
                <c:pt idx="0">
                  <c:v>10.970662100456622</c:v>
                </c:pt>
                <c:pt idx="1">
                  <c:v>2.978767123287671</c:v>
                </c:pt>
                <c:pt idx="2">
                  <c:v>4.445662100456621</c:v>
                </c:pt>
                <c:pt idx="3">
                  <c:v>4.047374429223744</c:v>
                </c:pt>
                <c:pt idx="4">
                  <c:v>13.907534246575343</c:v>
                </c:pt>
                <c:pt idx="5">
                  <c:v>10.764840182648403</c:v>
                </c:pt>
                <c:pt idx="6">
                  <c:v>4.212785388127854</c:v>
                </c:pt>
                <c:pt idx="7">
                  <c:v>1.0132420091324201</c:v>
                </c:pt>
                <c:pt idx="8">
                  <c:v>3.0174657534246574</c:v>
                </c:pt>
                <c:pt idx="9">
                  <c:v>1.1694063926940639</c:v>
                </c:pt>
                <c:pt idx="10">
                  <c:v>2.756050228310502</c:v>
                </c:pt>
              </c:numCache>
            </c:numRef>
          </c:val>
        </c:ser>
        <c:ser>
          <c:idx val="2"/>
          <c:order val="1"/>
          <c:tx>
            <c:strRef>
              <c:f>Chart_RRMethod!$E$50:$E$61</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Chart_RRMethod!$E$50:$E$61</c:f>
              <c:strCache>
                <c:ptCount val="11"/>
                <c:pt idx="0">
                  <c:v>Opt. 1 Com/Ag Lighting (12-13)</c:v>
                </c:pt>
                <c:pt idx="1">
                  <c:v>Opt. 1 Com/Ag Non-Lighting (12-13)</c:v>
                </c:pt>
                <c:pt idx="2">
                  <c:v>Opt. 1 Custom Industrial (20-21)</c:v>
                </c:pt>
                <c:pt idx="3">
                  <c:v>Opt. 1 Industrial Lighting (12-13)</c:v>
                </c:pt>
                <c:pt idx="4">
                  <c:v>Opt. 1 Industrial Non-Lighting (12-13_</c:v>
                </c:pt>
                <c:pt idx="5">
                  <c:v>Opt. 2 Commercial Lighting (12-13)</c:v>
                </c:pt>
                <c:pt idx="6">
                  <c:v>Opt. 2 Commercial Non-Lighting (12-13)</c:v>
                </c:pt>
                <c:pt idx="7">
                  <c:v>Opt. 2 Custom Industrial (20-21)</c:v>
                </c:pt>
                <c:pt idx="8">
                  <c:v>Opt. 2 ESRP (12-13)</c:v>
                </c:pt>
                <c:pt idx="9">
                  <c:v>Opt. 2 Industrial Lighting (12-13)</c:v>
                </c:pt>
                <c:pt idx="10">
                  <c:v>Opt. 2 Industrial Non-Lighting (12-13)</c:v>
                </c:pt>
              </c:strCache>
            </c:strRef>
          </c:cat>
          <c:val>
            <c:numRef>
              <c:f>Chart_RRMethod!$E$50:$E$61</c:f>
              <c:numCache>
                <c:formatCode>General</c:formatCode>
                <c:ptCount val="11"/>
                <c:pt idx="0">
                  <c:v>10.213584474885845</c:v>
                </c:pt>
                <c:pt idx="1">
                  <c:v>3.4116438356164385</c:v>
                </c:pt>
                <c:pt idx="2">
                  <c:v>3.7933789954337898</c:v>
                </c:pt>
                <c:pt idx="3">
                  <c:v>3.7804794520547946</c:v>
                </c:pt>
                <c:pt idx="4">
                  <c:v>13.736529680365297</c:v>
                </c:pt>
                <c:pt idx="5">
                  <c:v>11.690296803652968</c:v>
                </c:pt>
                <c:pt idx="6">
                  <c:v>4.654794520547945</c:v>
                </c:pt>
                <c:pt idx="7">
                  <c:v>1.0334474885844749</c:v>
                </c:pt>
                <c:pt idx="8">
                  <c:v>1.4929223744292237</c:v>
                </c:pt>
                <c:pt idx="9">
                  <c:v>1.1921232876712329</c:v>
                </c:pt>
                <c:pt idx="10">
                  <c:v>2.7949771689497718</c:v>
                </c:pt>
              </c:numCache>
            </c:numRef>
          </c:val>
        </c:ser>
        <c:gapWidth val="219"/>
        <c:axId val="3354220"/>
        <c:axId val="30187981"/>
      </c:barChart>
      <c:lineChart>
        <c:grouping val="standard"/>
        <c:varyColors val="0"/>
        <c:ser>
          <c:idx val="0"/>
          <c:order val="2"/>
          <c:tx>
            <c:strRef>
              <c:f>Chart_RRMethod!$E$50:$E$61</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errBars>
            <c:errDir val="y"/>
            <c:errBarType val="both"/>
            <c:errValType val="cust"/>
            <c:plus>
              <c:numRef>
                <c:f>Chart_RRMethod!$E$50:$E$61</c:f>
                <c:numCache/>
              </c:numRef>
            </c:plus>
            <c:minus>
              <c:numRef>
                <c:f>Chart_RRMethod!$E$50:$E$61</c:f>
                <c:numCache/>
              </c:numRef>
            </c:minus>
            <c:noEndCap val="0"/>
            <c:spPr>
              <a:ln w="12700" cap="flat" cmpd="sng">
                <a:solidFill>
                  <a:srgbClr val="E87722"/>
                </a:solidFill>
                <a:round/>
              </a:ln>
            </c:spPr>
          </c:errBars>
          <c:cat>
            <c:strRef>
              <c:f>Chart_RRMethod!$E$50:$E$61</c:f>
              <c:strCache>
                <c:ptCount val="11"/>
                <c:pt idx="0">
                  <c:v>Opt. 1 Com/Ag Lighting (12-13)</c:v>
                </c:pt>
                <c:pt idx="1">
                  <c:v>Opt. 1 Com/Ag Non-Lighting (12-13)</c:v>
                </c:pt>
                <c:pt idx="2">
                  <c:v>Opt. 1 Custom Industrial (20-21)</c:v>
                </c:pt>
                <c:pt idx="3">
                  <c:v>Opt. 1 Industrial Lighting (12-13)</c:v>
                </c:pt>
                <c:pt idx="4">
                  <c:v>Opt. 1 Industrial Non-Lighting (12-13_</c:v>
                </c:pt>
                <c:pt idx="5">
                  <c:v>Opt. 2 Commercial Lighting (12-13)</c:v>
                </c:pt>
                <c:pt idx="6">
                  <c:v>Opt. 2 Commercial Non-Lighting (12-13)</c:v>
                </c:pt>
                <c:pt idx="7">
                  <c:v>Opt. 2 Custom Industrial (20-21)</c:v>
                </c:pt>
                <c:pt idx="8">
                  <c:v>Opt. 2 ESRP (12-13)</c:v>
                </c:pt>
                <c:pt idx="9">
                  <c:v>Opt. 2 Industrial Lighting (12-13)</c:v>
                </c:pt>
                <c:pt idx="10">
                  <c:v>Opt. 2 Industrial Non-Lighting (12-13)</c:v>
                </c:pt>
              </c:strCache>
            </c:strRef>
          </c:cat>
          <c:val>
            <c:numRef>
              <c:f>Chart_RRMethod!$E$50:$E$61</c:f>
              <c:numCache>
                <c:formatCode>0%</c:formatCode>
                <c:ptCount val="11"/>
                <c:pt idx="0">
                  <c:v>0.93</c:v>
                </c:pt>
                <c:pt idx="1">
                  <c:v>1.15</c:v>
                </c:pt>
                <c:pt idx="2">
                  <c:v>0.85</c:v>
                </c:pt>
                <c:pt idx="3">
                  <c:v>0.93</c:v>
                </c:pt>
                <c:pt idx="4">
                  <c:v>0.99</c:v>
                </c:pt>
                <c:pt idx="5">
                  <c:v>1.09</c:v>
                </c:pt>
                <c:pt idx="6">
                  <c:v>1.1</c:v>
                </c:pt>
                <c:pt idx="7">
                  <c:v>1.02</c:v>
                </c:pt>
                <c:pt idx="8">
                  <c:v>0.49</c:v>
                </c:pt>
                <c:pt idx="9">
                  <c:v>1.02</c:v>
                </c:pt>
                <c:pt idx="10">
                  <c:v>1.01</c:v>
                </c:pt>
              </c:numCache>
            </c:numRef>
          </c:val>
          <c:smooth val="0"/>
        </c:ser>
        <c:marker val="1"/>
        <c:axId val="3256374"/>
        <c:axId val="29307367"/>
      </c:lineChart>
      <c:catAx>
        <c:axId val="335422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200" b="0" i="0" u="none" baseline="0">
                <a:solidFill>
                  <a:schemeClr val="accent4"/>
                </a:solidFill>
                <a:latin typeface="+mn-lt"/>
                <a:ea typeface="+mn-cs"/>
                <a:cs typeface="+mn-cs"/>
              </a:defRPr>
            </a:pPr>
          </a:p>
        </c:txPr>
        <c:crossAx val="30187981"/>
        <c:crosses val="autoZero"/>
        <c:auto val="1"/>
        <c:lblOffset val="100"/>
        <c:noMultiLvlLbl val="0"/>
      </c:catAx>
      <c:valAx>
        <c:axId val="30187981"/>
        <c:scaling>
          <c:orientation val="minMax"/>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accent4"/>
                </a:solidFill>
                <a:latin typeface="+mn-lt"/>
                <a:ea typeface="+mn-cs"/>
                <a:cs typeface="+mn-cs"/>
              </a:defRPr>
            </a:pPr>
          </a:p>
        </c:txPr>
        <c:crossAx val="3354220"/>
        <c:crosses val="max"/>
        <c:crossBetween val="between"/>
        <c:dispUnits/>
      </c:valAx>
      <c:catAx>
        <c:axId val="3256374"/>
        <c:scaling>
          <c:orientation val="minMax"/>
        </c:scaling>
        <c:axPos val="b"/>
        <c:delete val="1"/>
        <c:majorTickMark val="out"/>
        <c:minorTickMark val="none"/>
        <c:tickLblPos val="nextTo"/>
        <c:crossAx val="29307367"/>
        <c:crosses val="autoZero"/>
        <c:auto val="1"/>
        <c:lblOffset val="100"/>
        <c:noMultiLvlLbl val="0"/>
      </c:catAx>
      <c:valAx>
        <c:axId val="29307367"/>
        <c:scaling>
          <c:orientation val="minMax"/>
          <c:max val="1.4"/>
        </c:scaling>
        <c:axPos val="l"/>
        <c:title>
          <c:tx>
            <c:rich>
              <a:bodyPr vert="horz" rot="-5400000" anchor="ctr"/>
              <a:lstStyle/>
              <a:p>
                <a:pPr algn="ctr">
                  <a:defRPr/>
                </a:pPr>
                <a:r>
                  <a:rPr lang="en-US" cap="none" sz="1800" b="0" i="0" u="none" baseline="0">
                    <a:solidFill>
                      <a:schemeClr val="accent4"/>
                    </a:solidFill>
                    <a:latin typeface="Caecilia LT Std Light"/>
                    <a:ea typeface="Caecilia LT Std Light"/>
                    <a:cs typeface="Caecilia LT Std Light"/>
                  </a:rPr>
                  <a:t>Realization</a:t>
                </a:r>
                <a:r>
                  <a:rPr lang="en-US" cap="none" sz="1800" b="0" i="0" u="none" baseline="0">
                    <a:solidFill>
                      <a:schemeClr val="accent4"/>
                    </a:solidFill>
                    <a:latin typeface="Caecilia LT Std Light"/>
                    <a:ea typeface="Caecilia LT Std Light"/>
                    <a:cs typeface="Caecilia LT Std Light"/>
                  </a:rPr>
                  <a:t>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400" b="0" i="0" u="none" baseline="0">
                <a:solidFill>
                  <a:schemeClr val="accent4"/>
                </a:solidFill>
                <a:latin typeface="+mn-lt"/>
                <a:ea typeface="+mn-cs"/>
                <a:cs typeface="+mn-cs"/>
              </a:defRPr>
            </a:pPr>
          </a:p>
        </c:txPr>
        <c:crossAx val="3256374"/>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8"/>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8"/>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[0]Chart_RRMethod!PivotTable2</c:name>
  </c:pivotSource>
  <c:chart>
    <c:autoTitleDeleted val="1"/>
    <c:plotArea>
      <c:layout>
        <c:manualLayout>
          <c:layoutTarget val="inner"/>
          <c:xMode val="edge"/>
          <c:yMode val="edge"/>
          <c:x val="0.18325"/>
          <c:y val="0.05425"/>
          <c:w val="0.72275"/>
          <c:h val="0.6045"/>
        </c:manualLayout>
      </c:layout>
      <c:barChart>
        <c:barDir val="col"/>
        <c:grouping val="clustered"/>
        <c:varyColors val="0"/>
        <c:ser>
          <c:idx val="1"/>
          <c:order val="0"/>
          <c:tx>
            <c:strRef>
              <c:f>Chart_RRMethod!$E$85:$E$93</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Chart_RRMethod!$E$85:$E$93</c:f>
              <c:strCache>
                <c:ptCount val="17"/>
                <c:pt idx="0">
                  <c:v>ASHP Conversion w/ Duct Sealing (09-11)</c:v>
                </c:pt>
                <c:pt idx="1">
                  <c:v>ASHP Conversion w/ Duct Sealing (18-19)</c:v>
                </c:pt>
                <c:pt idx="2">
                  <c:v>ASHP Conversions (09-11)</c:v>
                </c:pt>
                <c:pt idx="3">
                  <c:v>ASHP Conversions (18-19)</c:v>
                </c:pt>
                <c:pt idx="4">
                  <c:v>DHP Replacing eFAF (15-16)</c:v>
                </c:pt>
                <c:pt idx="5">
                  <c:v>DHP Replacing eFAF (18-19)</c:v>
                </c:pt>
                <c:pt idx="6">
                  <c:v>DHP Replacing Zonal (15-16)</c:v>
                </c:pt>
                <c:pt idx="7">
                  <c:v>DHP Replacing Zonal (18-19)</c:v>
                </c:pt>
                <c:pt idx="8">
                  <c:v>Duct Sealing - PTCS &amp; Prescriptive (18-19)</c:v>
                </c:pt>
                <c:pt idx="9">
                  <c:v>HPEM (10-14)</c:v>
                </c:pt>
                <c:pt idx="10">
                  <c:v>Insulation (14-15)</c:v>
                </c:pt>
                <c:pt idx="11">
                  <c:v>Performance Duct Sealing (09-11)</c:v>
                </c:pt>
                <c:pt idx="12">
                  <c:v>Prescriptive Duct Sealing (15-16)</c:v>
                </c:pt>
                <c:pt idx="13">
                  <c:v>Track &amp; Tune (10-14)</c:v>
                </c:pt>
                <c:pt idx="14">
                  <c:v>VSHP (18-19)</c:v>
                </c:pt>
                <c:pt idx="15">
                  <c:v>VSHP w/ Duct Sealing (18-19)</c:v>
                </c:pt>
                <c:pt idx="16">
                  <c:v>Windows (14-15)</c:v>
                </c:pt>
              </c:strCache>
            </c:strRef>
          </c:cat>
          <c:val>
            <c:numRef>
              <c:f>Chart_RRMethod!$E$85:$E$93</c:f>
              <c:numCache>
                <c:formatCode>General</c:formatCode>
                <c:ptCount val="17"/>
                <c:pt idx="0">
                  <c:v>0.5291026255707763</c:v>
                </c:pt>
                <c:pt idx="1">
                  <c:v>0.030588571044856298</c:v>
                </c:pt>
                <c:pt idx="2">
                  <c:v>0.283845205479452</c:v>
                </c:pt>
                <c:pt idx="3">
                  <c:v>0.130561716315141</c:v>
                </c:pt>
                <c:pt idx="4">
                  <c:v>0.3250417808219178</c:v>
                </c:pt>
                <c:pt idx="5">
                  <c:v>0.011697935278935874</c:v>
                </c:pt>
                <c:pt idx="6">
                  <c:v>0.401962100456621</c:v>
                </c:pt>
                <c:pt idx="7">
                  <c:v>0.10215597758405977</c:v>
                </c:pt>
                <c:pt idx="8">
                  <c:v>0.026690152706040873</c:v>
                </c:pt>
                <c:pt idx="9">
                  <c:v>1.6042237442922374</c:v>
                </c:pt>
                <c:pt idx="10">
                  <c:v>0.17412397260273973</c:v>
                </c:pt>
                <c:pt idx="11">
                  <c:v>0.6963906392694064</c:v>
                </c:pt>
                <c:pt idx="12">
                  <c:v>0.027906164383561645</c:v>
                </c:pt>
                <c:pt idx="13">
                  <c:v>1.0994292237442922</c:v>
                </c:pt>
                <c:pt idx="14">
                  <c:v>0.04021917808219178</c:v>
                </c:pt>
                <c:pt idx="15">
                  <c:v>0.020825722983257227</c:v>
                </c:pt>
                <c:pt idx="16">
                  <c:v>0.20764383561643837</c:v>
                </c:pt>
              </c:numCache>
            </c:numRef>
          </c:val>
        </c:ser>
        <c:ser>
          <c:idx val="2"/>
          <c:order val="1"/>
          <c:tx>
            <c:strRef>
              <c:f>Chart_RRMethod!$E$85:$E$93</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Chart_RRMethod!$E$85:$E$93</c:f>
              <c:strCache>
                <c:ptCount val="17"/>
                <c:pt idx="0">
                  <c:v>ASHP Conversion w/ Duct Sealing (09-11)</c:v>
                </c:pt>
                <c:pt idx="1">
                  <c:v>ASHP Conversion w/ Duct Sealing (18-19)</c:v>
                </c:pt>
                <c:pt idx="2">
                  <c:v>ASHP Conversions (09-11)</c:v>
                </c:pt>
                <c:pt idx="3">
                  <c:v>ASHP Conversions (18-19)</c:v>
                </c:pt>
                <c:pt idx="4">
                  <c:v>DHP Replacing eFAF (15-16)</c:v>
                </c:pt>
                <c:pt idx="5">
                  <c:v>DHP Replacing eFAF (18-19)</c:v>
                </c:pt>
                <c:pt idx="6">
                  <c:v>DHP Replacing Zonal (15-16)</c:v>
                </c:pt>
                <c:pt idx="7">
                  <c:v>DHP Replacing Zonal (18-19)</c:v>
                </c:pt>
                <c:pt idx="8">
                  <c:v>Duct Sealing - PTCS &amp; Prescriptive (18-19)</c:v>
                </c:pt>
                <c:pt idx="9">
                  <c:v>HPEM (10-14)</c:v>
                </c:pt>
                <c:pt idx="10">
                  <c:v>Insulation (14-15)</c:v>
                </c:pt>
                <c:pt idx="11">
                  <c:v>Performance Duct Sealing (09-11)</c:v>
                </c:pt>
                <c:pt idx="12">
                  <c:v>Prescriptive Duct Sealing (15-16)</c:v>
                </c:pt>
                <c:pt idx="13">
                  <c:v>Track &amp; Tune (10-14)</c:v>
                </c:pt>
                <c:pt idx="14">
                  <c:v>VSHP (18-19)</c:v>
                </c:pt>
                <c:pt idx="15">
                  <c:v>VSHP w/ Duct Sealing (18-19)</c:v>
                </c:pt>
                <c:pt idx="16">
                  <c:v>Windows (14-15)</c:v>
                </c:pt>
              </c:strCache>
            </c:strRef>
          </c:cat>
          <c:val>
            <c:numRef>
              <c:f>Chart_RRMethod!$E$85:$E$93</c:f>
              <c:numCache>
                <c:formatCode>General</c:formatCode>
                <c:ptCount val="17"/>
                <c:pt idx="0">
                  <c:v>0.2939383561643836</c:v>
                </c:pt>
                <c:pt idx="1">
                  <c:v>0.010400114155251142</c:v>
                </c:pt>
                <c:pt idx="2">
                  <c:v>0.1751027397260274</c:v>
                </c:pt>
                <c:pt idx="3">
                  <c:v>0.08225388127853882</c:v>
                </c:pt>
                <c:pt idx="4">
                  <c:v>0.16348173515981734</c:v>
                </c:pt>
                <c:pt idx="5">
                  <c:v>0.008071575342465753</c:v>
                </c:pt>
                <c:pt idx="6">
                  <c:v>0.33906392694063925</c:v>
                </c:pt>
                <c:pt idx="7">
                  <c:v>0.0449486301369863</c:v>
                </c:pt>
                <c:pt idx="8">
                  <c:v>0.06512397260273972</c:v>
                </c:pt>
                <c:pt idx="9">
                  <c:v>1.2712328767123289</c:v>
                </c:pt>
                <c:pt idx="10">
                  <c:v>0.1704609589041096</c:v>
                </c:pt>
                <c:pt idx="11">
                  <c:v>0.2274200913242009</c:v>
                </c:pt>
                <c:pt idx="12">
                  <c:v>-0.007328767123287672</c:v>
                </c:pt>
                <c:pt idx="13">
                  <c:v>1.1493150684931508</c:v>
                </c:pt>
                <c:pt idx="14">
                  <c:v>0.006032876712328767</c:v>
                </c:pt>
                <c:pt idx="15">
                  <c:v>0.013744977168949771</c:v>
                </c:pt>
                <c:pt idx="16">
                  <c:v>0.1404794520547945</c:v>
                </c:pt>
              </c:numCache>
            </c:numRef>
          </c:val>
        </c:ser>
        <c:gapWidth val="219"/>
        <c:axId val="62439712"/>
        <c:axId val="25086497"/>
      </c:barChart>
      <c:lineChart>
        <c:grouping val="standard"/>
        <c:varyColors val="0"/>
        <c:ser>
          <c:idx val="0"/>
          <c:order val="2"/>
          <c:tx>
            <c:strRef>
              <c:f>Chart_RRMethod!$E$85:$E$93</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errBars>
            <c:errDir val="y"/>
            <c:errBarType val="both"/>
            <c:errValType val="cust"/>
            <c:plus>
              <c:numRef>
                <c:f>Chart_RRMethod!$E$85:$E$93</c:f>
                <c:numCache/>
              </c:numRef>
            </c:plus>
            <c:minus>
              <c:numRef>
                <c:f>Chart_RRMethod!$E$85:$E$93</c:f>
                <c:numCache/>
              </c:numRef>
            </c:minus>
            <c:noEndCap val="0"/>
            <c:spPr>
              <a:ln w="12700" cap="flat" cmpd="sng">
                <a:solidFill>
                  <a:srgbClr val="E87722"/>
                </a:solidFill>
                <a:round/>
              </a:ln>
            </c:spPr>
          </c:errBars>
          <c:cat>
            <c:strRef>
              <c:f>Chart_RRMethod!$E$85:$E$93</c:f>
              <c:strCache>
                <c:ptCount val="17"/>
                <c:pt idx="0">
                  <c:v>ASHP Conversion w/ Duct Sealing (09-11)</c:v>
                </c:pt>
                <c:pt idx="1">
                  <c:v>ASHP Conversion w/ Duct Sealing (18-19)</c:v>
                </c:pt>
                <c:pt idx="2">
                  <c:v>ASHP Conversions (09-11)</c:v>
                </c:pt>
                <c:pt idx="3">
                  <c:v>ASHP Conversions (18-19)</c:v>
                </c:pt>
                <c:pt idx="4">
                  <c:v>DHP Replacing eFAF (15-16)</c:v>
                </c:pt>
                <c:pt idx="5">
                  <c:v>DHP Replacing eFAF (18-19)</c:v>
                </c:pt>
                <c:pt idx="6">
                  <c:v>DHP Replacing Zonal (15-16)</c:v>
                </c:pt>
                <c:pt idx="7">
                  <c:v>DHP Replacing Zonal (18-19)</c:v>
                </c:pt>
                <c:pt idx="8">
                  <c:v>Duct Sealing - PTCS &amp; Prescriptive (18-19)</c:v>
                </c:pt>
                <c:pt idx="9">
                  <c:v>HPEM (10-14)</c:v>
                </c:pt>
                <c:pt idx="10">
                  <c:v>Insulation (14-15)</c:v>
                </c:pt>
                <c:pt idx="11">
                  <c:v>Performance Duct Sealing (09-11)</c:v>
                </c:pt>
                <c:pt idx="12">
                  <c:v>Prescriptive Duct Sealing (15-16)</c:v>
                </c:pt>
                <c:pt idx="13">
                  <c:v>Track &amp; Tune (10-14)</c:v>
                </c:pt>
                <c:pt idx="14">
                  <c:v>VSHP (18-19)</c:v>
                </c:pt>
                <c:pt idx="15">
                  <c:v>VSHP w/ Duct Sealing (18-19)</c:v>
                </c:pt>
                <c:pt idx="16">
                  <c:v>Windows (14-15)</c:v>
                </c:pt>
              </c:strCache>
            </c:strRef>
          </c:cat>
          <c:val>
            <c:numRef>
              <c:f>Chart_RRMethod!$E$85:$E$93</c:f>
              <c:numCache>
                <c:formatCode>0%</c:formatCode>
                <c:ptCount val="17"/>
                <c:pt idx="0">
                  <c:v>0.56</c:v>
                </c:pt>
                <c:pt idx="1">
                  <c:v>0.34</c:v>
                </c:pt>
                <c:pt idx="2">
                  <c:v>0.62</c:v>
                </c:pt>
                <c:pt idx="3">
                  <c:v>0.63</c:v>
                </c:pt>
                <c:pt idx="4">
                  <c:v>0.503</c:v>
                </c:pt>
                <c:pt idx="5">
                  <c:v>0.69</c:v>
                </c:pt>
                <c:pt idx="6">
                  <c:v>0.843</c:v>
                </c:pt>
                <c:pt idx="7">
                  <c:v>0.44</c:v>
                </c:pt>
                <c:pt idx="8">
                  <c:v>2.44</c:v>
                </c:pt>
                <c:pt idx="9">
                  <c:v>0.79</c:v>
                </c:pt>
                <c:pt idx="10">
                  <c:v>0.98</c:v>
                </c:pt>
                <c:pt idx="11">
                  <c:v>0.33</c:v>
                </c:pt>
                <c:pt idx="12">
                  <c:v>-0.262</c:v>
                </c:pt>
                <c:pt idx="13">
                  <c:v>1.05</c:v>
                </c:pt>
                <c:pt idx="14">
                  <c:v>0.15</c:v>
                </c:pt>
                <c:pt idx="15">
                  <c:v>0.66</c:v>
                </c:pt>
                <c:pt idx="16">
                  <c:v>0.68</c:v>
                </c:pt>
              </c:numCache>
            </c:numRef>
          </c:val>
          <c:smooth val="0"/>
        </c:ser>
        <c:marker val="1"/>
        <c:axId val="24451882"/>
        <c:axId val="18740347"/>
      </c:lineChart>
      <c:catAx>
        <c:axId val="62439712"/>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1300" b="0" i="0" u="none" baseline="0">
                <a:solidFill>
                  <a:schemeClr val="accent4"/>
                </a:solidFill>
                <a:latin typeface="+mn-lt"/>
                <a:ea typeface="+mn-cs"/>
                <a:cs typeface="+mn-cs"/>
              </a:defRPr>
            </a:pPr>
          </a:p>
        </c:txPr>
        <c:crossAx val="25086497"/>
        <c:crosses val="autoZero"/>
        <c:auto val="1"/>
        <c:lblOffset val="100"/>
        <c:noMultiLvlLbl val="0"/>
      </c:catAx>
      <c:valAx>
        <c:axId val="25086497"/>
        <c:scaling>
          <c:orientation val="minMax"/>
          <c:min val="0"/>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62439712"/>
        <c:crosses val="max"/>
        <c:crossBetween val="between"/>
        <c:dispUnits/>
      </c:valAx>
      <c:catAx>
        <c:axId val="24451882"/>
        <c:scaling>
          <c:orientation val="minMax"/>
        </c:scaling>
        <c:axPos val="b"/>
        <c:delete val="1"/>
        <c:majorTickMark val="out"/>
        <c:minorTickMark val="none"/>
        <c:tickLblPos val="nextTo"/>
        <c:crossAx val="18740347"/>
        <c:crosses val="autoZero"/>
        <c:auto val="1"/>
        <c:lblOffset val="100"/>
        <c:noMultiLvlLbl val="0"/>
      </c:catAx>
      <c:valAx>
        <c:axId val="18740347"/>
        <c:scaling>
          <c:orientation val="minMax"/>
          <c:max val="1.2"/>
          <c:min val="-0.4"/>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24451882"/>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8"/>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6"/>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[0]Chart_RRMethod!PivotTable3</c:name>
  </c:pivotSource>
  <c:chart>
    <c:autoTitleDeleted val="1"/>
    <c:plotArea>
      <c:layout>
        <c:manualLayout>
          <c:layoutTarget val="inner"/>
          <c:xMode val="edge"/>
          <c:yMode val="edge"/>
          <c:x val="0.09325"/>
          <c:y val="0.027"/>
          <c:w val="0.82125"/>
          <c:h val="0.792"/>
        </c:manualLayout>
      </c:layout>
      <c:barChart>
        <c:barDir val="col"/>
        <c:grouping val="clustered"/>
        <c:varyColors val="0"/>
        <c:ser>
          <c:idx val="1"/>
          <c:order val="0"/>
          <c:tx>
            <c:strRef>
              <c:f>Chart_RRMethod!$C$121</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Chart_RRMethod!$A$122:$A$126</c:f>
              <c:strCache>
                <c:ptCount val="4"/>
                <c:pt idx="0">
                  <c:v>Commissioning Controls Sizing (17)</c:v>
                </c:pt>
                <c:pt idx="1">
                  <c:v>Duct Sealing Prescriptive (17)</c:v>
                </c:pt>
                <c:pt idx="2">
                  <c:v>Duct Sealing PTCS (17)</c:v>
                </c:pt>
                <c:pt idx="3">
                  <c:v>Heat Pumps (17)</c:v>
                </c:pt>
              </c:strCache>
            </c:strRef>
          </c:cat>
          <c:val>
            <c:numRef>
              <c:f>Chart_RRMethod!$C$122:$C$126</c:f>
              <c:numCache>
                <c:formatCode>General</c:formatCode>
                <c:ptCount val="4"/>
                <c:pt idx="0">
                  <c:v>0.02</c:v>
                </c:pt>
                <c:pt idx="1">
                  <c:v>0.25</c:v>
                </c:pt>
                <c:pt idx="2">
                  <c:v>0.07</c:v>
                </c:pt>
                <c:pt idx="3">
                  <c:v>0.9799999999999999</c:v>
                </c:pt>
              </c:numCache>
            </c:numRef>
          </c:val>
        </c:ser>
        <c:ser>
          <c:idx val="2"/>
          <c:order val="1"/>
          <c:tx>
            <c:strRef>
              <c:f>Chart_RRMethod!$D$121</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Chart_RRMethod!$A$122:$A$126</c:f>
              <c:strCache>
                <c:ptCount val="4"/>
                <c:pt idx="0">
                  <c:v>Commissioning Controls Sizing (17)</c:v>
                </c:pt>
                <c:pt idx="1">
                  <c:v>Duct Sealing Prescriptive (17)</c:v>
                </c:pt>
                <c:pt idx="2">
                  <c:v>Duct Sealing PTCS (17)</c:v>
                </c:pt>
                <c:pt idx="3">
                  <c:v>Heat Pumps (17)</c:v>
                </c:pt>
              </c:strCache>
            </c:strRef>
          </c:cat>
          <c:val>
            <c:numRef>
              <c:f>Chart_RRMethod!$D$122:$D$126</c:f>
              <c:numCache>
                <c:formatCode>General</c:formatCode>
                <c:ptCount val="4"/>
                <c:pt idx="0">
                  <c:v>0.01</c:v>
                </c:pt>
                <c:pt idx="1">
                  <c:v>0.2</c:v>
                </c:pt>
                <c:pt idx="2">
                  <c:v>0.04</c:v>
                </c:pt>
                <c:pt idx="3">
                  <c:v>0.36</c:v>
                </c:pt>
              </c:numCache>
            </c:numRef>
          </c:val>
        </c:ser>
        <c:gapWidth val="219"/>
        <c:axId val="34445396"/>
        <c:axId val="41573109"/>
      </c:barChart>
      <c:lineChart>
        <c:grouping val="standard"/>
        <c:varyColors val="0"/>
        <c:ser>
          <c:idx val="0"/>
          <c:order val="2"/>
          <c:tx>
            <c:strRef>
              <c:f>Chart_RRMethod!$B$121</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cat>
            <c:strRef>
              <c:f>Chart_RRMethod!$A$122:$A$126</c:f>
              <c:strCache>
                <c:ptCount val="4"/>
                <c:pt idx="0">
                  <c:v>Commissioning Controls Sizing (17)</c:v>
                </c:pt>
                <c:pt idx="1">
                  <c:v>Duct Sealing Prescriptive (17)</c:v>
                </c:pt>
                <c:pt idx="2">
                  <c:v>Duct Sealing PTCS (17)</c:v>
                </c:pt>
                <c:pt idx="3">
                  <c:v>Heat Pumps (17)</c:v>
                </c:pt>
              </c:strCache>
            </c:strRef>
          </c:cat>
          <c:val>
            <c:numRef>
              <c:f>Chart_RRMethod!$B$122:$B$126</c:f>
              <c:numCache>
                <c:formatCode>0%</c:formatCode>
                <c:ptCount val="4"/>
                <c:pt idx="0">
                  <c:v>0.42</c:v>
                </c:pt>
                <c:pt idx="1">
                  <c:v>0.78</c:v>
                </c:pt>
                <c:pt idx="2">
                  <c:v>0.57</c:v>
                </c:pt>
                <c:pt idx="3">
                  <c:v>0.37</c:v>
                </c:pt>
              </c:numCache>
            </c:numRef>
          </c:val>
          <c:smooth val="0"/>
        </c:ser>
        <c:marker val="1"/>
        <c:axId val="38613662"/>
        <c:axId val="11978639"/>
      </c:lineChart>
      <c:catAx>
        <c:axId val="3444539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accent4"/>
                </a:solidFill>
                <a:latin typeface="+mn-lt"/>
                <a:ea typeface="+mn-cs"/>
                <a:cs typeface="+mn-cs"/>
              </a:defRPr>
            </a:pPr>
          </a:p>
        </c:txPr>
        <c:crossAx val="41573109"/>
        <c:crosses val="autoZero"/>
        <c:auto val="1"/>
        <c:lblOffset val="100"/>
        <c:noMultiLvlLbl val="0"/>
      </c:catAx>
      <c:valAx>
        <c:axId val="41573109"/>
        <c:scaling>
          <c:orientation val="minMax"/>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34445396"/>
        <c:crosses val="max"/>
        <c:crossBetween val="between"/>
        <c:dispUnits/>
      </c:valAx>
      <c:catAx>
        <c:axId val="38613662"/>
        <c:scaling>
          <c:orientation val="minMax"/>
        </c:scaling>
        <c:axPos val="b"/>
        <c:delete val="1"/>
        <c:majorTickMark val="out"/>
        <c:minorTickMark val="none"/>
        <c:tickLblPos val="nextTo"/>
        <c:crossAx val="11978639"/>
        <c:crosses val="autoZero"/>
        <c:auto val="1"/>
        <c:lblOffset val="100"/>
        <c:noMultiLvlLbl val="0"/>
      </c:catAx>
      <c:valAx>
        <c:axId val="11978639"/>
        <c:scaling>
          <c:orientation val="minMax"/>
          <c:max val="1"/>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38613662"/>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9"/>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w="28575" cap="rnd">
            <a:solidFill>
              <a:schemeClr val="accent1"/>
            </a:solidFill>
            <a:round/>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6"/>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xdr:row>
      <xdr:rowOff>161925</xdr:rowOff>
    </xdr:from>
    <xdr:to>
      <xdr:col>22</xdr:col>
      <xdr:colOff>533400</xdr:colOff>
      <xdr:row>37</xdr:row>
      <xdr:rowOff>9525</xdr:rowOff>
    </xdr:to>
    <xdr:graphicFrame macro="">
      <xdr:nvGraphicFramePr>
        <xdr:cNvPr id="3" name="Chart 2"/>
        <xdr:cNvGraphicFramePr/>
      </xdr:nvGraphicFramePr>
      <xdr:xfrm>
        <a:off x="10858500" y="523875"/>
        <a:ext cx="13087350" cy="6181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xdr:row>
      <xdr:rowOff>0</xdr:rowOff>
    </xdr:from>
    <xdr:to>
      <xdr:col>35</xdr:col>
      <xdr:colOff>809625</xdr:colOff>
      <xdr:row>45</xdr:row>
      <xdr:rowOff>123825</xdr:rowOff>
    </xdr:to>
    <xdr:graphicFrame macro="">
      <xdr:nvGraphicFramePr>
        <xdr:cNvPr id="5" name="Chart 4"/>
        <xdr:cNvGraphicFramePr/>
      </xdr:nvGraphicFramePr>
      <xdr:xfrm>
        <a:off x="17192625" y="180975"/>
        <a:ext cx="15763875" cy="808672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46</xdr:row>
      <xdr:rowOff>152400</xdr:rowOff>
    </xdr:from>
    <xdr:to>
      <xdr:col>35</xdr:col>
      <xdr:colOff>809625</xdr:colOff>
      <xdr:row>89</xdr:row>
      <xdr:rowOff>19050</xdr:rowOff>
    </xdr:to>
    <xdr:graphicFrame macro="">
      <xdr:nvGraphicFramePr>
        <xdr:cNvPr id="2" name="Chart 1"/>
        <xdr:cNvGraphicFramePr/>
      </xdr:nvGraphicFramePr>
      <xdr:xfrm>
        <a:off x="17192625" y="8477250"/>
        <a:ext cx="15763875" cy="76676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90</xdr:row>
      <xdr:rowOff>114300</xdr:rowOff>
    </xdr:from>
    <xdr:to>
      <xdr:col>35</xdr:col>
      <xdr:colOff>771525</xdr:colOff>
      <xdr:row>138</xdr:row>
      <xdr:rowOff>85725</xdr:rowOff>
    </xdr:to>
    <xdr:graphicFrame macro="">
      <xdr:nvGraphicFramePr>
        <xdr:cNvPr id="3" name="Chart 2"/>
        <xdr:cNvGraphicFramePr/>
      </xdr:nvGraphicFramePr>
      <xdr:xfrm>
        <a:off x="17240250" y="16421100"/>
        <a:ext cx="15678150" cy="8658225"/>
      </xdr:xfrm>
      <a:graphic>
        <a:graphicData uri="http://schemas.openxmlformats.org/drawingml/2006/chart">
          <c:chart xmlns:c="http://schemas.openxmlformats.org/drawingml/2006/chart" r:id="rId3"/>
        </a:graphicData>
      </a:graphic>
    </xdr:graphicFrame>
    <xdr:clientData/>
  </xdr:twoCellAnchor>
  <xdr:twoCellAnchor>
    <xdr:from>
      <xdr:col>6</xdr:col>
      <xdr:colOff>57150</xdr:colOff>
      <xdr:row>139</xdr:row>
      <xdr:rowOff>76200</xdr:rowOff>
    </xdr:from>
    <xdr:to>
      <xdr:col>35</xdr:col>
      <xdr:colOff>771525</xdr:colOff>
      <xdr:row>185</xdr:row>
      <xdr:rowOff>38100</xdr:rowOff>
    </xdr:to>
    <xdr:graphicFrame macro="">
      <xdr:nvGraphicFramePr>
        <xdr:cNvPr id="4" name="Chart 3"/>
        <xdr:cNvGraphicFramePr/>
      </xdr:nvGraphicFramePr>
      <xdr:xfrm>
        <a:off x="17230725" y="25250775"/>
        <a:ext cx="15687675" cy="8286750"/>
      </xdr:xfrm>
      <a:graphic>
        <a:graphicData uri="http://schemas.openxmlformats.org/drawingml/2006/chart">
          <c:chart xmlns:c="http://schemas.openxmlformats.org/drawingml/2006/chart"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Katherine Steward" id="{E995CE98-76CC-42BF-AC96-0332A897EDA0}" userId="S-1-5-21-1299038590-1202130019-4192219949-1118" providerId="AD"/>
</personList>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8" recordCount="40" refreshedBy="Microsoft Office User" refreshedVersion="8">
  <cacheSource type="worksheet">
    <worksheetSource ref="A7:Y47" sheet="Realization Rates_Tracker"/>
  </cacheSource>
  <cacheFields count="25">
    <cacheField name="Study">
      <sharedItems containsMixedTypes="0" count="9">
        <s v="Residential Insulation and Windows Measures "/>
        <s v="UES Residential Lighting Projects"/>
        <s v="Site-Specific Savings Portfolio "/>
        <s v="Custom Industrial Impact Evaluation for Option 1 Utilities"/>
        <s v="Custom Industrial Impact Evaluation for Option 2 Utilities"/>
        <s v="Residential Ductless Heat Pump and Prescriptive Duct Sealing Measures"/>
        <s v="Performance Tested Comfort System Air-Source Heat Pump Conversions and Performance Duct Sealing Data"/>
        <s v="2017 Delivery Verification "/>
        <s v="Industrial SEM "/>
      </sharedItems>
    </cacheField>
    <cacheField name="Coverage Period">
      <sharedItems containsMixedTypes="0" count="0"/>
    </cacheField>
    <cacheField name="Study Publish Date" numFmtId="14">
      <sharedItems containsSemiMixedTypes="0" containsNonDate="0" containsDate="1" containsString="0" containsMixedTypes="0" count="0"/>
    </cacheField>
    <cacheField name="Evaluation Method Category">
      <sharedItems containsMixedTypes="0" count="4">
        <s v="Statistical"/>
        <s v="Delivery Verification"/>
        <s v="Engineering Analysis"/>
        <s v="QA/QC Delivery Verification Pilot "/>
      </sharedItems>
    </cacheField>
    <cacheField name="Sector(s)">
      <sharedItems containsMixedTypes="0" count="0"/>
    </cacheField>
    <cacheField name="Measure">
      <sharedItems containsMixedTypes="0" count="0"/>
    </cacheField>
    <cacheField name="Measure &amp; Study Period">
      <sharedItems containsBlank="1" containsMixedTypes="0" count="32">
        <s v="Insulation (14-15)"/>
        <s v="Windows (14-15)"/>
        <s v="Retail Lighting (15)"/>
        <s v="By-Request Lighting (15)"/>
        <s v="Opt. 1 Com/Ag Lighting (12-13)"/>
        <s v="Opt. 1 Com/Ag Non-Lighting (12-13)"/>
        <m/>
        <s v="Opt. 1 Industrial Lighting (12-13)"/>
        <s v="Opt. 1 Industrial Non-Lighting (12-13_"/>
        <s v="Opt. 2 Commercial Lighting (12-13)"/>
        <s v="Opt. 2 Commercial Non-Lighting (12-13)"/>
        <s v="Opt. 2 ESRP (12-13)"/>
        <s v="DHP Replacing eFAF (15-16)"/>
        <s v="DHP Replacing Zonal (15-16)"/>
        <s v="Prescriptive Duct Sealing (15-16)"/>
        <s v="ASHP Conversions (09-11)"/>
        <s v="ASHP Conversion w/ Duct Sealing (09-11)"/>
        <s v="Performance Duct Sealing (09-11)"/>
        <s v="Ductless Heat Pumps (17)"/>
        <s v="Advanced Power Strips (17)"/>
        <s v="Showerheads (17)"/>
        <s v="Heat Pump Water Heaters (17)"/>
        <s v="Transformer De-energization (17)"/>
        <s v="Green Motors (17)"/>
        <s v="Duct Sealing Prescriptive (17)"/>
        <s v="Duct Sealing PTCS (17)"/>
        <s v="Commissioning Controls Sizing (17)"/>
        <s v="Heat Pumps (17)"/>
        <s v="HPEM (10-14)"/>
        <s v="Track &amp; Tune (10-14)"/>
        <s v="Opt. 2 Industrial Lighting (12-13)"/>
        <s v="Opt. 2 Industrial Non-Lighting (12-13)"/>
      </sharedItems>
    </cacheField>
    <cacheField name="Realization Rate" numFmtId="9">
      <sharedItems containsSemiMixedTypes="0" containsString="0" containsMixedTypes="0" containsNumber="1" containsInteger="1" count="0"/>
    </cacheField>
    <cacheField name="Population Size">
      <sharedItems containsMixedTypes="1" containsNumber="1" containsInteger="1" count="0"/>
    </cacheField>
    <cacheField name="Sample Size">
      <sharedItems containsSemiMixedTypes="0" containsString="0" containsMixedTypes="0" containsNumber="1" containsInteger="1" count="0"/>
    </cacheField>
    <cacheField name="Confidence level">
      <sharedItems containsMixedTypes="1" containsNumber="1" containsInteger="1" count="0"/>
    </cacheField>
    <cacheField name="Relative Precision">
      <sharedItems containsMixedTypes="1" containsNumber="1" containsInteger="1" count="0"/>
    </cacheField>
    <cacheField name="Lower Bound RR" numFmtId="9">
      <sharedItems containsString="0" containsBlank="1" containsMixedTypes="0" containsNumber="1" containsInteger="1" count="0"/>
    </cacheField>
    <cacheField name="Upper Bound RR" numFmtId="9">
      <sharedItems containsString="0" containsBlank="1" containsMixedTypes="0" containsNumber="1" containsInteger="1" count="0"/>
    </cacheField>
    <cacheField name="Precision - Type (Sampling only or Regression)" numFmtId="9">
      <sharedItems containsMixedTypes="0" count="0"/>
    </cacheField>
    <cacheField name="Reported Savings Quantity (MWh)">
      <sharedItems containsSemiMixedTypes="0" containsString="0" containsMixedTypes="0" containsNumber="1" containsInteger="1" count="0"/>
    </cacheField>
    <cacheField name="Evaluated Savings Quantity (MWh)">
      <sharedItems containsSemiMixedTypes="0" containsString="0" containsMixedTypes="0" containsNumber="1" containsInteger="1" count="0"/>
    </cacheField>
    <cacheField name="Evaluated Annual aMW " numFmtId="2">
      <sharedItems containsSemiMixedTypes="0" containsString="0" containsMixedTypes="0" containsNumber="1" containsInteger="1" count="0"/>
    </cacheField>
    <cacheField name="Reported Annual aMW " numFmtId="2">
      <sharedItems containsSemiMixedTypes="0" containsString="0" containsMixedTypes="0" containsNumber="1" containsInteger="1" count="0"/>
    </cacheField>
    <cacheField name="&quot;Reported Savings&quot; represents savings during the evaluation period?">
      <sharedItems containsBlank="1" containsMixedTypes="0" count="0"/>
    </cacheField>
    <cacheField name="Realization Rate Notes">
      <sharedItems containsBlank="1" containsMixedTypes="0" longText="1" count="0"/>
    </cacheField>
    <cacheField name="Measure Notes">
      <sharedItems containsBlank="1" containsMixedTypes="0" count="0"/>
    </cacheField>
    <cacheField name="Other Notes">
      <sharedItems containsBlank="1" containsMixedTypes="0" count="0"/>
    </cacheField>
    <cacheField name="Measure &amp; Study Period (for Graph)">
      <sharedItems containsMixedTypes="0" count="40">
        <s v="Insulation (14-15)"/>
        <s v="Windows (14-15)"/>
        <s v="Retail Lighting (15)"/>
        <s v="By-Request Lighting (15)"/>
        <s v="Opt. 1 Com/Ag Lighting (12-13)"/>
        <s v="Opt. 1 Com/Ag Non-Lighting (12-13)"/>
        <s v="Opt. 1 Custom Industrial (20-21)"/>
        <s v="Opt. 1 Industrial Lighting (12-13)"/>
        <s v="Opt. 1 Industrial Non-Lighting (12-13_"/>
        <s v="Opt. 2 Commercial Lighting (12-13)"/>
        <s v="Opt. 2 Commercial Non-Lighting (12-13)"/>
        <s v="Opt. 2 Custom Industrial (20-21)"/>
        <s v="Opt. 2 ESRP (12-13)"/>
        <s v="DHP Replacing eFAF (15-16)"/>
        <s v="DHP Replacing Zonal (15-16)"/>
        <s v="Prescriptive Duct Sealing (15-16)"/>
        <s v="ASHP Conversions (09-11)"/>
        <s v="ASHP Conversion w/ Duct Sealing (09-11)"/>
        <s v="Performance Duct Sealing (09-11)"/>
        <s v="Ductless Heat Pumps (17)"/>
        <s v="Advanced Power Strips (17)"/>
        <s v="Showerheads (17)"/>
        <s v="Heat Pump Water Heaters (17)"/>
        <s v="Transformer De-energization (17)"/>
        <s v="Green Motors (17)"/>
        <s v="Duct Sealing Prescriptive (17)"/>
        <s v="Duct Sealing PTCS (17)"/>
        <s v="Commissioning Controls Sizing (17)"/>
        <s v="Heat Pumps (17)"/>
        <s v="HPEM (10-14)"/>
        <s v="Track &amp; Tune (10-14)"/>
        <s v="DHP Replacing Zonal (18-19)"/>
        <s v="DHP Replacing eFAF (18-19)"/>
        <s v="ASHP Conversion w/ Duct Sealing (18-19)"/>
        <s v="ASHP Conversions (18-19)"/>
        <s v="VSHP w/ Duct Sealing (18-19)"/>
        <s v="VSHP (18-19)"/>
        <s v="Duct Sealing - PTCS &amp; Prescriptive (18-19)"/>
        <s v="Opt. 2 Industrial Lighting (12-13)"/>
        <s v="Opt. 2 Industrial Non-Lighting (12-13)"/>
      </sharedItems>
    </cacheField>
    <cacheField name="Link to study ">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40">
  <r>
    <x v="0"/>
    <s v="FY2014-2015"/>
    <d v="2018-02-01T00:00:00.000"/>
    <x v="0"/>
    <s v="Residential"/>
    <s v="Insulation"/>
    <x v="0"/>
    <n v="0.98"/>
    <n v="1146"/>
    <n v="1146"/>
    <n v="0.9"/>
    <n v="0.29"/>
    <n v="0.69"/>
    <n v="1.27"/>
    <s v="Regression"/>
    <n v="1525.326"/>
    <n v="1493.238"/>
    <n v="0.1704609589041096"/>
    <n v="0.17412397260273973"/>
    <s v="No - 2016 UES"/>
    <s v="savings close to December 2016 UES values - UES values in use by RTF are reflective of verified participant savings"/>
    <s v="combination of all heating zones and customer types"/>
    <s v="Reported savings are savings per site based on UES Dec. 2016 rather than actual claimed savings"/>
    <x v="0"/>
    <s v="https://www.bpa.gov/-/media/Aep/energy-efficiency/evaluation-projects-studies/1802-bpa-residential-impact-evaluation-final-report.pdf"/>
  </r>
  <r>
    <x v="0"/>
    <s v="FY2014-2015"/>
    <d v="2018-02-01T00:00:00.000"/>
    <x v="0"/>
    <s v="Residential"/>
    <s v="Windows"/>
    <x v="1"/>
    <n v="0.68"/>
    <n v="1378"/>
    <n v="1378"/>
    <n v="0.9"/>
    <n v="0.18"/>
    <n v="0.5"/>
    <n v="0.8600000000000001"/>
    <s v="Regression"/>
    <n v="1818.96"/>
    <n v="1230.6"/>
    <n v="0.1404794520547945"/>
    <n v="0.20764383561643837"/>
    <s v="No - 2016 UES"/>
    <s v="lower than expected savings - UES from December 2016 is closer to the evaluated savings than the reported UES"/>
    <s v="combination of all heating zones and customer types"/>
    <s v="18% precision on RR and 27% precision on savings estimate; reported savings are savings per site based on UES Dec. 2016 rather than actual claimed savings"/>
    <x v="1"/>
    <s v="https://www.bpa.gov/-/media/Aep/energy-efficiency/evaluation-projects-studies/1802-bpa-residential-impact-evaluation-final-report.pdf"/>
  </r>
  <r>
    <x v="1"/>
    <s v="FY2015"/>
    <d v="2017-02-01T00:00:00.000"/>
    <x v="1"/>
    <s v="Residential"/>
    <s v="Retail Lighting"/>
    <x v="2"/>
    <n v="1"/>
    <n v="3194"/>
    <n v="70"/>
    <n v="0.9"/>
    <n v="0.002"/>
    <n v="0.998"/>
    <n v="1.002"/>
    <s v="Sampling"/>
    <n v="44500.8"/>
    <n v="44588.4"/>
    <n v="5.09"/>
    <n v="5.08"/>
    <m/>
    <s v="data included in project documentation aligns very closely with measure data reported"/>
    <m/>
    <m/>
    <x v="2"/>
    <s v="https://www.bpa.gov/-/media/Aep/energy-efficiency/evaluation-projects-studies/170215-bpa-evaluation-ues-res-lighting-report.pdf"/>
  </r>
  <r>
    <x v="1"/>
    <s v="FY2015"/>
    <d v="2017-02-01T00:00:00.000"/>
    <x v="1"/>
    <s v="Residential"/>
    <s v="By-Request Lighting"/>
    <x v="3"/>
    <n v="0.929"/>
    <n v="337"/>
    <n v="40"/>
    <n v="0.9"/>
    <n v="0.055"/>
    <n v="0.874"/>
    <n v="0.9840000000000001"/>
    <s v="Sampling"/>
    <n v="4292.4"/>
    <n v="4029.6000000000004"/>
    <n v="0.46"/>
    <n v="0.48999999999999994"/>
    <m/>
    <s v="unable to verify 100% of the reported savings for this measure group due to 1) quantity adjustments, 2) reassignment of reference numbers and UES values for a few sampled projects, 3) one utility was unable to provide all necessary documentation, resulting in 0 savings assigned fora  few sampled measures "/>
    <m/>
    <m/>
    <x v="3"/>
    <s v="https://www.bpa.gov/-/media/Aep/energy-efficiency/evaluation-projects-studies/170215-bpa-evaluation-ues-res-lighting-report.pdf"/>
  </r>
  <r>
    <x v="2"/>
    <s v="FY2012-13"/>
    <d v="2015-11-01T00:00:00.000"/>
    <x v="2"/>
    <s v="Commercial, Industrial &amp; Ag"/>
    <s v="Opt. 1 Com/Ag Lighting"/>
    <x v="4"/>
    <n v="0.93"/>
    <n v="3845"/>
    <n v="33"/>
    <n v="0.9"/>
    <n v="0.05"/>
    <n v="0.88"/>
    <n v="0.9800000000000001"/>
    <s v="Sampling"/>
    <n v="96103"/>
    <n v="89471"/>
    <n v="10.213584474885845"/>
    <n v="10.970662100456622"/>
    <m/>
    <s v="reported savings are different than evaluation savings by more than the sampling error "/>
    <m/>
    <m/>
    <x v="4"/>
    <s v="https://www.bpa.gov/-/media/Aep/energy-efficiency/evaluation-projects-studies/impact-evaluation-site-specific-portfolio-final-report.pdf"/>
  </r>
  <r>
    <x v="2"/>
    <s v="FY2012-13"/>
    <d v="2015-11-01T00:00:00.000"/>
    <x v="2"/>
    <s v="Commercial, Industrial &amp; Ag"/>
    <s v="Opt. 1 Com/Ag Non-Lighting"/>
    <x v="5"/>
    <n v="1.15"/>
    <n v="200"/>
    <n v="8"/>
    <n v="0.8"/>
    <n v="0.19"/>
    <n v="0.96"/>
    <n v="1.3399999999999999"/>
    <s v="Sampling"/>
    <n v="26094"/>
    <n v="29886"/>
    <n v="3.4116438356164385"/>
    <n v="2.978767123287671"/>
    <m/>
    <s v="evaluated savings were verified to be close to the reported savings"/>
    <m/>
    <m/>
    <x v="5"/>
    <s v="https://www.bpa.gov/-/media/Aep/energy-efficiency/evaluation-projects-studies/impact-evaluation-site-specific-portfolio-final-report.pdf"/>
  </r>
  <r>
    <x v="3"/>
    <s v="FY2020-2021"/>
    <d v="2022-07-01T00:00:00.000"/>
    <x v="2"/>
    <s v="Industrial"/>
    <s v="Opt. 1 Industrial Non-Lighting"/>
    <x v="6"/>
    <n v="0.85"/>
    <n v="77"/>
    <n v="40"/>
    <n v="0.9"/>
    <n v="0.07"/>
    <n v="0.78"/>
    <n v="0.92"/>
    <s v="Sampling"/>
    <n v="38944"/>
    <n v="33230"/>
    <n v="3.7933789954337898"/>
    <n v="4.445662100456621"/>
    <s v="Yes"/>
    <m/>
    <m/>
    <m/>
    <x v="6"/>
    <s v="https://www.bpa.gov/-/media/Aep/energy-efficiency/evaluation-projects-studies/2020-2021-custom-industrial-impact-evaluation-for-option1-utilities-final-report.pdf"/>
  </r>
  <r>
    <x v="2"/>
    <s v="FY2012-13"/>
    <d v="2015-11-01T00:00:00.000"/>
    <x v="2"/>
    <s v="Commercial, Industrial &amp; Ag"/>
    <s v="Opt. 1 Industrial Lighting"/>
    <x v="7"/>
    <n v="0.93"/>
    <n v="303"/>
    <n v="9"/>
    <n v="0.8"/>
    <n v="0.08"/>
    <n v="0.8500000000000001"/>
    <n v="1.01"/>
    <s v="Sampling"/>
    <n v="35455"/>
    <n v="33117"/>
    <n v="3.7804794520547946"/>
    <n v="4.047374429223744"/>
    <m/>
    <s v="evaluated savings were verified to be close to the reported savings"/>
    <m/>
    <m/>
    <x v="7"/>
    <s v="https://www.bpa.gov/-/media/Aep/energy-efficiency/evaluation-projects-studies/impact-evaluation-site-specific-portfolio-final-report.pdf"/>
  </r>
  <r>
    <x v="2"/>
    <s v="FY2012-13"/>
    <d v="2015-11-01T00:00:00.000"/>
    <x v="2"/>
    <s v="Commercial, Industrial &amp; Ag"/>
    <s v="Opt. 1 Industrial Non-Lighting"/>
    <x v="8"/>
    <n v="0.99"/>
    <n v="226"/>
    <n v="21"/>
    <n v="0.9"/>
    <n v="0.05"/>
    <n v="0.94"/>
    <n v="1.04"/>
    <s v="Sampling"/>
    <n v="121830"/>
    <n v="120332"/>
    <n v="13.736529680365297"/>
    <n v="13.907534246575343"/>
    <m/>
    <s v="evaluated savings were verified to be close to the reported savings"/>
    <m/>
    <m/>
    <x v="8"/>
    <s v="https://www.bpa.gov/-/media/Aep/energy-efficiency/evaluation-projects-studies/impact-evaluation-site-specific-portfolio-final-report.pdf"/>
  </r>
  <r>
    <x v="2"/>
    <s v="FY2012-13"/>
    <d v="2015-11-01T00:00:00.000"/>
    <x v="2"/>
    <s v="Commercial, Industrial &amp; Ag"/>
    <s v="Opt. 2 Commercial Lighting"/>
    <x v="9"/>
    <n v="1.09"/>
    <n v="2369"/>
    <n v="62"/>
    <n v="0.9"/>
    <n v="0.08"/>
    <n v="1.01"/>
    <n v="1.1700000000000002"/>
    <s v="Sampling"/>
    <n v="94300"/>
    <n v="102407"/>
    <n v="11.690296803652968"/>
    <n v="10.764840182648403"/>
    <m/>
    <s v="evaluated savings were verified to be close to the reported savings"/>
    <m/>
    <m/>
    <x v="9"/>
    <s v="https://www.bpa.gov/-/media/Aep/energy-efficiency/evaluation-projects-studies/impact-evaluation-site-specific-portfolio-final-report.pdf"/>
  </r>
  <r>
    <x v="2"/>
    <s v="FY2012-13"/>
    <d v="2015-11-01T00:00:00.000"/>
    <x v="2"/>
    <s v="Commercial, Industrial &amp; Ag"/>
    <s v="Opt. 2 Commercial Non-Lighting"/>
    <x v="10"/>
    <n v="1.1"/>
    <n v="347"/>
    <n v="23"/>
    <n v="0.9"/>
    <n v="0.08"/>
    <n v="1.02"/>
    <n v="1.1800000000000002"/>
    <s v="Sampling"/>
    <n v="36904"/>
    <n v="40776"/>
    <n v="4.654794520547945"/>
    <n v="4.212785388127854"/>
    <m/>
    <s v="reported savings are different than evaluation savings by more than the sampling error "/>
    <m/>
    <m/>
    <x v="10"/>
    <s v="https://www.bpa.gov/-/media/Aep/energy-efficiency/evaluation-projects-studies/impact-evaluation-site-specific-portfolio-final-report.pdf"/>
  </r>
  <r>
    <x v="4"/>
    <s v="FY2020-2021"/>
    <d v="2023-03-17T00:00:00.000"/>
    <x v="2"/>
    <s v="Industrial"/>
    <s v="Opt. 2 Industrial Non-Lighting"/>
    <x v="6"/>
    <n v="1.02"/>
    <n v="29"/>
    <n v="22"/>
    <n v="0.9"/>
    <n v="0.02"/>
    <n v="1"/>
    <n v="1.04"/>
    <s v="Sampling"/>
    <n v="8876"/>
    <n v="9053"/>
    <n v="1.0334474885844749"/>
    <n v="1.0132420091324201"/>
    <s v="Yes"/>
    <m/>
    <m/>
    <m/>
    <x v="11"/>
    <m/>
  </r>
  <r>
    <x v="2"/>
    <s v="FY2012-13"/>
    <d v="2015-11-01T00:00:00.000"/>
    <x v="2"/>
    <s v="Commercial, Industrial &amp; Ag"/>
    <s v="ESRP"/>
    <x v="11"/>
    <n v="0.49"/>
    <n v="15"/>
    <n v="5"/>
    <n v="0.8"/>
    <n v="0.18"/>
    <n v="0.31"/>
    <n v="0.6699999999999999"/>
    <s v="Sampling"/>
    <n v="26433"/>
    <n v="13078"/>
    <n v="1.4929223744292237"/>
    <n v="3.0174657534246574"/>
    <m/>
    <s v="evaluated savings are substantially lower than reported, but does not have large impact on portfolio due to small size. The factors leading to this low realization rate include incomplete implementation of measure and downstream reuse of a large portion of the &quot;saved&quot; water"/>
    <s v="includes 5 selected measures from the Energy Smart Reserve Power program "/>
    <m/>
    <x v="12"/>
    <s v="https://www.bpa.gov/-/media/Aep/energy-efficiency/evaluation-projects-studies/impact-evaluation-site-specific-portfolio-final-report.pdf"/>
  </r>
  <r>
    <x v="5"/>
    <s v="FY2015 and FY2016"/>
    <d v="2018-09-01T00:00:00.000"/>
    <x v="0"/>
    <s v="Residential"/>
    <s v="DHP Replacing eFAF"/>
    <x v="12"/>
    <n v="0.503"/>
    <n v="603"/>
    <n v="603"/>
    <n v="0.9"/>
    <n v="0.092"/>
    <n v="0.41100000000000003"/>
    <n v="0.595"/>
    <s v="Regression"/>
    <n v="2847.366"/>
    <n v="1432.1"/>
    <n v="0.16348173515981734"/>
    <n v="0.3250417808219178"/>
    <s v="No - v6 UES"/>
    <s v="savings lower than expected, driven by some continued use of the eFAF or displacement of non-electric heat"/>
    <s v="combination of all heating zones and customer types"/>
    <m/>
    <x v="13"/>
    <s v="https://www.bpa.gov/-/media/Aep/energy-efficiency/evaluation-projects-studies/2018-19-bpa-res-hvac-impact-evaluation-final-report.pdf"/>
  </r>
  <r>
    <x v="5"/>
    <s v="FY2015 and FY2016"/>
    <d v="2018-09-01T00:00:00.000"/>
    <x v="0"/>
    <s v="Residential"/>
    <s v="DHP Replacing Zonal"/>
    <x v="13"/>
    <n v="0.843"/>
    <n v="1738"/>
    <n v="1738"/>
    <n v="0.9"/>
    <n v="0.099"/>
    <n v="0.744"/>
    <n v="0.942"/>
    <s v="Regression"/>
    <n v="3521.188"/>
    <n v="2970.2"/>
    <n v="0.33906392694063925"/>
    <n v="0.401962100456621"/>
    <s v="No - v6 UES"/>
    <s v="evaluated savings are close to the current UES, but slightly lower; the upper error bound of the evaluation results is 6% lower than the average current UES"/>
    <s v="combination of all heating zones and customer types"/>
    <m/>
    <x v="14"/>
    <s v="https://www.bpa.gov/-/media/Aep/energy-efficiency/evaluation-projects-studies/2018-19-bpa-res-hvac-impact-evaluation-final-report.pdf"/>
  </r>
  <r>
    <x v="5"/>
    <s v="FY2015 and FY2016"/>
    <d v="2018-09-01T00:00:00.000"/>
    <x v="0"/>
    <s v="Residential"/>
    <s v="Prescriptive Duct Sealing "/>
    <x v="14"/>
    <n v="-0.262"/>
    <n v="486"/>
    <n v="486"/>
    <n v="0.9"/>
    <n v="0.69"/>
    <n v="-0.952"/>
    <n v="0.42799999999999994"/>
    <s v="Regression"/>
    <n v="244.458"/>
    <n v="-64.2"/>
    <n v="-0.007328767123287672"/>
    <n v="0.027906164383561645"/>
    <s v="No - v6 UES"/>
    <s v="evaluated savings had large error bands but demonstrate low savings on average. Evaluated savings per site were negative: -132 kWh/year"/>
    <s v="combination of all heating zones and customer types"/>
    <m/>
    <x v="15"/>
    <s v="https://www.bpa.gov/-/media/Aep/energy-efficiency/evaluation-projects-studies/2018-19-bpa-res-hvac-impact-evaluation-final-report.pdf"/>
  </r>
  <r>
    <x v="6"/>
    <s v="FY2009-2011"/>
    <d v="2018-02-01T00:00:00.000"/>
    <x v="0"/>
    <s v="Residential"/>
    <s v="ASHP Conversions"/>
    <x v="15"/>
    <n v="0.62"/>
    <s v="Not defined"/>
    <n v="414"/>
    <s v="Not defined"/>
    <n v="0.1"/>
    <n v="0.52"/>
    <n v="0.72"/>
    <s v="Regression"/>
    <n v="2486.484"/>
    <n v="1533.9"/>
    <n v="0.1751027397260274"/>
    <n v="0.283845205479452"/>
    <s v="No - 2016 UES"/>
    <s v="savings lower than expected - eval team found participants used less heating than expected"/>
    <s v="combination of all heating zones and single family and manufactured homes"/>
    <s v="10% precision on RR and 16% precision on savings estimate"/>
    <x v="16"/>
    <s v="https://www.bpa.gov/-/media/Aep/energy-efficiency/evaluation-projects-studies/1802-bpa-residential-impact-evaluation-final-report.pdf"/>
  </r>
  <r>
    <x v="6"/>
    <s v="FY2009-2011"/>
    <d v="2018-02-01T00:00:00.000"/>
    <x v="0"/>
    <s v="Residential"/>
    <s v="ASHP Conversion w/ Duct Sealing "/>
    <x v="16"/>
    <n v="0.56"/>
    <s v="Not defined"/>
    <n v="829"/>
    <s v="Not defined"/>
    <n v="0.07"/>
    <n v="0.49000000000000005"/>
    <n v="0.6300000000000001"/>
    <s v="Regression"/>
    <n v="4634.939"/>
    <n v="2574.9"/>
    <n v="0.2939383561643836"/>
    <n v="0.5291026255707763"/>
    <s v="No - 2016 UES"/>
    <s v="savings lower than expected - eval team found participants used less heating than expected"/>
    <s v="combination of all heating zones and single family and manufactured homes"/>
    <s v="7% precision on RR and 12% precision on savings estimate"/>
    <x v="17"/>
    <s v="https://www.bpa.gov/-/media/Aep/energy-efficiency/evaluation-projects-studies/1802-bpa-residential-impact-evaluation-final-report.pdf"/>
  </r>
  <r>
    <x v="6"/>
    <s v="FY2009-2011"/>
    <d v="2018-02-01T00:00:00.000"/>
    <x v="0"/>
    <s v="Residential"/>
    <s v="Performance Duct Sealing"/>
    <x v="17"/>
    <n v="0.33"/>
    <s v="Not defined"/>
    <n v="6187"/>
    <s v="Not defined"/>
    <n v="0.15"/>
    <n v="0.18000000000000002"/>
    <n v="0.48"/>
    <s v="Regression"/>
    <n v="6100.382"/>
    <n v="1992.2"/>
    <n v="0.2274200913242009"/>
    <n v="0.6963906392694064"/>
    <s v="No - 2016 UES"/>
    <s v="savings variable and lower than expected"/>
    <s v="combination of all heating zones and single family and manufactured homes"/>
    <s v="15% precision on RR and 46% precision on savings estimate"/>
    <x v="18"/>
    <s v="https://www.bpa.gov/-/media/Aep/energy-efficiency/evaluation-projects-studies/1802-bpa-residential-impact-evaluation-final-report.pdf"/>
  </r>
  <r>
    <x v="7"/>
    <s v="CY2017"/>
    <d v="2018-05-01T00:00:00.000"/>
    <x v="1"/>
    <s v="Residential"/>
    <s v="Ductless Heat Pumps "/>
    <x v="18"/>
    <n v="0.95"/>
    <s v="Not defined"/>
    <n v="118"/>
    <n v="0.9"/>
    <n v="0.027"/>
    <n v="0.9229999999999999"/>
    <n v="0.977"/>
    <s v="Sampling"/>
    <n v="8847.6"/>
    <n v="8322"/>
    <n v="0.95"/>
    <n v="1.01"/>
    <m/>
    <s v="incomplete or ineligible information on installation forms was primary reason DHP zonal projects received a realization rate less than 1.0 "/>
    <m/>
    <m/>
    <x v="19"/>
    <s v="https://www.bpa.gov/-/media/Aep/energy-efficiency/evaluation-projects-studies/bpa-2017-delivery-verification-evaluation-report.pdf"/>
  </r>
  <r>
    <x v="7"/>
    <s v="CY2017"/>
    <d v="2018-05-01T00:00:00.000"/>
    <x v="1"/>
    <s v="Residential"/>
    <s v="Advanced Power Strips"/>
    <x v="19"/>
    <n v="1"/>
    <s v="Not defined"/>
    <n v="8"/>
    <n v="0.9"/>
    <n v="0.016"/>
    <n v="0.984"/>
    <n v="1.016"/>
    <s v="Sampling"/>
    <n v="6219.599999999999"/>
    <n v="6219.599999999999"/>
    <n v="0.71"/>
    <n v="0.71"/>
    <m/>
    <m/>
    <s v="by-request and direct install only"/>
    <m/>
    <x v="20"/>
    <s v="https://www.bpa.gov/-/media/Aep/energy-efficiency/evaluation-projects-studies/bpa-2017-delivery-verification-evaluation-report.pdf"/>
  </r>
  <r>
    <x v="7"/>
    <s v="CY2017"/>
    <d v="2018-05-01T00:00:00.000"/>
    <x v="1"/>
    <s v="Residential"/>
    <s v="Showerheads"/>
    <x v="20"/>
    <n v="1"/>
    <s v="Not defined"/>
    <n v="15"/>
    <n v="0.9"/>
    <n v="0.0571"/>
    <n v="0.9429"/>
    <n v="1.0571"/>
    <s v="Sampling"/>
    <n v="8234.4"/>
    <n v="8234.4"/>
    <n v="0.94"/>
    <n v="0.94"/>
    <m/>
    <m/>
    <s v="by-request , direct install, and retail"/>
    <m/>
    <x v="21"/>
    <s v="https://www.bpa.gov/-/media/Aep/energy-efficiency/evaluation-projects-studies/bpa-2017-delivery-verification-evaluation-report.pdf"/>
  </r>
  <r>
    <x v="7"/>
    <s v="CY2017"/>
    <d v="2018-05-01T00:00:00.000"/>
    <x v="1"/>
    <s v="Residential"/>
    <s v="Heat Pump Water Heaters"/>
    <x v="21"/>
    <n v="1.09"/>
    <s v="Not defined"/>
    <n v="43"/>
    <n v="0.9"/>
    <n v="0.07"/>
    <n v="1.02"/>
    <n v="1.1600000000000001"/>
    <s v="Sampling"/>
    <n v="963.6"/>
    <n v="963.6"/>
    <n v="0.11"/>
    <n v="0.11"/>
    <m/>
    <s v="primary reason realization rate was not equal to one was discrepancies in the reported versus verified install location and efficiency tier"/>
    <s v="by-request only - mostly single family homes"/>
    <m/>
    <x v="22"/>
    <s v="https://www.bpa.gov/-/media/Aep/energy-efficiency/evaluation-projects-studies/bpa-2017-delivery-verification-evaluation-report.pdf"/>
  </r>
  <r>
    <x v="7"/>
    <s v="CY2017"/>
    <d v="2018-05-01T00:00:00.000"/>
    <x v="1"/>
    <s v="Agricultural &amp; Industrial"/>
    <s v="Transformer De-energization"/>
    <x v="22"/>
    <n v="1"/>
    <n v="3"/>
    <n v="3"/>
    <n v="0.9"/>
    <s v="N/A"/>
    <m/>
    <m/>
    <s v="N/A"/>
    <n v="1752"/>
    <n v="1752"/>
    <n v="0.2"/>
    <n v="0.2"/>
    <m/>
    <m/>
    <m/>
    <m/>
    <x v="23"/>
    <s v="https://www.bpa.gov/-/media/Aep/energy-efficiency/evaluation-projects-studies/bpa-2017-delivery-verification-evaluation-report.pdf"/>
  </r>
  <r>
    <x v="7"/>
    <s v="CY2017"/>
    <d v="2018-05-01T00:00:00.000"/>
    <x v="1"/>
    <s v="Agricultural &amp; Industrial"/>
    <s v="Green Motors"/>
    <x v="23"/>
    <n v="1"/>
    <s v="Not defined"/>
    <n v="13"/>
    <n v="0.9"/>
    <s v="N/A"/>
    <m/>
    <m/>
    <s v="N/A"/>
    <n v="525.6"/>
    <n v="525.6"/>
    <n v="0.06"/>
    <n v="0.060000000000000005"/>
    <m/>
    <m/>
    <m/>
    <m/>
    <x v="24"/>
    <s v="https://www.bpa.gov/-/media/Aep/energy-efficiency/evaluation-projects-studies/bpa-2017-delivery-verification-evaluation-report.pdf"/>
  </r>
  <r>
    <x v="7"/>
    <s v="CY2017"/>
    <d v="2018-05-01T00:00:00.000"/>
    <x v="3"/>
    <s v="Residential"/>
    <s v="Duct Sealing Prescriptive"/>
    <x v="24"/>
    <n v="0.78"/>
    <n v="1451"/>
    <n v="20"/>
    <s v="Not defined"/>
    <s v="N/A"/>
    <m/>
    <m/>
    <s v="N/A"/>
    <n v="2190"/>
    <n v="1752"/>
    <n v="0.2"/>
    <n v="0.25"/>
    <m/>
    <s v="Pilot evaluation using QC results - 0 savings for any project missing DV information."/>
    <m/>
    <s v="no precision reported"/>
    <x v="25"/>
    <s v="https://www.bpa.gov/-/media/Aep/energy-efficiency/evaluation-projects-studies/bpa-2017-delivery-verification-evaluation-report.pdf"/>
  </r>
  <r>
    <x v="7"/>
    <s v="CY2017"/>
    <d v="2018-05-01T00:00:00.000"/>
    <x v="3"/>
    <s v="Residential"/>
    <s v="Duct Sealing PTCS"/>
    <x v="25"/>
    <n v="0.57"/>
    <n v="292"/>
    <n v="34"/>
    <s v="Not defined"/>
    <s v="N/A"/>
    <m/>
    <m/>
    <s v="N/A"/>
    <n v="613.2"/>
    <n v="350.40000000000003"/>
    <n v="0.04"/>
    <n v="0.07"/>
    <m/>
    <s v="Pilot evaluation using QC results - 0 savings for any project missing DV information."/>
    <m/>
    <s v="no precision reported"/>
    <x v="26"/>
    <s v="https://www.bpa.gov/-/media/Aep/energy-efficiency/evaluation-projects-studies/bpa-2017-delivery-verification-evaluation-report.pdf"/>
  </r>
  <r>
    <x v="7"/>
    <s v="CY2017"/>
    <d v="2018-05-01T00:00:00.000"/>
    <x v="3"/>
    <s v="Residential"/>
    <s v="Commissioning Controls Sizing"/>
    <x v="26"/>
    <n v="0.42"/>
    <n v="129"/>
    <n v="15"/>
    <s v="Not defined"/>
    <s v="N/A"/>
    <m/>
    <m/>
    <s v="N/A"/>
    <n v="175.20000000000002"/>
    <n v="87.60000000000001"/>
    <n v="0.01"/>
    <n v="0.02"/>
    <m/>
    <s v="Pilot evaluation using QC results - 0 savings for any project missing DV information."/>
    <m/>
    <s v="no precision reported"/>
    <x v="27"/>
    <s v="https://www.bpa.gov/-/media/Aep/energy-efficiency/evaluation-projects-studies/bpa-2017-delivery-verification-evaluation-report.pdf"/>
  </r>
  <r>
    <x v="7"/>
    <s v="CY2017"/>
    <d v="2018-05-01T00:00:00.000"/>
    <x v="3"/>
    <s v="Residential"/>
    <s v="Heat Pumps"/>
    <x v="27"/>
    <n v="0.37"/>
    <n v="1641"/>
    <n v="69"/>
    <s v="Not defined"/>
    <s v="N/A"/>
    <m/>
    <m/>
    <s v="N/A"/>
    <n v="8584.8"/>
    <n v="3153.6"/>
    <n v="0.36"/>
    <n v="0.9799999999999999"/>
    <m/>
    <s v="Pilot evaluation using QC results - 0 savings for any project missing DV information."/>
    <m/>
    <s v="no precision reported"/>
    <x v="28"/>
    <s v="https://www.bpa.gov/-/media/Aep/energy-efficiency/evaluation-projects-studies/bpa-2017-delivery-verification-evaluation-report.pdf"/>
  </r>
  <r>
    <x v="8"/>
    <s v="CY 2010-2014"/>
    <d v="2017-02-01T00:00:00.000"/>
    <x v="0"/>
    <s v="Industrial"/>
    <s v="HPEM"/>
    <x v="28"/>
    <n v="0.79"/>
    <n v="47"/>
    <n v="24"/>
    <n v="0.8"/>
    <s v="N/A"/>
    <m/>
    <m/>
    <s v="N/A"/>
    <n v="14053"/>
    <n v="11136"/>
    <n v="1.2712328767123289"/>
    <n v="1.6042237442922374"/>
    <m/>
    <s v="realization rate low because negative savings estimates were recorded as zeros"/>
    <s v="includes all HPEM 1 and HPEM 2 facilities"/>
    <s v="no precision due to lack of analysis of capital project"/>
    <x v="29"/>
    <s v="https://www.bpa.gov/-/media/Aep/energy-efficiency/evaluation-projects-studies/170222-bpa-industrial-sem-impact-evaluation-report.pdf"/>
  </r>
  <r>
    <x v="8"/>
    <s v="CY 2010-2014"/>
    <d v="2017-02-01T00:00:00.000"/>
    <x v="0"/>
    <s v="Industrial"/>
    <s v="Track &amp; Tune"/>
    <x v="29"/>
    <n v="1.05"/>
    <n v="18"/>
    <n v="7"/>
    <n v="0.8"/>
    <s v="N/A"/>
    <m/>
    <m/>
    <s v="N/A"/>
    <n v="9631"/>
    <n v="10068"/>
    <n v="1.1493150684931508"/>
    <n v="1.0994292237442922"/>
    <m/>
    <s v="realization rate greater than 1.0 because evaluated savings significantly higher than the MT&amp;R savings for one T&amp;T facility"/>
    <s v="sample of Track &amp; Tune facilities"/>
    <s v="no precision due to lack of analysis of capital project"/>
    <x v="30"/>
    <s v="https://www.bpa.gov/-/media/Aep/energy-efficiency/evaluation-projects-studies/170222-bpa-industrial-sem-impact-evaluation-report.pdf"/>
  </r>
  <r>
    <x v="5"/>
    <s v="CY 2018-2019"/>
    <d v="2021-03-12T00:00:00.000"/>
    <x v="0"/>
    <s v="Residential"/>
    <s v="DHP Replacing Zonal"/>
    <x v="6"/>
    <n v="0.44"/>
    <n v="11219"/>
    <n v="450"/>
    <n v="0.9"/>
    <s v="N/A"/>
    <n v="0.32"/>
    <n v="0.57"/>
    <s v="Regression"/>
    <n v="894.8863636363636"/>
    <n v="393.75"/>
    <n v="0.0449486301369863"/>
    <n v="0.10215597758405977"/>
    <s v="Yes"/>
    <m/>
    <m/>
    <m/>
    <x v="31"/>
    <s v="https://www.bpa.gov/-/media/Aep/energy-efficiency/evaluation-projects-studies/2018-19-bpa-res-hvac-impact-evaluation-final-report.pdf"/>
  </r>
  <r>
    <x v="5"/>
    <s v="CY 2018-2019"/>
    <d v="2021-03-12T00:00:00.000"/>
    <x v="0"/>
    <s v="Residential"/>
    <s v="DHP Replacing eFAF - Heating Zone 3"/>
    <x v="6"/>
    <n v="0.69"/>
    <n v="163"/>
    <n v="39"/>
    <n v="0.9"/>
    <s v="N/A"/>
    <n v="0.36"/>
    <n v="1.01"/>
    <s v="Regression"/>
    <n v="102.47391304347826"/>
    <n v="70.707"/>
    <n v="0.008071575342465753"/>
    <n v="0.011697935278935874"/>
    <s v="Yes"/>
    <m/>
    <m/>
    <m/>
    <x v="32"/>
    <s v="https://www.bpa.gov/-/media/Aep/energy-efficiency/evaluation-projects-studies/2018-19-bpa-res-hvac-impact-evaluation-final-report.pdf"/>
  </r>
  <r>
    <x v="5"/>
    <s v="CY 2018-2019"/>
    <d v="2021-03-12T00:00:00.000"/>
    <x v="0"/>
    <s v="Residential"/>
    <s v="ASHP Conversion w/ Duct Sealing "/>
    <x v="6"/>
    <n v="0.34"/>
    <s v="NA"/>
    <n v="35"/>
    <n v="0.9"/>
    <s v="N/A"/>
    <n v="0.14"/>
    <n v="0.54"/>
    <s v="Regression"/>
    <n v="267.95588235294116"/>
    <n v="91.105"/>
    <n v="0.010400114155251142"/>
    <n v="0.030588571044856298"/>
    <s v="Yes"/>
    <s v="Measure not offered during study time period; reported late so included in evaluation"/>
    <m/>
    <m/>
    <x v="33"/>
    <s v="https://www.bpa.gov/-/media/Aep/energy-efficiency/evaluation-projects-studies/2018-19-bpa-res-hvac-impact-evaluation-final-report.pdf"/>
  </r>
  <r>
    <x v="5"/>
    <s v="CY 2018-2019"/>
    <d v="2021-03-12T00:00:00.000"/>
    <x v="0"/>
    <s v="Residential"/>
    <s v="ASHP Conversions"/>
    <x v="6"/>
    <n v="0.63"/>
    <n v="1953"/>
    <n v="176"/>
    <n v="0.9"/>
    <s v="N/A"/>
    <n v="0.44"/>
    <n v="0.83"/>
    <s v="Regression"/>
    <n v="1143.7206349206351"/>
    <n v="720.5440000000001"/>
    <n v="0.08225388127853882"/>
    <n v="0.130561716315141"/>
    <s v="Yes"/>
    <m/>
    <m/>
    <m/>
    <x v="34"/>
    <s v="https://www.bpa.gov/-/media/Aep/energy-efficiency/evaluation-projects-studies/2018-19-bpa-res-hvac-impact-evaluation-final-report.pdf"/>
  </r>
  <r>
    <x v="5"/>
    <s v="CY 2018-2019"/>
    <d v="2021-03-12T00:00:00.000"/>
    <x v="0"/>
    <s v="Residential"/>
    <s v="VSHP w/ Duct Sealing"/>
    <x v="6"/>
    <n v="0.66"/>
    <s v="NA"/>
    <n v="22"/>
    <n v="0.9"/>
    <s v="N/A"/>
    <n v="0.54"/>
    <n v="0.78"/>
    <s v="Regression"/>
    <n v="182.4333333333333"/>
    <n v="120.40599999999999"/>
    <n v="0.013744977168949771"/>
    <n v="0.020825722983257227"/>
    <s v="Yes"/>
    <s v="Measure not offered during study time period; reported late so included in evaluation"/>
    <m/>
    <m/>
    <x v="35"/>
    <s v="https://www.bpa.gov/-/media/Aep/energy-efficiency/evaluation-projects-studies/2018-19-bpa-res-hvac-impact-evaluation-final-report.pdf"/>
  </r>
  <r>
    <x v="5"/>
    <s v="CY 2018-2019"/>
    <d v="2021-03-12T00:00:00.000"/>
    <x v="0"/>
    <s v="Residential"/>
    <s v="VSHP"/>
    <x v="6"/>
    <n v="0.15"/>
    <n v="599"/>
    <n v="48"/>
    <n v="0.9"/>
    <s v="N/A"/>
    <n v="0.02"/>
    <n v="0.29"/>
    <s v="Regression"/>
    <n v="352.32"/>
    <n v="52.848"/>
    <n v="0.006032876712328767"/>
    <n v="0.04021917808219178"/>
    <s v="Yes"/>
    <m/>
    <m/>
    <m/>
    <x v="36"/>
    <s v="https://www.bpa.gov/-/media/Aep/energy-efficiency/evaluation-projects-studies/2018-19-bpa-res-hvac-impact-evaluation-final-report.pdf"/>
  </r>
  <r>
    <x v="5"/>
    <s v="CY 2018-2019"/>
    <d v="2021-03-12T00:00:00.000"/>
    <x v="0"/>
    <s v="Residential"/>
    <s v="Duct Sealing - PTCS &amp; Prescriptive"/>
    <x v="6"/>
    <n v="2.44"/>
    <n v="5266"/>
    <n v="238"/>
    <n v="0.9"/>
    <s v="N/A"/>
    <n v="2.01"/>
    <n v="2.87"/>
    <s v="Regression"/>
    <n v="233.80573770491804"/>
    <n v="570.486"/>
    <n v="0.06512397260273972"/>
    <n v="0.026690152706040873"/>
    <s v="Yes"/>
    <m/>
    <m/>
    <m/>
    <x v="37"/>
    <s v="https://www.bpa.gov/-/media/Aep/energy-efficiency/evaluation-projects-studies/2018-19-bpa-res-hvac-impact-evaluation-final-report.pdf"/>
  </r>
  <r>
    <x v="2"/>
    <s v="FY2012-13"/>
    <d v="2015-11-01T00:00:00.000"/>
    <x v="2"/>
    <s v="Commercial, Industrial &amp; Ag"/>
    <s v="Opt. 2 Industrial Lighting"/>
    <x v="30"/>
    <n v="1.02"/>
    <n v="119"/>
    <n v="24"/>
    <n v="0.9"/>
    <n v="0.03"/>
    <n v="0.99"/>
    <n v="1.05"/>
    <s v="Sampling"/>
    <n v="10244"/>
    <n v="10443"/>
    <n v="1.1921232876712329"/>
    <n v="1.1694063926940639"/>
    <m/>
    <s v="evaluated savings were verified to be close to the reported savings"/>
    <m/>
    <m/>
    <x v="38"/>
    <s v="https://www.bpa.gov/-/media/Aep/energy-efficiency/evaluation-projects-studies/impact-evaluation-site-specific-portfolio-final-report.pdf"/>
  </r>
  <r>
    <x v="2"/>
    <s v="FY2012-13"/>
    <d v="2015-11-01T00:00:00.000"/>
    <x v="2"/>
    <s v="Commercial, Industrial &amp; Ag"/>
    <s v="Opt. 2 Industrial Non-Lighting"/>
    <x v="31"/>
    <n v="1.01"/>
    <n v="77"/>
    <n v="20"/>
    <n v="0.9"/>
    <n v="0.07"/>
    <n v="0.94"/>
    <n v="1.08"/>
    <s v="Sampling"/>
    <n v="24143"/>
    <n v="24484"/>
    <n v="2.7949771689497718"/>
    <n v="2.756050228310502"/>
    <m/>
    <s v="evaluated savings were verified to be close to the reported savings"/>
    <m/>
    <m/>
    <x v="39"/>
    <s v="https://www.bpa.gov/-/media/Aep/energy-efficiency/evaluation-projects-studies/impact-evaluation-site-specific-portfolio-final-report.pdf"/>
  </r>
</pivotCacheRecord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5.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1" preserveFormatting="1" useAutoFormatting="1" itemPrintTitles="1" compactData="0" createdVersion="6" updatedVersion="8" indent="0" multipleFieldFilters="0" showMemberPropertyTips="1">
  <location ref="A84:D102" firstHeaderRow="0" firstDataRow="1" firstDataCol="1" rowPageCount="2" colPageCount="1"/>
  <pivotFields count="25">
    <pivotField axis="axisPage" showAll="0">
      <items count="10">
        <item x="6"/>
        <item x="5"/>
        <item x="0"/>
        <item x="2"/>
        <item x="1"/>
        <item x="7"/>
        <item x="8"/>
        <item x="3"/>
        <item x="4"/>
        <item t="default"/>
      </items>
    </pivotField>
    <pivotField showAll="0"/>
    <pivotField showAll="0"/>
    <pivotField axis="axisPage" showAll="0" multipleItemSelectionAllowed="1">
      <items count="5">
        <item h="1" x="1"/>
        <item h="1" x="2"/>
        <item h="1" x="3"/>
        <item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18">
    <i>
      <x v="1"/>
    </i>
    <i>
      <x v="2"/>
    </i>
    <i>
      <x v="3"/>
    </i>
    <i>
      <x v="4"/>
    </i>
    <i>
      <x v="7"/>
    </i>
    <i>
      <x v="8"/>
    </i>
    <i>
      <x v="9"/>
    </i>
    <i>
      <x v="10"/>
    </i>
    <i>
      <x v="11"/>
    </i>
    <i>
      <x v="18"/>
    </i>
    <i>
      <x v="19"/>
    </i>
    <i>
      <x v="31"/>
    </i>
    <i>
      <x v="32"/>
    </i>
    <i>
      <x v="35"/>
    </i>
    <i>
      <x v="37"/>
    </i>
    <i>
      <x v="38"/>
    </i>
    <i>
      <x v="39"/>
    </i>
    <i t="grand">
      <x/>
    </i>
  </rowItems>
  <colFields count="1">
    <field x="-2"/>
  </colFields>
  <colItems count="3">
    <i>
      <x/>
    </i>
    <i i="1">
      <x v="1"/>
    </i>
    <i i="2">
      <x v="2"/>
    </i>
  </colItems>
  <pageFields count="2">
    <pageField fld="0" hier="-1"/>
    <pageField fld="3" hier="-1"/>
  </pageFields>
  <dataFields count="3">
    <dataField name=" Realization Rate (Left Axis)" fld="7" baseField="6" baseItem="1" numFmtId="9"/>
    <dataField name="Annual aMW (Reported)" fld="18" baseField="0" baseItem="0"/>
    <dataField name="Annual aMW (Evaluated)" fld="17" baseField="0" baseItem="0"/>
  </dataFields>
  <formats count="7">
    <format dxfId="6">
      <pivotArea outline="0" fieldPosition="0" collapsedLevelsAreSubtotals="1">
        <references count="1">
          <reference field="4294967294" count="1">
            <x v="0"/>
          </reference>
        </references>
      </pivotArea>
    </format>
    <format dxfId="5">
      <pivotArea outline="0" fieldPosition="0" dataOnly="0" type="all"/>
    </format>
    <format dxfId="4">
      <pivotArea outline="0" fieldPosition="0" collapsedLevelsAreSubtotals="1"/>
    </format>
    <format dxfId="3">
      <pivotArea outline="0" fieldPosition="0" axis="axisRow" dataOnly="0" field="23" labelOnly="1" type="button"/>
    </format>
    <format dxfId="2">
      <pivotArea outline="0" fieldPosition="0" dataOnly="0" labelOnly="1">
        <references count="1">
          <reference field="23" count="17">
            <x v="1"/>
            <x v="2"/>
            <x v="3"/>
            <x v="4"/>
            <x v="7"/>
            <x v="8"/>
            <x v="9"/>
            <x v="10"/>
            <x v="11"/>
            <x v="18"/>
            <x v="19"/>
            <x v="31"/>
            <x v="32"/>
            <x v="35"/>
            <x v="37"/>
            <x v="38"/>
            <x v="39"/>
          </reference>
        </references>
      </pivotArea>
    </format>
    <format dxfId="1">
      <pivotArea outline="0" fieldPosition="0" dataOnly="0" grandRow="1" labelOnly="1"/>
    </format>
    <format dxfId="0">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6.xml><?xml version="1.0" encoding="utf-8"?>
<pivotTableDefinition xmlns="http://schemas.openxmlformats.org/spreadsheetml/2006/main" name="PivotTable6" cacheId="0" applyNumberFormats="0" applyBorderFormats="0" applyFontFormats="0" applyPatternFormats="0" applyAlignmentFormats="0" applyWidthHeightFormats="1" dataCaption="Values" showMissing="1" preserveFormatting="1" useAutoFormatting="1" itemPrintTitles="1" compactData="0" createdVersion="6" updatedVersion="8" indent="0" multipleFieldFilters="0" showMemberPropertyTips="1">
  <location ref="A49:D61" firstHeaderRow="0" firstDataRow="1" firstDataCol="1" rowPageCount="2" colPageCount="1"/>
  <pivotFields count="25">
    <pivotField axis="axisPage" showAll="0">
      <items count="10">
        <item x="6"/>
        <item x="5"/>
        <item x="0"/>
        <item x="2"/>
        <item x="1"/>
        <item x="7"/>
        <item x="3"/>
        <item x="4"/>
        <item x="8"/>
        <item t="default"/>
      </items>
    </pivotField>
    <pivotField showAll="0"/>
    <pivotField showAll="0"/>
    <pivotField axis="axisPage" showAll="0" multipleItemSelectionAllowed="1">
      <items count="5">
        <item h="1" x="1"/>
        <item x="2"/>
        <item h="1" x="3"/>
        <item h="1"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12">
    <i>
      <x v="20"/>
    </i>
    <i>
      <x v="21"/>
    </i>
    <i>
      <x v="22"/>
    </i>
    <i>
      <x v="23"/>
    </i>
    <i>
      <x v="24"/>
    </i>
    <i>
      <x v="25"/>
    </i>
    <i>
      <x v="26"/>
    </i>
    <i>
      <x v="27"/>
    </i>
    <i>
      <x v="28"/>
    </i>
    <i>
      <x v="29"/>
    </i>
    <i>
      <x v="30"/>
    </i>
    <i t="grand">
      <x/>
    </i>
  </rowItems>
  <colFields count="1">
    <field x="-2"/>
  </colFields>
  <colItems count="3">
    <i>
      <x/>
    </i>
    <i i="1">
      <x v="1"/>
    </i>
    <i i="2">
      <x v="2"/>
    </i>
  </colItems>
  <pageFields count="2">
    <pageField fld="0" hier="-1"/>
    <pageField fld="3" hier="-1"/>
  </pageFields>
  <dataFields count="3">
    <dataField name=" Realization Rate (Left Axis)" fld="7" baseField="6" baseItem="14" numFmtId="9"/>
    <dataField name="Annual aMW (Reported)" fld="18" baseField="0" baseItem="0"/>
    <dataField name="Annual aMW (Evaluated)" fld="17" baseField="0" baseItem="0"/>
  </dataFields>
  <formats count="7">
    <format dxfId="13">
      <pivotArea outline="0" fieldPosition="0" collapsedLevelsAreSubtotals="1">
        <references count="1">
          <reference field="4294967294" count="1">
            <x v="0"/>
          </reference>
        </references>
      </pivotArea>
    </format>
    <format dxfId="12">
      <pivotArea outline="0" fieldPosition="0" dataOnly="0" type="all"/>
    </format>
    <format dxfId="11">
      <pivotArea outline="0" fieldPosition="0" collapsedLevelsAreSubtotals="1"/>
    </format>
    <format dxfId="10">
      <pivotArea outline="0" fieldPosition="0" axis="axisRow" dataOnly="0" field="23" labelOnly="1" type="button"/>
    </format>
    <format dxfId="9">
      <pivotArea outline="0" fieldPosition="0" dataOnly="0" labelOnly="1">
        <references count="1">
          <reference field="23" count="11">
            <x v="20"/>
            <x v="21"/>
            <x v="22"/>
            <x v="23"/>
            <x v="24"/>
            <x v="25"/>
            <x v="26"/>
            <x v="27"/>
            <x v="28"/>
            <x v="29"/>
            <x v="30"/>
          </reference>
        </references>
      </pivotArea>
    </format>
    <format dxfId="8">
      <pivotArea outline="0" fieldPosition="0" dataOnly="0" grandRow="1" labelOnly="1"/>
    </format>
    <format dxfId="7">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7.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showHeaders="0" preserveFormatting="1" useAutoFormatting="1" itemPrintTitles="1" compactData="0" createdVersion="6" updatedVersion="8" indent="0" multipleFieldFilters="0" showMemberPropertyTips="1">
  <location ref="A4:D13" firstHeaderRow="0" firstDataRow="1" firstDataCol="1" rowPageCount="2" colPageCount="1"/>
  <pivotFields count="25">
    <pivotField axis="axisPage" showAll="0">
      <items count="10">
        <item x="6"/>
        <item x="5"/>
        <item x="0"/>
        <item x="2"/>
        <item x="1"/>
        <item x="7"/>
        <item x="8"/>
        <item x="3"/>
        <item x="4"/>
        <item t="default"/>
      </items>
    </pivotField>
    <pivotField showAll="0"/>
    <pivotField showAll="0"/>
    <pivotField axis="axisPage" showAll="0" multipleItemSelectionAllowed="1">
      <items count="5">
        <item x="1"/>
        <item h="1" x="2"/>
        <item h="1" x="3"/>
        <item h="1"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9">
    <i>
      <x/>
    </i>
    <i>
      <x v="5"/>
    </i>
    <i>
      <x v="14"/>
    </i>
    <i>
      <x v="15"/>
    </i>
    <i>
      <x v="16"/>
    </i>
    <i>
      <x v="33"/>
    </i>
    <i>
      <x v="34"/>
    </i>
    <i>
      <x v="36"/>
    </i>
    <i t="grand">
      <x/>
    </i>
  </rowItems>
  <colFields count="1">
    <field x="-2"/>
  </colFields>
  <colItems count="3">
    <i>
      <x/>
    </i>
    <i i="1">
      <x v="1"/>
    </i>
    <i i="2">
      <x v="2"/>
    </i>
  </colItems>
  <pageFields count="2">
    <pageField fld="0" hier="-1"/>
    <pageField fld="3" hier="-1"/>
  </pageFields>
  <dataFields count="3">
    <dataField name=" Realization Rate (Left Axis)" fld="7" baseField="0" baseItem="0" numFmtId="9"/>
    <dataField name="Annual aMW (Reported)" fld="18" baseField="0" baseItem="0"/>
    <dataField name="Annual aMW (Evaluated)" fld="17" baseField="0" baseItem="0"/>
  </dataFields>
  <formats count="6">
    <format dxfId="19">
      <pivotArea outline="0" fieldPosition="0" collapsedLevelsAreSubtotals="1">
        <references count="1">
          <reference field="4294967294" count="1">
            <x v="0"/>
          </reference>
        </references>
      </pivotArea>
    </format>
    <format dxfId="18">
      <pivotArea outline="0" fieldPosition="0" dataOnly="0" type="all"/>
    </format>
    <format dxfId="17">
      <pivotArea outline="0" fieldPosition="0" collapsedLevelsAreSubtotals="1"/>
    </format>
    <format dxfId="16">
      <pivotArea outline="0" fieldPosition="0" dataOnly="0" labelOnly="1">
        <references count="1">
          <reference field="23" count="8">
            <x v="0"/>
            <x v="5"/>
            <x v="14"/>
            <x v="15"/>
            <x v="16"/>
            <x v="33"/>
            <x v="34"/>
            <x v="36"/>
          </reference>
        </references>
      </pivotArea>
    </format>
    <format dxfId="15">
      <pivotArea outline="0" fieldPosition="0" dataOnly="0" grandRow="1" labelOnly="1"/>
    </format>
    <format dxfId="14">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8.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6" updatedVersion="8" indent="0" multipleFieldFilters="0" showMemberPropertyTips="1">
  <location ref="A121:D126" firstHeaderRow="0" firstDataRow="1" firstDataCol="1" rowPageCount="2" colPageCount="1"/>
  <pivotFields count="25">
    <pivotField axis="axisPage" showAll="0">
      <items count="10">
        <item x="6"/>
        <item x="5"/>
        <item x="0"/>
        <item x="2"/>
        <item x="1"/>
        <item x="7"/>
        <item x="3"/>
        <item x="4"/>
        <item x="8"/>
        <item t="default"/>
      </items>
    </pivotField>
    <pivotField showAll="0"/>
    <pivotField showAll="0"/>
    <pivotField axis="axisPage" showAll="0" multipleItemSelectionAllowed="1">
      <items count="5">
        <item h="1" x="1"/>
        <item h="1" x="2"/>
        <item x="3"/>
        <item h="1"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5">
    <i>
      <x v="6"/>
    </i>
    <i>
      <x v="12"/>
    </i>
    <i>
      <x v="13"/>
    </i>
    <i>
      <x v="17"/>
    </i>
    <i t="grand">
      <x/>
    </i>
  </rowItems>
  <colFields count="1">
    <field x="-2"/>
  </colFields>
  <colItems count="3">
    <i>
      <x/>
    </i>
    <i i="1">
      <x v="1"/>
    </i>
    <i i="2">
      <x v="2"/>
    </i>
  </colItems>
  <pageFields count="2">
    <pageField fld="0" hier="-1"/>
    <pageField fld="3" hier="-1"/>
  </pageFields>
  <dataFields count="3">
    <dataField name=" Realization Rate (Left Axis)" fld="7" baseField="6" baseItem="4" numFmtId="9"/>
    <dataField name="Annual aMW (Reported)" fld="18" baseField="0" baseItem="0"/>
    <dataField name="Annual aMW (Evaluated)" fld="17" baseField="0" baseItem="0"/>
  </dataFields>
  <formats count="7">
    <format dxfId="26">
      <pivotArea outline="0" fieldPosition="0" collapsedLevelsAreSubtotals="1">
        <references count="1">
          <reference field="4294967294" count="1">
            <x v="0"/>
          </reference>
        </references>
      </pivotArea>
    </format>
    <format dxfId="25">
      <pivotArea outline="0" fieldPosition="0" dataOnly="0" type="all"/>
    </format>
    <format dxfId="24">
      <pivotArea outline="0" fieldPosition="0" collapsedLevelsAreSubtotals="1"/>
    </format>
    <format dxfId="23">
      <pivotArea outline="0" fieldPosition="0" axis="axisRow" dataOnly="0" field="23" labelOnly="1" type="button"/>
    </format>
    <format dxfId="22">
      <pivotArea outline="0" fieldPosition="0" dataOnly="0" labelOnly="1">
        <references count="1">
          <reference field="23" count="4">
            <x v="6"/>
            <x v="12"/>
            <x v="13"/>
            <x v="17"/>
          </reference>
        </references>
      </pivotArea>
    </format>
    <format dxfId="21">
      <pivotArea outline="0" fieldPosition="0" dataOnly="0" grandRow="1" labelOnly="1"/>
    </format>
    <format dxfId="20">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BPA Theme">
  <a:themeElements>
    <a:clrScheme name="New Evaluation colors">
      <a:dk1>
        <a:srgbClr val="556270"/>
      </a:dk1>
      <a:lt1>
        <a:sysClr val="window" lastClr="FFFFFF"/>
      </a:lt1>
      <a:dk2>
        <a:srgbClr val="004990"/>
      </a:dk2>
      <a:lt2>
        <a:srgbClr val="C1D82F"/>
      </a:lt2>
      <a:accent1>
        <a:srgbClr val="004990"/>
      </a:accent1>
      <a:accent2>
        <a:srgbClr val="C1D82F"/>
      </a:accent2>
      <a:accent3>
        <a:srgbClr val="F54E39"/>
      </a:accent3>
      <a:accent4>
        <a:srgbClr val="556270"/>
      </a:accent4>
      <a:accent5>
        <a:srgbClr val="00929F"/>
      </a:accent5>
      <a:accent6>
        <a:srgbClr val="FFD200"/>
      </a:accent6>
      <a:hlink>
        <a:srgbClr val="0000FF"/>
      </a:hlink>
      <a:folHlink>
        <a:srgbClr val="800080"/>
      </a:folHlink>
    </a:clrScheme>
    <a:fontScheme name="New Evaluation template">
      <a:majorFont>
        <a:latin typeface="Caecilia LT Std Roman"/>
        <a:ea typeface=""/>
        <a:cs typeface=""/>
      </a:majorFont>
      <a:minorFont>
        <a:latin typeface="Caecilia LT Std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BPA Theme" id="{049680B2-F770-4882-8EF1-A785291CB0BB}" vid="{C8F4734D-72FD-4D5B-89C3-1882A42F93EA}"/>
    </a:ext>
  </a:extLst>
</a:theme>
</file>

<file path=xl/threadedComments/threadedComment1.xml><?xml version="1.0" encoding="utf-8"?>
<ThreadedComments xmlns="http://schemas.microsoft.com/office/spreadsheetml/2018/threadedcomments" xmlns:x="http://schemas.openxmlformats.org/spreadsheetml/2006/main">
  <threadedComment ref="I8" dT="2020-05-20T19:31:28.67" personId="{E995CE98-76CC-42BF-AC96-0332A897EDA0}" id="{504E0A81-8052-4EC8-9388-98A77F1BFB12}">
    <text>census of billing data for each utility</text>
  </threadedComment>
  <threadedComment ref="I9" dT="2020-05-20T19:31:39.37" personId="{E995CE98-76CC-42BF-AC96-0332A897EDA0}" id="{505AF726-003B-4CC6-8D5E-CFB723238781}">
    <text>census of billing data for each utility</text>
  </threadedComment>
  <threadedComment ref="I21" dT="2020-05-20T16:58:38.64" personId="{E995CE98-76CC-42BF-AC96-0332A897EDA0}" id="{65C6E139-BE64-4A16-8166-10AA1FF800E7}">
    <text>census of billing data for each utility</text>
  </threadedComment>
  <threadedComment ref="I22" dT="2020-05-20T16:59:29.78" personId="{E995CE98-76CC-42BF-AC96-0332A897EDA0}" id="{B22D2D94-7277-4E2C-911E-B0AEB6A6C930}">
    <text>census of billing data for each utility</text>
  </threadedComment>
  <threadedComment ref="H23" dT="2020-04-21T17:02:29.96" personId="{E995CE98-76CC-42BF-AC96-0332A897EDA0}" id="{61CF9CAE-D9B1-4E99-A745-E3152B7F89F5}">
    <text>negative RR confirmed</text>
  </threadedComment>
  <threadedComment ref="I23" dT="2020-05-20T16:59:39.60" personId="{E995CE98-76CC-42BF-AC96-0332A897EDA0}" id="{16D92F99-674C-426F-AB8D-F7EBCA2A7C48}">
    <text>census of billing data for each utility</text>
  </threadedComment>
  <threadedComment ref="I31" dT="2020-05-20T17:14:09.13" personId="{E995CE98-76CC-42BF-AC96-0332A897EDA0}" id="{079E1726-15BC-493C-AB48-9D8D12B89B16}">
    <text>evaluted census of projects</text>
  </threadedComment>
  <threadedComment ref="J37" dT="2020-05-13T21:52:10.60" personId="{E995CE98-76CC-42BF-AC96-0332A897EDA0}" id="{9FD99D2F-C80F-4A63-9223-E65A1484328D}">
    <text>sites included in evaluation, not total participating sites</text>
  </threadedComment>
  <threadedComment ref="J38" dT="2020-05-13T21:51:56.56" personId="{E995CE98-76CC-42BF-AC96-0332A897EDA0}" id="{9D5BB927-F56E-46A0-A17A-BC428D746BE9}">
    <text>sites included in evaluation, not total participating sites</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pa.gov/-/media/Aep/energy-efficiency/evaluation-projects-studies/2018-19-bpa-res-hvac-impact-evaluation-final-report.pdf" TargetMode="External" /><Relationship Id="rId2" Type="http://schemas.openxmlformats.org/officeDocument/2006/relationships/hyperlink" Target="https://www.bpa.gov/-/media/Aep/energy-efficiency/evaluation-projects-studies/1802-bpa-residential-impact-evaluation-final-report.pdf" TargetMode="External" /><Relationship Id="rId3" Type="http://schemas.openxmlformats.org/officeDocument/2006/relationships/hyperlink" Target="https://www.bpa.gov/-/media/Aep/energy-efficiency/evaluation-projects-studies/170209-lighting-impact-evaluation-bpa-response-memo.pdf" TargetMode="External" /><Relationship Id="rId4" Type="http://schemas.openxmlformats.org/officeDocument/2006/relationships/hyperlink" Target="https://www.bpa.gov/-/media/Aep/energy-efficiency/evaluation-projects-studies/180219-phasebillinganalysis-bpa-response-memo.pdf" TargetMode="External" /><Relationship Id="rId5" Type="http://schemas.openxmlformats.org/officeDocument/2006/relationships/hyperlink" Target="https://www.bpa.gov/-/media/Aep/energy-efficiency/evaluation-projects-studies/180501-bpa-2017-delivery-verification-programs-response-memo.pdf" TargetMode="External" /><Relationship Id="rId6" Type="http://schemas.openxmlformats.org/officeDocument/2006/relationships/hyperlink" Target="https://www.bpa.gov/-/media/Aep/energy-efficiency/evaluation-projects-studies/impact-evaluation-site-specific-portfolio-final-report.pdf" TargetMode="External" /><Relationship Id="rId7" Type="http://schemas.openxmlformats.org/officeDocument/2006/relationships/hyperlink" Target="https://www.bpa.gov/-/media/Aep/energy-efficiency/evaluation-projects-studies/bpa-2017-delivery-verification-evaluation-report.pdf" TargetMode="External" /><Relationship Id="rId8" Type="http://schemas.openxmlformats.org/officeDocument/2006/relationships/hyperlink" Target="https://www.bpa.gov/-/media/Aep/energy-efficiency/evaluation-projects-studies/170213-industrial-sem-impact-evaluation-bpa-response-memo.pdf" TargetMode="External" /><Relationship Id="rId9" Type="http://schemas.openxmlformats.org/officeDocument/2006/relationships/hyperlink" Target="applewebdata://3ECD0DB6-62EF-4CD0-A112-9C8BA70D0C11/#_ftn1" TargetMode="External" /><Relationship Id="rId10" Type="http://schemas.openxmlformats.org/officeDocument/2006/relationships/hyperlink" Target="https://www.bpa.gov/EE/Utility/Evaluation/Evaluation/170209_Lighting_Impact_Evaluation-BPA_Response_Memo.pdf" TargetMode="External" /><Relationship Id="rId11" Type="http://schemas.openxmlformats.org/officeDocument/2006/relationships/hyperlink" Target="https://www.bpa.gov/-/media/Aep/energy-efficiency/evaluation-projects-studies/170209-lighting-impact-evaluation-bpa-response-memo.pdf" TargetMode="External" /><Relationship Id="rId12" Type="http://schemas.openxmlformats.org/officeDocument/2006/relationships/hyperlink" Target="https://www.bpa.gov/-/media/Aep/energy-efficiency/evaluation-projects-studies/170209-lighting-impact-evaluation-bpa-response-memo.pdf" TargetMode="External" /><Relationship Id="rId13" Type="http://schemas.openxmlformats.org/officeDocument/2006/relationships/hyperlink" Target="https://www.bpa.gov/-/media/Aep/energy-efficiency/evaluation-projects-studies/170222-bpa-industrial-sem-impact-evaluation-report.pdf" TargetMode="External" /><Relationship Id="rId14" Type="http://schemas.openxmlformats.org/officeDocument/2006/relationships/hyperlink" Target="https://www.bpa.gov/-/media/Aep/energy-efficiency/evaluation-projects-studies/170213-industrial-sem-impact-evaluation-bpa-response-memo.pdf" TargetMode="External" /><Relationship Id="rId15" Type="http://schemas.openxmlformats.org/officeDocument/2006/relationships/hyperlink" Target="https://www.bpa.gov/-/media/Aep/energy-efficiency/evaluation-projects-studies/170213-industrial-sem-impact-evaluation-bpa-response-memo.pdf" TargetMode="External" /><Relationship Id="rId16" Type="http://schemas.openxmlformats.org/officeDocument/2006/relationships/hyperlink" Target="https://www.bpa.gov/-/media/Aep/energy-efficiency/evaluation-projects-studies/170213-industrial-sem-impact-evaluation-bpa-response-memo.pdf" TargetMode="External" /><Relationship Id="rId17" Type="http://schemas.openxmlformats.org/officeDocument/2006/relationships/hyperlink" Target="https://www.bpa.gov/-/media/Aep/energy-efficiency/evaluation-projects-studies/170213-industrial-sem-impact-evaluation-bpa-response-memo.pdf" TargetMode="External" /><Relationship Id="rId18" Type="http://schemas.openxmlformats.org/officeDocument/2006/relationships/hyperlink" Target="https://www.bpa.gov/-/media/Aep/energy-efficiency/evaluation-projects-studies/170213-industrial-sem-impact-evaluation-bpa-response-memo.pdf" TargetMode="External" /><Relationship Id="rId19" Type="http://schemas.openxmlformats.org/officeDocument/2006/relationships/hyperlink" Target="https://www.bpa.gov/-/media/Aep/energy-efficiency/evaluation-projects-studies/170213-industrial-sem-impact-evaluation-bpa-response-memo.pdf" TargetMode="External" /><Relationship Id="rId20" Type="http://schemas.openxmlformats.org/officeDocument/2006/relationships/hyperlink" Target="https://www.bpa.gov/-/media/Aep/energy-efficiency/evaluation-projects-studies/170213-industrial-sem-impact-evaluation-bpa-response-memo.pdf" TargetMode="External" /><Relationship Id="rId21" Type="http://schemas.openxmlformats.org/officeDocument/2006/relationships/hyperlink" Target="https://www.bpa.gov/-/media/Aep/energy-efficiency/evaluation-projects-studies/170213-industrial-sem-impact-evaluation-bpa-response-memo.pdf" TargetMode="External" /><Relationship Id="rId22" Type="http://schemas.openxmlformats.org/officeDocument/2006/relationships/hyperlink" Target="https://www.bpa.gov/-/media/Aep/energy-efficiency/evaluation-projects-studies/170213-industrial-sem-impact-evaluation-bpa-response-memo.pdf" TargetMode="External" /><Relationship Id="rId23" Type="http://schemas.openxmlformats.org/officeDocument/2006/relationships/hyperlink" Target="https://www.bpa.gov/-/media/Aep/energy-efficiency/evaluation-projects-studies/170213-industrial-sem-impact-evaluation-bpa-response-memo.pdf" TargetMode="External" /><Relationship Id="rId24" Type="http://schemas.openxmlformats.org/officeDocument/2006/relationships/hyperlink" Target="https://www.bpa.gov/-/media/Aep/energy-efficiency/evaluation-projects-studies/170213-industrial-sem-impact-evaluation-bpa-response-memo.pdf" TargetMode="External" /><Relationship Id="rId25" Type="http://schemas.openxmlformats.org/officeDocument/2006/relationships/hyperlink" Target="https://www.bpa.gov/-/media/Aep/energy-efficiency/evaluation-projects-studies/170213-industrial-sem-impact-evaluation-bpa-response-memo.pdf" TargetMode="External" /><Relationship Id="rId26" Type="http://schemas.openxmlformats.org/officeDocument/2006/relationships/hyperlink" Target="https://www.bpa.gov/-/media/Aep/energy-efficiency/evaluation-projects-studies/170213-industrial-sem-impact-evaluation-bpa-response-memo.pdf" TargetMode="External" /><Relationship Id="rId27" Type="http://schemas.openxmlformats.org/officeDocument/2006/relationships/hyperlink" Target="https://www.bpa.gov/-/media/Aep/energy-efficiency/evaluation-projects-studies/170213-industrial-sem-impact-evaluation-bpa-response-memo.pdf" TargetMode="External" /><Relationship Id="rId28" Type="http://schemas.openxmlformats.org/officeDocument/2006/relationships/hyperlink" Target="https://www.bpa.gov/-/media/Aep/energy-efficiency/evaluation-projects-studies/170213-industrial-sem-impact-evaluation-bpa-response-memo.pdf" TargetMode="External" /><Relationship Id="rId29" Type="http://schemas.openxmlformats.org/officeDocument/2006/relationships/hyperlink" Target="https://www.bpa.gov/-/media/Aep/energy-efficiency/evaluation-projects-studies/170213-industrial-sem-impact-evaluation-bpa-response-memo.pdf" TargetMode="External" /><Relationship Id="rId30" Type="http://schemas.openxmlformats.org/officeDocument/2006/relationships/hyperlink" Target="https://www.bpa.gov/-/media/Aep/energy-efficiency/evaluation-projects-studies/170213-industrial-sem-impact-evaluation-bpa-response-memo.pdf" TargetMode="External" /><Relationship Id="rId31" Type="http://schemas.openxmlformats.org/officeDocument/2006/relationships/hyperlink" Target="https://www.bpa.gov/-/media/Aep/energy-efficiency/evaluation-projects-studies/170213-industrial-sem-impact-evaluation-bpa-response-memo.pdf" TargetMode="External" /><Relationship Id="rId32" Type="http://schemas.openxmlformats.org/officeDocument/2006/relationships/hyperlink" Target="https://www.bpa.gov/-/media/Aep/energy-efficiency/evaluation-projects-studies/170213-industrial-sem-impact-evaluation-bpa-response-memo.pdf" TargetMode="External" /><Relationship Id="rId33" Type="http://schemas.openxmlformats.org/officeDocument/2006/relationships/hyperlink" Target="https://www.bpa.gov/-/media/Aep/energy-efficiency/evaluation-projects-studies/170213-industrial-sem-impact-evaluation-bpa-response-memo.pdf" TargetMode="External" /><Relationship Id="rId34" Type="http://schemas.openxmlformats.org/officeDocument/2006/relationships/hyperlink" Target="https://www.bpa.gov/-/media/Aep/energy-efficiency/evaluation-projects-studies/170213-industrial-sem-impact-evaluation-bpa-response-memo.pdf" TargetMode="External" /><Relationship Id="rId35" Type="http://schemas.openxmlformats.org/officeDocument/2006/relationships/hyperlink" Target="https://www.bpa.gov/-/media/Aep/energy-efficiency/evaluation-projects-studies/170213-industrial-sem-impact-evaluation-bpa-response-memo.pdf" TargetMode="External" /><Relationship Id="rId36" Type="http://schemas.openxmlformats.org/officeDocument/2006/relationships/hyperlink" Target="https://www.bpa.gov/-/media/Aep/energy-efficiency/evaluation-projects-studies/170222-bpa-industrial-sem-impact-evaluation-report.pdf" TargetMode="External" /><Relationship Id="rId37" Type="http://schemas.openxmlformats.org/officeDocument/2006/relationships/hyperlink" Target="https://www.bpa.gov/-/media/Aep/energy-efficiency/evaluation-projects-studies/170222-bpa-industrial-sem-impact-evaluation-report.pdf" TargetMode="External" /><Relationship Id="rId38" Type="http://schemas.openxmlformats.org/officeDocument/2006/relationships/hyperlink" Target="https://www.bpa.gov/-/media/Aep/energy-efficiency/evaluation-projects-studies/170222-bpa-industrial-sem-impact-evaluation-report.pdf" TargetMode="External" /><Relationship Id="rId39" Type="http://schemas.openxmlformats.org/officeDocument/2006/relationships/hyperlink" Target="https://www.bpa.gov/-/media/Aep/energy-efficiency/evaluation-projects-studies/170222-bpa-industrial-sem-impact-evaluation-report.pdf" TargetMode="External" /><Relationship Id="rId40" Type="http://schemas.openxmlformats.org/officeDocument/2006/relationships/hyperlink" Target="https://www.bpa.gov/-/media/Aep/energy-efficiency/evaluation-projects-studies/170222-bpa-industrial-sem-impact-evaluation-report.pdf" TargetMode="External" /><Relationship Id="rId41" Type="http://schemas.openxmlformats.org/officeDocument/2006/relationships/hyperlink" Target="https://www.bpa.gov/-/media/Aep/energy-efficiency/evaluation-projects-studies/170222-bpa-industrial-sem-impact-evaluation-report.pdf" TargetMode="External" /><Relationship Id="rId42" Type="http://schemas.openxmlformats.org/officeDocument/2006/relationships/hyperlink" Target="https://www.bpa.gov/-/media/Aep/energy-efficiency/evaluation-projects-studies/170222-bpa-industrial-sem-impact-evaluation-report.pdf" TargetMode="External" /><Relationship Id="rId43" Type="http://schemas.openxmlformats.org/officeDocument/2006/relationships/hyperlink" Target="https://www.bpa.gov/-/media/Aep/energy-efficiency/evaluation-projects-studies/170222-bpa-industrial-sem-impact-evaluation-report.pdf" TargetMode="External" /><Relationship Id="rId44" Type="http://schemas.openxmlformats.org/officeDocument/2006/relationships/hyperlink" Target="https://www.bpa.gov/-/media/Aep/energy-efficiency/evaluation-projects-studies/170222-bpa-industrial-sem-impact-evaluation-report.pdf" TargetMode="External" /><Relationship Id="rId45" Type="http://schemas.openxmlformats.org/officeDocument/2006/relationships/hyperlink" Target="https://www.bpa.gov/-/media/Aep/energy-efficiency/evaluation-projects-studies/170222-bpa-industrial-sem-impact-evaluation-report.pdf" TargetMode="External" /><Relationship Id="rId46" Type="http://schemas.openxmlformats.org/officeDocument/2006/relationships/hyperlink" Target="https://www.bpa.gov/-/media/Aep/energy-efficiency/evaluation-projects-studies/170222-bpa-industrial-sem-impact-evaluation-report.pdf" TargetMode="External" /><Relationship Id="rId47" Type="http://schemas.openxmlformats.org/officeDocument/2006/relationships/hyperlink" Target="https://www.bpa.gov/-/media/Aep/energy-efficiency/evaluation-projects-studies/170222-bpa-industrial-sem-impact-evaluation-report.pdf" TargetMode="External" /><Relationship Id="rId48" Type="http://schemas.openxmlformats.org/officeDocument/2006/relationships/hyperlink" Target="https://www.bpa.gov/-/media/Aep/energy-efficiency/evaluation-projects-studies/170222-bpa-industrial-sem-impact-evaluation-report.pdf" TargetMode="External" /><Relationship Id="rId49" Type="http://schemas.openxmlformats.org/officeDocument/2006/relationships/hyperlink" Target="https://www.bpa.gov/-/media/Aep/energy-efficiency/evaluation-projects-studies/170222-bpa-industrial-sem-impact-evaluation-report.pdf" TargetMode="External" /><Relationship Id="rId50" Type="http://schemas.openxmlformats.org/officeDocument/2006/relationships/hyperlink" Target="https://www.bpa.gov/-/media/Aep/energy-efficiency/evaluation-projects-studies/170222-bpa-industrial-sem-impact-evaluation-report.pdf" TargetMode="External" /><Relationship Id="rId51" Type="http://schemas.openxmlformats.org/officeDocument/2006/relationships/hyperlink" Target="https://www.bpa.gov/-/media/Aep/energy-efficiency/evaluation-projects-studies/170411bpa-responses-to-site-specific-evaluation-recs.pdf" TargetMode="External" /><Relationship Id="rId52" Type="http://schemas.openxmlformats.org/officeDocument/2006/relationships/hyperlink" Target="https://www.bpa.gov/-/media/Aep/energy-efficiency/evaluation-projects-studies/170411bpa-responses-to-site-specific-evaluation-recs.pdf" TargetMode="External" /><Relationship Id="rId53" Type="http://schemas.openxmlformats.org/officeDocument/2006/relationships/hyperlink" Target="https://www.bpa.gov/-/media/Aep/energy-efficiency/evaluation-projects-studies/170411bpa-responses-to-site-specific-evaluation-recs.pdf" TargetMode="External" /><Relationship Id="rId54" Type="http://schemas.openxmlformats.org/officeDocument/2006/relationships/hyperlink" Target="https://www.bpa.gov/-/media/Aep/energy-efficiency/evaluation-projects-studies/170411bpa-responses-to-site-specific-evaluation-recs.pdf" TargetMode="External" /><Relationship Id="rId55" Type="http://schemas.openxmlformats.org/officeDocument/2006/relationships/hyperlink" Target="https://www.bpa.gov/-/media/Aep/energy-efficiency/evaluation-projects-studies/170411bpa-responses-to-site-specific-evaluation-recs.pdf" TargetMode="External" /><Relationship Id="rId56" Type="http://schemas.openxmlformats.org/officeDocument/2006/relationships/hyperlink" Target="https://www.bpa.gov/-/media/Aep/energy-efficiency/evaluation-projects-studies/170411bpa-responses-to-site-specific-evaluation-recs.pdf" TargetMode="External" /><Relationship Id="rId57" Type="http://schemas.openxmlformats.org/officeDocument/2006/relationships/hyperlink" Target="https://www.bpa.gov/-/media/Aep/energy-efficiency/evaluation-projects-studies/180219-phasebillinganalysis-bpa-response-memo.pdf" TargetMode="External" /><Relationship Id="rId58" Type="http://schemas.openxmlformats.org/officeDocument/2006/relationships/hyperlink" Target="https://www.bpa.gov/-/media/Aep/energy-efficiency/evaluation-projects-studies/1802-bpa-residential-impact-evaluation-final-report.pdf" TargetMode="External" /><Relationship Id="rId59" Type="http://schemas.openxmlformats.org/officeDocument/2006/relationships/hyperlink" Target="https://www.bpa.gov/-/media/Aep/energy-efficiency/evaluation-projects-studies/2018-19-bpa-res-hvac-impact-evaluation-final-report.pdf" TargetMode="External" /><Relationship Id="rId60" Type="http://schemas.openxmlformats.org/officeDocument/2006/relationships/hyperlink" Target="https://www.bpa.gov/-/media/Aep/energy-efficiency/evaluation-projects-studies/bpa-2017-delivery-verification-evaluation-report.pdf" TargetMode="External" /><Relationship Id="rId61" Type="http://schemas.openxmlformats.org/officeDocument/2006/relationships/hyperlink" Target="https://www.bpa.gov/-/media/Aep/energy-efficiency/evaluation-projects-studies/180501-bpa-2017-delivery-verification-programs-response-memo.pdf" TargetMode="External" /><Relationship Id="rId62" Type="http://schemas.openxmlformats.org/officeDocument/2006/relationships/hyperlink" Target="https://www.bpa.gov/-/media/Aep/energy-efficiency/evaluation-projects-studies/2020-2021-custom-industrial-impact-evaluation-for-option1-utilities-final-report.pdf" TargetMode="External" /><Relationship Id="rId63" Type="http://schemas.openxmlformats.org/officeDocument/2006/relationships/hyperlink" Target="https://www.bpa.gov/-/media/Aep/energy-efficiency/evaluation-projects-studies/2020-2021-custom-industrial-impact-evaluation-for-option1-utilities-final-report.pdf" TargetMode="External" /><Relationship Id="rId64" Type="http://schemas.openxmlformats.org/officeDocument/2006/relationships/hyperlink" Target="https://www.bpa.gov/-/media/Aep/energy-efficiency/evaluation-projects-studies/impact-evaluation-site-specific-portfolio-final-report.pdf" TargetMode="External" /><Relationship Id="rId65" Type="http://schemas.openxmlformats.org/officeDocument/2006/relationships/hyperlink" Target="https://www.bpa.gov/-/media/Aep/energy-efficiency/evaluation-projects-studies/impact-evaluation-site-specific-portfolio-final-report.pdf" TargetMode="External" /><Relationship Id="rId66" Type="http://schemas.openxmlformats.org/officeDocument/2006/relationships/hyperlink" Target="https://www.bpa.gov/-/media/Aep/energy-efficiency/evaluation-projects-studies/impact-evaluation-site-specific-portfolio-final-report.pdf" TargetMode="External" /><Relationship Id="rId67" Type="http://schemas.openxmlformats.org/officeDocument/2006/relationships/hyperlink" Target="https://www.bpa.gov/-/media/Aep/energy-efficiency/evaluation-projects-studies/impact-evaluation-site-specific-portfolio-final-report.pdf" TargetMode="External" /><Relationship Id="rId68" Type="http://schemas.openxmlformats.org/officeDocument/2006/relationships/hyperlink" Target="https://www.bpa.gov/-/media/Aep/energy-efficiency/evaluation-projects-studies/impact-evaluation-site-specific-portfolio-final-report.pdf" TargetMode="External" /><Relationship Id="rId69" Type="http://schemas.openxmlformats.org/officeDocument/2006/relationships/hyperlink" Target="https://www.bpa.gov/-/media/Aep/energy-efficiency/evaluation-projects-studies/impact-evaluation-site-specific-portfolio-final-report.pdf" TargetMode="External" /><Relationship Id="rId70" Type="http://schemas.openxmlformats.org/officeDocument/2006/relationships/hyperlink" Target="https://www.bpa.gov/-/media/Aep/energy-efficiency/evaluation-projects-studies/impact-evaluation-site-specific-portfolio-final-report.pdf" TargetMode="External" /><Relationship Id="rId71" Type="http://schemas.openxmlformats.org/officeDocument/2006/relationships/hyperlink" Target="https://www.bpa.gov/-/media/Aep/energy-efficiency/evaluation-projects-studies/2020-2021-custom-industrial-impact-evaluation-option1-utilities-programs-response-memo.pdf" TargetMode="External" /><Relationship Id="rId72" Type="http://schemas.openxmlformats.org/officeDocument/2006/relationships/hyperlink" Target="https://www.bpa.gov/-/media/Aep/energy-efficiency/evaluation-projects-studies/2020-2021-custom-industrial-impact-evaluation-option1-utilities-programs-response-memo.pdf" TargetMode="External" /><Relationship Id="rId73" Type="http://schemas.openxmlformats.org/officeDocument/2006/relationships/comments" Target="../comments2.xml" /><Relationship Id="rId74" Type="http://schemas.openxmlformats.org/officeDocument/2006/relationships/vmlDrawing" Target="../drawings/vmlDrawing1.vml" /><Relationship Id="rId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4" Type="http://schemas.microsoft.com/office/2017/10/relationships/threadedComment" Target="../threadedComments/threadedComment1.xml" /><Relationship Id="rId1" Type="http://schemas.openxmlformats.org/officeDocument/2006/relationships/hyperlink" Target="https://www.bpa.gov/-/media/Aep/energy-efficiency/evaluation-projects-studies/2018-19-bpa-res-hvac-impact-evaluation-final-report.pdf" TargetMode="External" /><Relationship Id="rId2" Type="http://schemas.openxmlformats.org/officeDocument/2006/relationships/hyperlink" Target="https://www.bpa.gov/-/media/Aep/energy-efficiency/evaluation-projects-studies/1802-bpa-residential-impact-evaluation-final-report.pdf" TargetMode="External" /><Relationship Id="rId3" Type="http://schemas.openxmlformats.org/officeDocument/2006/relationships/hyperlink" Target="https://www.bpa.gov/-/media/Aep/energy-efficiency/evaluation-projects-studies/1802-bpa-residential-impact-evaluation-final-report.pdf" TargetMode="External" /><Relationship Id="rId4" Type="http://schemas.openxmlformats.org/officeDocument/2006/relationships/hyperlink" Target="https://www.bpa.gov/-/media/Aep/energy-efficiency/evaluation-projects-studies/bpa-2017-delivery-verification-evaluation-report.pdf" TargetMode="External" /><Relationship Id="rId5" Type="http://schemas.openxmlformats.org/officeDocument/2006/relationships/hyperlink" Target="https://www.bpa.gov/-/media/Aep/energy-efficiency/evaluation-projects-studies/170222-bpa-industrial-sem-impact-evaluation-report.pdf" TargetMode="External" /><Relationship Id="rId6" Type="http://schemas.openxmlformats.org/officeDocument/2006/relationships/hyperlink" Target="https://www.bpa.gov/-/media/Aep/energy-efficiency/evaluation-projects-studies/impact-evaluation-site-specific-portfolio-final-report.pdf" TargetMode="External" /><Relationship Id="rId7" Type="http://schemas.openxmlformats.org/officeDocument/2006/relationships/hyperlink" Target="https://www.bpa.gov/-/media/Aep/energy-efficiency/evaluation-projects-studies/170215-bpa-evaluation-ues-res-lighting-report.pdf" TargetMode="External" /><Relationship Id="rId8" Type="http://schemas.openxmlformats.org/officeDocument/2006/relationships/hyperlink" Target="https://www.bpa.gov/-/media/Aep/energy-efficiency/evaluation-projects-studies/1802-bpa-residential-impact-evaluation-final-report.pdf" TargetMode="External" /><Relationship Id="rId9" Type="http://schemas.openxmlformats.org/officeDocument/2006/relationships/hyperlink" Target="https://www.bpa.gov/-/media/Aep/energy-efficiency/evaluation-projects-studies/2018-19-bpa-res-hvac-impact-evaluation-final-report.pdf" TargetMode="External" /><Relationship Id="rId10" Type="http://schemas.openxmlformats.org/officeDocument/2006/relationships/hyperlink" Target="https://www.bpa.gov/-/media/Aep/energy-efficiency/evaluation-projects-studies/1802-bpa-residential-impact-evaluation-final-report.pdf" TargetMode="External" /><Relationship Id="rId11" Type="http://schemas.openxmlformats.org/officeDocument/2006/relationships/hyperlink" Target="https://www.bpa.gov/-/media/Aep/energy-efficiency/evaluation-projects-studies/bpa-2017-delivery-verification-evaluation-report.pdf" TargetMode="External" /><Relationship Id="rId12" Type="http://schemas.openxmlformats.org/officeDocument/2006/relationships/hyperlink" Target="https://www.bpa.gov/-/media/Aep/energy-efficiency/evaluation-projects-studies/bpa-2017-delivery-verification-evaluation-report.pdf" TargetMode="External" /><Relationship Id="rId13" Type="http://schemas.openxmlformats.org/officeDocument/2006/relationships/hyperlink" Target="https://www.bpa.gov/-/media/Aep/energy-efficiency/evaluation-projects-studies/170222-bpa-industrial-sem-impact-evaluation-report.pdf" TargetMode="External" /><Relationship Id="rId14" Type="http://schemas.openxmlformats.org/officeDocument/2006/relationships/hyperlink" Target="https://www.bpa.gov/-/media/Aep/energy-efficiency/evaluation-projects-studies/2018-19-bpa-res-hvac-impact-evaluation-final-report.pdf" TargetMode="External" /><Relationship Id="rId15" Type="http://schemas.openxmlformats.org/officeDocument/2006/relationships/hyperlink" Target="https://www.bpa.gov/-/media/Aep/energy-efficiency/evaluation-projects-studies/2018-19-bpa-res-hvac-impact-evaluation-final-report.pdf" TargetMode="External" /><Relationship Id="rId16" Type="http://schemas.openxmlformats.org/officeDocument/2006/relationships/hyperlink" Target="https://www.bpa.gov/-/media/Aep/energy-efficiency/evaluation-projects-studies/2020-2021-custom-industrial-impact-evaluation-for-option1-utilities-final-report.pdf" TargetMode="External" /><Relationship Id="rId17" Type="http://schemas.openxmlformats.org/officeDocument/2006/relationships/hyperlink" Target="https://www.bpa.gov/-/media/Aep/energy-efficiency/evaluation-projects-studies/170215-bpa-evaluation-ues-res-lighting-report.pdf" TargetMode="External" /><Relationship Id="rId18" Type="http://schemas.openxmlformats.org/officeDocument/2006/relationships/hyperlink" Target="https://www.bpa.gov/-/media/Aep/energy-efficiency/evaluation-projects-studies/impact-evaluation-site-specific-portfolio-final-report.pdf" TargetMode="External" /><Relationship Id="rId19" Type="http://schemas.openxmlformats.org/officeDocument/2006/relationships/hyperlink" Target="https://www.bpa.gov/-/media/Aep/energy-efficiency/evaluation-projects-studies/impact-evaluation-site-specific-portfolio-final-report.pdf" TargetMode="External" /><Relationship Id="rId20" Type="http://schemas.openxmlformats.org/officeDocument/2006/relationships/hyperlink" Target="https://www.bpa.gov/-/media/Aep/energy-efficiency/evaluation-projects-studies/2020-2021-custom-industrial-impact-evaluation-for-option2-utilities-report.pdf" TargetMode="External" /><Relationship Id="rId21" Type="http://schemas.openxmlformats.org/officeDocument/2006/relationships/comments" Target="../comments3.xml" /><Relationship Id="rId22" Type="http://schemas.openxmlformats.org/officeDocument/2006/relationships/vmlDrawing" Target="../drawings/vmlDrawing2.vml" /><Relationship Id="rId2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5.xml" /><Relationship Id="rId3" Type="http://schemas.openxmlformats.org/officeDocument/2006/relationships/pivotTable" Target="../pivotTables/pivotTable6.xml" /><Relationship Id="rId4" Type="http://schemas.openxmlformats.org/officeDocument/2006/relationships/pivotTable" Target="../pivotTables/pivotTable7.xml" /><Relationship Id="rId5" Type="http://schemas.openxmlformats.org/officeDocument/2006/relationships/pivotTable" Target="../pivotTables/pivotTable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B52"/>
  <sheetViews>
    <sheetView tabSelected="1" workbookViewId="0" topLeftCell="A1"/>
  </sheetViews>
  <sheetFormatPr defaultColWidth="8.796875" defaultRowHeight="14.25"/>
  <cols>
    <col min="1" max="1" width="37.796875" style="3" customWidth="1"/>
    <col min="2" max="2" width="77.19921875" style="2" customWidth="1"/>
    <col min="3" max="16384" width="8.796875" style="3" customWidth="1"/>
  </cols>
  <sheetData>
    <row r="1" spans="1:2" ht="14.25">
      <c r="A1" s="23" t="s">
        <v>394</v>
      </c>
      <c r="B1" s="24"/>
    </row>
    <row r="2" spans="1:2" ht="14.25">
      <c r="A2" s="25" t="s">
        <v>395</v>
      </c>
      <c r="B2" s="24"/>
    </row>
    <row r="3" spans="1:2" ht="14.25">
      <c r="A3" s="25" t="s">
        <v>396</v>
      </c>
      <c r="B3" s="24"/>
    </row>
    <row r="4" spans="1:2" ht="55.2">
      <c r="A4" s="23" t="s">
        <v>397</v>
      </c>
      <c r="B4" s="24" t="s">
        <v>398</v>
      </c>
    </row>
    <row r="5" spans="1:2" ht="55.2">
      <c r="A5" s="23" t="s">
        <v>399</v>
      </c>
      <c r="B5" s="24" t="s">
        <v>401</v>
      </c>
    </row>
    <row r="6" spans="1:2" ht="69">
      <c r="A6" s="23" t="s">
        <v>400</v>
      </c>
      <c r="B6" s="24" t="s">
        <v>402</v>
      </c>
    </row>
    <row r="7" spans="1:2" ht="41.4">
      <c r="A7" s="23" t="s">
        <v>403</v>
      </c>
      <c r="B7" s="24" t="s">
        <v>404</v>
      </c>
    </row>
    <row r="8" spans="1:2" ht="27.6">
      <c r="A8" s="23" t="s">
        <v>405</v>
      </c>
      <c r="B8" s="24" t="s">
        <v>406</v>
      </c>
    </row>
    <row r="9" spans="1:2" ht="41.4">
      <c r="A9" s="23" t="s">
        <v>407</v>
      </c>
      <c r="B9" s="24" t="s">
        <v>408</v>
      </c>
    </row>
    <row r="10" spans="1:2" ht="27.6">
      <c r="A10" s="23" t="s">
        <v>409</v>
      </c>
      <c r="B10" s="24" t="s">
        <v>410</v>
      </c>
    </row>
    <row r="11" spans="1:2" ht="41.4">
      <c r="A11" s="23" t="s">
        <v>380</v>
      </c>
      <c r="B11" s="24" t="s">
        <v>411</v>
      </c>
    </row>
    <row r="12" spans="1:2" ht="41.4">
      <c r="A12" s="23" t="s">
        <v>412</v>
      </c>
      <c r="B12" s="24" t="s">
        <v>413</v>
      </c>
    </row>
    <row r="13" spans="1:2" ht="14.25">
      <c r="A13" s="25"/>
      <c r="B13" s="24"/>
    </row>
    <row r="14" spans="1:2" ht="14.25">
      <c r="A14" s="25" t="s">
        <v>414</v>
      </c>
      <c r="B14" s="24"/>
    </row>
    <row r="15" spans="1:2" ht="14.25">
      <c r="A15" s="25" t="s">
        <v>415</v>
      </c>
      <c r="B15" s="24"/>
    </row>
    <row r="16" spans="1:2" ht="14.25">
      <c r="A16" s="25" t="s">
        <v>416</v>
      </c>
      <c r="B16" s="24"/>
    </row>
    <row r="17" spans="1:2" ht="41.4">
      <c r="A17" s="23" t="s">
        <v>417</v>
      </c>
      <c r="B17" s="24" t="s">
        <v>418</v>
      </c>
    </row>
    <row r="18" spans="1:2" ht="41.4">
      <c r="A18" s="23" t="s">
        <v>419</v>
      </c>
      <c r="B18" s="24" t="s">
        <v>420</v>
      </c>
    </row>
    <row r="19" spans="1:2" ht="27.6">
      <c r="A19" s="23" t="s">
        <v>421</v>
      </c>
      <c r="B19" s="24" t="s">
        <v>422</v>
      </c>
    </row>
    <row r="20" spans="1:2" ht="55.2">
      <c r="A20" s="23" t="s">
        <v>423</v>
      </c>
      <c r="B20" s="24" t="s">
        <v>424</v>
      </c>
    </row>
    <row r="21" spans="1:2" ht="27.6">
      <c r="A21" s="23" t="s">
        <v>425</v>
      </c>
      <c r="B21" s="24" t="s">
        <v>426</v>
      </c>
    </row>
    <row r="22" spans="1:2" ht="14.25">
      <c r="A22" s="25"/>
      <c r="B22" s="24"/>
    </row>
    <row r="23" spans="1:2" ht="14.25">
      <c r="A23" s="23" t="s">
        <v>427</v>
      </c>
      <c r="B23" s="24"/>
    </row>
    <row r="24" spans="1:2" ht="14.25">
      <c r="A24" s="25" t="s">
        <v>428</v>
      </c>
      <c r="B24" s="24"/>
    </row>
    <row r="25" spans="1:2" ht="14.25">
      <c r="A25" s="25" t="s">
        <v>430</v>
      </c>
      <c r="B25" s="24"/>
    </row>
    <row r="26" spans="1:2" ht="55.2">
      <c r="A26" s="25" t="s">
        <v>429</v>
      </c>
      <c r="B26" s="24" t="s">
        <v>431</v>
      </c>
    </row>
    <row r="27" spans="1:2" ht="27.6">
      <c r="A27" s="25" t="s">
        <v>432</v>
      </c>
      <c r="B27" s="24" t="s">
        <v>433</v>
      </c>
    </row>
    <row r="28" spans="1:2" ht="14.25">
      <c r="A28" s="25" t="s">
        <v>435</v>
      </c>
      <c r="B28" s="24" t="s">
        <v>434</v>
      </c>
    </row>
    <row r="29" spans="1:2" ht="14.25">
      <c r="A29" s="25"/>
      <c r="B29" s="24" t="s">
        <v>516</v>
      </c>
    </row>
    <row r="30" spans="1:2" ht="14.25">
      <c r="A30" s="25"/>
      <c r="B30" s="24" t="s">
        <v>517</v>
      </c>
    </row>
    <row r="31" spans="1:2" ht="14.25">
      <c r="A31" s="25"/>
      <c r="B31" s="24" t="s">
        <v>518</v>
      </c>
    </row>
    <row r="32" spans="1:2" ht="41.4">
      <c r="A32" s="25"/>
      <c r="B32" s="24" t="s">
        <v>519</v>
      </c>
    </row>
    <row r="33" spans="1:2" ht="27.6">
      <c r="A33" s="25" t="s">
        <v>436</v>
      </c>
      <c r="B33" s="24" t="s">
        <v>437</v>
      </c>
    </row>
    <row r="34" spans="1:2" ht="55.2">
      <c r="A34" s="25" t="s">
        <v>438</v>
      </c>
      <c r="B34" s="24" t="s">
        <v>439</v>
      </c>
    </row>
    <row r="35" spans="1:2" ht="14.25">
      <c r="A35" s="25"/>
      <c r="B35" s="24"/>
    </row>
    <row r="36" spans="1:2" ht="14.25">
      <c r="A36" s="25" t="s">
        <v>440</v>
      </c>
      <c r="B36" s="24"/>
    </row>
    <row r="37" spans="1:2" ht="14.25">
      <c r="A37" s="25" t="s">
        <v>441</v>
      </c>
      <c r="B37" s="24"/>
    </row>
    <row r="38" spans="1:2" ht="14.25">
      <c r="A38" s="25" t="s">
        <v>442</v>
      </c>
      <c r="B38" s="24"/>
    </row>
    <row r="39" spans="1:2" ht="14.25">
      <c r="A39" s="25" t="s">
        <v>443</v>
      </c>
      <c r="B39" s="24"/>
    </row>
    <row r="40" spans="1:2" ht="14.25">
      <c r="A40" s="25"/>
      <c r="B40" s="24"/>
    </row>
    <row r="41" spans="1:2" ht="14.25">
      <c r="A41" s="25"/>
      <c r="B41" s="24"/>
    </row>
    <row r="42" spans="1:2" ht="14.25">
      <c r="A42" s="25"/>
      <c r="B42" s="24"/>
    </row>
    <row r="43" spans="1:2" ht="14.25">
      <c r="A43" s="25"/>
      <c r="B43" s="24"/>
    </row>
    <row r="44" spans="1:2" ht="14.25">
      <c r="A44" s="25"/>
      <c r="B44" s="24"/>
    </row>
    <row r="45" spans="1:2" ht="14.25">
      <c r="A45" s="25"/>
      <c r="B45" s="24"/>
    </row>
    <row r="46" spans="1:2" ht="14.25">
      <c r="A46" s="25"/>
      <c r="B46" s="24"/>
    </row>
    <row r="47" spans="1:2" ht="14.25">
      <c r="A47" s="25"/>
      <c r="B47" s="24"/>
    </row>
    <row r="48" spans="1:2" ht="14.25">
      <c r="A48" s="25"/>
      <c r="B48" s="24"/>
    </row>
    <row r="49" spans="1:2" ht="14.25">
      <c r="A49" s="25"/>
      <c r="B49" s="24"/>
    </row>
    <row r="50" spans="1:2" ht="14.25">
      <c r="A50" s="25"/>
      <c r="B50" s="24"/>
    </row>
    <row r="51" spans="1:2" ht="14.25">
      <c r="A51" s="25"/>
      <c r="B51" s="24"/>
    </row>
    <row r="52" spans="1:2" ht="14.25">
      <c r="A52" s="25"/>
      <c r="B52" s="24"/>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2"/>
  <sheetViews>
    <sheetView workbookViewId="0" topLeftCell="I1">
      <selection activeCell="N74" sqref="N74"/>
    </sheetView>
  </sheetViews>
  <sheetFormatPr defaultColWidth="8.796875" defaultRowHeight="14.25"/>
  <cols>
    <col min="1" max="1" width="36.796875" style="5" customWidth="1"/>
    <col min="2" max="2" width="11.796875" style="5" customWidth="1"/>
    <col min="3" max="4" width="11.69921875" style="5" customWidth="1"/>
    <col min="5" max="5" width="10.296875" style="5" customWidth="1"/>
    <col min="6" max="6" width="50.19921875" style="6" customWidth="1"/>
    <col min="7" max="7" width="34.19921875" style="6" customWidth="1"/>
    <col min="8" max="8" width="36.5" style="5" customWidth="1"/>
    <col min="9" max="9" width="31.796875" style="4" customWidth="1"/>
    <col min="10" max="10" width="22.796875" style="4" customWidth="1"/>
    <col min="11" max="11" width="10.296875" style="5" customWidth="1"/>
    <col min="12" max="12" width="44.69921875" style="4" customWidth="1"/>
    <col min="13" max="13" width="32.19921875" style="4" customWidth="1"/>
    <col min="14" max="14" width="30.796875" style="4" customWidth="1"/>
    <col min="15" max="15" width="19.19921875" style="7" customWidth="1"/>
    <col min="16" max="16" width="14.19921875" style="7" customWidth="1"/>
    <col min="17" max="16384" width="8.796875" style="4" customWidth="1"/>
  </cols>
  <sheetData>
    <row r="1" spans="1:17" s="5" customFormat="1" ht="41.4">
      <c r="A1" s="26" t="s">
        <v>306</v>
      </c>
      <c r="B1" s="26" t="s">
        <v>17</v>
      </c>
      <c r="C1" s="26" t="s">
        <v>307</v>
      </c>
      <c r="D1" s="26" t="s">
        <v>14</v>
      </c>
      <c r="E1" s="26" t="s">
        <v>385</v>
      </c>
      <c r="F1" s="26" t="s">
        <v>2</v>
      </c>
      <c r="G1" s="26" t="s">
        <v>386</v>
      </c>
      <c r="H1" s="26" t="s">
        <v>387</v>
      </c>
      <c r="I1" s="26" t="s">
        <v>388</v>
      </c>
      <c r="J1" s="26" t="s">
        <v>389</v>
      </c>
      <c r="K1" s="26" t="s">
        <v>261</v>
      </c>
      <c r="L1" s="27" t="s">
        <v>384</v>
      </c>
      <c r="M1" s="27" t="s">
        <v>390</v>
      </c>
      <c r="N1" s="27" t="s">
        <v>13</v>
      </c>
      <c r="O1" s="26" t="s">
        <v>258</v>
      </c>
      <c r="P1" s="28" t="s">
        <v>391</v>
      </c>
      <c r="Q1" s="4"/>
    </row>
    <row r="2" spans="1:16" ht="28.2" customHeight="1">
      <c r="A2" s="24" t="s">
        <v>27</v>
      </c>
      <c r="B2" s="24" t="s">
        <v>259</v>
      </c>
      <c r="C2" s="29">
        <v>43344</v>
      </c>
      <c r="D2" s="24" t="s">
        <v>19</v>
      </c>
      <c r="E2" s="30" t="s">
        <v>375</v>
      </c>
      <c r="F2" s="31" t="s">
        <v>92</v>
      </c>
      <c r="G2" s="31"/>
      <c r="H2" s="24" t="s">
        <v>113</v>
      </c>
      <c r="I2" s="25"/>
      <c r="J2" s="25"/>
      <c r="K2" s="30">
        <v>17</v>
      </c>
      <c r="L2" s="25" t="s">
        <v>112</v>
      </c>
      <c r="M2" s="25" t="s">
        <v>112</v>
      </c>
      <c r="N2" s="25" t="s">
        <v>112</v>
      </c>
      <c r="O2" s="35" t="s">
        <v>489</v>
      </c>
      <c r="P2" s="36"/>
    </row>
    <row r="3" spans="1:16" ht="28.2" customHeight="1">
      <c r="A3" s="24" t="s">
        <v>27</v>
      </c>
      <c r="B3" s="24" t="s">
        <v>259</v>
      </c>
      <c r="C3" s="29">
        <v>43344</v>
      </c>
      <c r="D3" s="24" t="s">
        <v>19</v>
      </c>
      <c r="E3" s="30" t="s">
        <v>376</v>
      </c>
      <c r="F3" s="31" t="s">
        <v>93</v>
      </c>
      <c r="G3" s="31"/>
      <c r="H3" s="24" t="s">
        <v>113</v>
      </c>
      <c r="I3" s="25"/>
      <c r="J3" s="25"/>
      <c r="K3" s="30">
        <v>17</v>
      </c>
      <c r="L3" s="25" t="s">
        <v>112</v>
      </c>
      <c r="M3" s="25" t="s">
        <v>112</v>
      </c>
      <c r="N3" s="25" t="s">
        <v>112</v>
      </c>
      <c r="O3" s="35" t="s">
        <v>489</v>
      </c>
      <c r="P3" s="36"/>
    </row>
    <row r="4" spans="1:16" ht="28.2" customHeight="1">
      <c r="A4" s="24" t="s">
        <v>27</v>
      </c>
      <c r="B4" s="24" t="s">
        <v>259</v>
      </c>
      <c r="C4" s="29">
        <v>43344</v>
      </c>
      <c r="D4" s="24" t="s">
        <v>19</v>
      </c>
      <c r="E4" s="30" t="s">
        <v>378</v>
      </c>
      <c r="F4" s="31" t="s">
        <v>94</v>
      </c>
      <c r="G4" s="31"/>
      <c r="H4" s="24" t="s">
        <v>114</v>
      </c>
      <c r="I4" s="25"/>
      <c r="J4" s="25"/>
      <c r="K4" s="30">
        <v>17</v>
      </c>
      <c r="L4" s="25" t="s">
        <v>112</v>
      </c>
      <c r="M4" s="25" t="s">
        <v>112</v>
      </c>
      <c r="N4" s="25" t="s">
        <v>112</v>
      </c>
      <c r="O4" s="35" t="s">
        <v>489</v>
      </c>
      <c r="P4" s="36"/>
    </row>
    <row r="5" spans="1:16" ht="28.2" customHeight="1">
      <c r="A5" s="24" t="s">
        <v>27</v>
      </c>
      <c r="B5" s="24" t="s">
        <v>259</v>
      </c>
      <c r="C5" s="29">
        <v>43344</v>
      </c>
      <c r="D5" s="24" t="s">
        <v>19</v>
      </c>
      <c r="E5" s="30" t="s">
        <v>378</v>
      </c>
      <c r="F5" s="31" t="s">
        <v>95</v>
      </c>
      <c r="G5" s="31"/>
      <c r="H5" s="24" t="s">
        <v>96</v>
      </c>
      <c r="I5" s="25"/>
      <c r="J5" s="25"/>
      <c r="K5" s="30">
        <v>18</v>
      </c>
      <c r="L5" s="25" t="s">
        <v>112</v>
      </c>
      <c r="M5" s="25" t="s">
        <v>112</v>
      </c>
      <c r="N5" s="25" t="s">
        <v>112</v>
      </c>
      <c r="O5" s="35" t="s">
        <v>489</v>
      </c>
      <c r="P5" s="36"/>
    </row>
    <row r="6" spans="1:16" ht="28.2" customHeight="1">
      <c r="A6" s="24" t="s">
        <v>27</v>
      </c>
      <c r="B6" s="24" t="s">
        <v>259</v>
      </c>
      <c r="C6" s="29">
        <v>43344</v>
      </c>
      <c r="D6" s="24" t="s">
        <v>19</v>
      </c>
      <c r="E6" s="30" t="s">
        <v>378</v>
      </c>
      <c r="F6" s="31" t="s">
        <v>97</v>
      </c>
      <c r="G6" s="31"/>
      <c r="H6" s="24" t="s">
        <v>98</v>
      </c>
      <c r="I6" s="25"/>
      <c r="J6" s="25"/>
      <c r="K6" s="30">
        <v>18</v>
      </c>
      <c r="L6" s="25" t="s">
        <v>112</v>
      </c>
      <c r="M6" s="25" t="s">
        <v>112</v>
      </c>
      <c r="N6" s="25" t="s">
        <v>112</v>
      </c>
      <c r="O6" s="35" t="s">
        <v>489</v>
      </c>
      <c r="P6" s="36"/>
    </row>
    <row r="7" spans="1:16" ht="28.2" customHeight="1">
      <c r="A7" s="24" t="s">
        <v>27</v>
      </c>
      <c r="B7" s="24" t="s">
        <v>259</v>
      </c>
      <c r="C7" s="29">
        <v>43344</v>
      </c>
      <c r="D7" s="24" t="s">
        <v>19</v>
      </c>
      <c r="E7" s="30" t="s">
        <v>378</v>
      </c>
      <c r="F7" s="31" t="s">
        <v>115</v>
      </c>
      <c r="G7" s="31"/>
      <c r="H7" s="24" t="s">
        <v>116</v>
      </c>
      <c r="I7" s="25"/>
      <c r="J7" s="25"/>
      <c r="K7" s="30">
        <v>19</v>
      </c>
      <c r="L7" s="25" t="s">
        <v>112</v>
      </c>
      <c r="M7" s="25" t="s">
        <v>112</v>
      </c>
      <c r="N7" s="25" t="s">
        <v>112</v>
      </c>
      <c r="O7" s="35" t="s">
        <v>489</v>
      </c>
      <c r="P7" s="36"/>
    </row>
    <row r="8" spans="1:16" ht="28.2" customHeight="1">
      <c r="A8" s="24" t="s">
        <v>111</v>
      </c>
      <c r="B8" s="24" t="s">
        <v>35</v>
      </c>
      <c r="C8" s="29">
        <v>43221</v>
      </c>
      <c r="D8" s="24" t="s">
        <v>19</v>
      </c>
      <c r="E8" s="30" t="s">
        <v>375</v>
      </c>
      <c r="F8" s="24" t="s">
        <v>99</v>
      </c>
      <c r="G8" s="24"/>
      <c r="H8" s="24" t="s">
        <v>100</v>
      </c>
      <c r="I8" s="25" t="s">
        <v>298</v>
      </c>
      <c r="J8" s="25"/>
      <c r="K8" s="30">
        <v>9</v>
      </c>
      <c r="L8" s="32" t="s">
        <v>142</v>
      </c>
      <c r="M8" s="25" t="s">
        <v>112</v>
      </c>
      <c r="N8" s="25" t="s">
        <v>112</v>
      </c>
      <c r="O8" s="35" t="s">
        <v>490</v>
      </c>
      <c r="P8" s="35" t="s">
        <v>491</v>
      </c>
    </row>
    <row r="9" spans="1:16" ht="28.2" customHeight="1">
      <c r="A9" s="24" t="s">
        <v>111</v>
      </c>
      <c r="B9" s="24" t="s">
        <v>35</v>
      </c>
      <c r="C9" s="29">
        <v>43221</v>
      </c>
      <c r="D9" s="24" t="s">
        <v>19</v>
      </c>
      <c r="E9" s="30" t="s">
        <v>375</v>
      </c>
      <c r="F9" s="24" t="s">
        <v>101</v>
      </c>
      <c r="G9" s="24"/>
      <c r="H9" s="24" t="s">
        <v>102</v>
      </c>
      <c r="I9" s="25" t="s">
        <v>260</v>
      </c>
      <c r="J9" s="25"/>
      <c r="K9" s="30">
        <v>10</v>
      </c>
      <c r="L9" s="32" t="s">
        <v>143</v>
      </c>
      <c r="M9" s="25" t="s">
        <v>112</v>
      </c>
      <c r="N9" s="25" t="s">
        <v>112</v>
      </c>
      <c r="O9" s="35" t="s">
        <v>490</v>
      </c>
      <c r="P9" s="35" t="s">
        <v>491</v>
      </c>
    </row>
    <row r="10" spans="1:16" ht="28.2" customHeight="1">
      <c r="A10" s="24" t="s">
        <v>111</v>
      </c>
      <c r="B10" s="24" t="s">
        <v>35</v>
      </c>
      <c r="C10" s="29">
        <v>43221</v>
      </c>
      <c r="D10" s="24" t="s">
        <v>19</v>
      </c>
      <c r="E10" s="30" t="s">
        <v>375</v>
      </c>
      <c r="F10" s="24" t="s">
        <v>262</v>
      </c>
      <c r="G10" s="24"/>
      <c r="H10" s="24" t="s">
        <v>103</v>
      </c>
      <c r="I10" s="25" t="s">
        <v>263</v>
      </c>
      <c r="J10" s="25"/>
      <c r="K10" s="30">
        <v>11</v>
      </c>
      <c r="L10" s="32" t="s">
        <v>144</v>
      </c>
      <c r="M10" s="25" t="s">
        <v>112</v>
      </c>
      <c r="N10" s="25" t="s">
        <v>112</v>
      </c>
      <c r="O10" s="35" t="s">
        <v>490</v>
      </c>
      <c r="P10" s="35" t="s">
        <v>491</v>
      </c>
    </row>
    <row r="11" spans="1:16" ht="28.2" customHeight="1">
      <c r="A11" s="24" t="s">
        <v>111</v>
      </c>
      <c r="B11" s="24" t="s">
        <v>35</v>
      </c>
      <c r="C11" s="29">
        <v>43221</v>
      </c>
      <c r="D11" s="24" t="s">
        <v>19</v>
      </c>
      <c r="E11" s="30" t="s">
        <v>375</v>
      </c>
      <c r="F11" s="24" t="s">
        <v>104</v>
      </c>
      <c r="G11" s="24"/>
      <c r="H11" s="24" t="s">
        <v>105</v>
      </c>
      <c r="I11" s="25" t="s">
        <v>264</v>
      </c>
      <c r="J11" s="25"/>
      <c r="K11" s="30">
        <v>12</v>
      </c>
      <c r="L11" s="32" t="s">
        <v>265</v>
      </c>
      <c r="M11" s="25" t="s">
        <v>112</v>
      </c>
      <c r="N11" s="25" t="s">
        <v>112</v>
      </c>
      <c r="O11" s="35" t="s">
        <v>490</v>
      </c>
      <c r="P11" s="35" t="s">
        <v>491</v>
      </c>
    </row>
    <row r="12" spans="1:16" ht="28.2" customHeight="1">
      <c r="A12" s="24" t="s">
        <v>111</v>
      </c>
      <c r="B12" s="24" t="s">
        <v>35</v>
      </c>
      <c r="C12" s="29">
        <v>43221</v>
      </c>
      <c r="D12" s="24" t="s">
        <v>19</v>
      </c>
      <c r="E12" s="30" t="s">
        <v>375</v>
      </c>
      <c r="F12" s="24" t="s">
        <v>106</v>
      </c>
      <c r="G12" s="24"/>
      <c r="H12" s="24" t="s">
        <v>107</v>
      </c>
      <c r="I12" s="25" t="s">
        <v>266</v>
      </c>
      <c r="J12" s="25"/>
      <c r="K12" s="30">
        <v>12</v>
      </c>
      <c r="L12" s="32" t="s">
        <v>145</v>
      </c>
      <c r="M12" s="25" t="s">
        <v>112</v>
      </c>
      <c r="N12" s="25" t="s">
        <v>112</v>
      </c>
      <c r="O12" s="35" t="s">
        <v>490</v>
      </c>
      <c r="P12" s="35" t="s">
        <v>491</v>
      </c>
    </row>
    <row r="13" spans="1:16" ht="28.2" customHeight="1">
      <c r="A13" s="24" t="s">
        <v>111</v>
      </c>
      <c r="B13" s="24" t="s">
        <v>35</v>
      </c>
      <c r="C13" s="29">
        <v>43221</v>
      </c>
      <c r="D13" s="24" t="s">
        <v>19</v>
      </c>
      <c r="E13" s="30" t="s">
        <v>375</v>
      </c>
      <c r="F13" s="24" t="s">
        <v>108</v>
      </c>
      <c r="G13" s="24"/>
      <c r="H13" s="24" t="s">
        <v>109</v>
      </c>
      <c r="I13" s="25" t="s">
        <v>267</v>
      </c>
      <c r="J13" s="25"/>
      <c r="K13" s="30">
        <v>13</v>
      </c>
      <c r="L13" s="32" t="s">
        <v>146</v>
      </c>
      <c r="M13" s="25" t="s">
        <v>112</v>
      </c>
      <c r="N13" s="25" t="s">
        <v>112</v>
      </c>
      <c r="O13" s="35" t="s">
        <v>490</v>
      </c>
      <c r="P13" s="35" t="s">
        <v>491</v>
      </c>
    </row>
    <row r="14" spans="1:16" ht="28.2" customHeight="1">
      <c r="A14" s="24" t="s">
        <v>16</v>
      </c>
      <c r="B14" s="24" t="s">
        <v>393</v>
      </c>
      <c r="C14" s="29">
        <v>43132</v>
      </c>
      <c r="D14" s="24" t="s">
        <v>19</v>
      </c>
      <c r="E14" s="30" t="s">
        <v>376</v>
      </c>
      <c r="F14" s="31" t="s">
        <v>110</v>
      </c>
      <c r="G14" s="31"/>
      <c r="H14" s="24" t="s">
        <v>135</v>
      </c>
      <c r="I14" s="25"/>
      <c r="J14" s="25"/>
      <c r="K14" s="30">
        <v>9</v>
      </c>
      <c r="L14" s="32" t="s">
        <v>136</v>
      </c>
      <c r="M14" s="25" t="s">
        <v>112</v>
      </c>
      <c r="N14" s="25" t="s">
        <v>112</v>
      </c>
      <c r="O14" s="35" t="s">
        <v>488</v>
      </c>
      <c r="P14" s="35" t="s">
        <v>487</v>
      </c>
    </row>
    <row r="15" spans="1:16" ht="28.2" customHeight="1">
      <c r="A15" s="24" t="s">
        <v>16</v>
      </c>
      <c r="B15" s="24" t="s">
        <v>393</v>
      </c>
      <c r="C15" s="29">
        <v>43132</v>
      </c>
      <c r="D15" s="24" t="s">
        <v>19</v>
      </c>
      <c r="E15" s="30" t="s">
        <v>375</v>
      </c>
      <c r="F15" s="31" t="s">
        <v>126</v>
      </c>
      <c r="G15" s="31"/>
      <c r="H15" s="24" t="s">
        <v>141</v>
      </c>
      <c r="I15" s="25" t="s">
        <v>127</v>
      </c>
      <c r="J15" s="25"/>
      <c r="K15" s="30">
        <v>9</v>
      </c>
      <c r="L15" s="32" t="s">
        <v>137</v>
      </c>
      <c r="M15" s="25" t="s">
        <v>112</v>
      </c>
      <c r="N15" s="25" t="s">
        <v>112</v>
      </c>
      <c r="O15" s="35" t="s">
        <v>488</v>
      </c>
      <c r="P15" s="35" t="s">
        <v>487</v>
      </c>
    </row>
    <row r="16" spans="1:16" ht="28.2" customHeight="1">
      <c r="A16" s="24" t="s">
        <v>16</v>
      </c>
      <c r="B16" s="24" t="s">
        <v>393</v>
      </c>
      <c r="C16" s="29">
        <v>43132</v>
      </c>
      <c r="D16" s="24" t="s">
        <v>19</v>
      </c>
      <c r="E16" s="30" t="s">
        <v>378</v>
      </c>
      <c r="F16" s="31" t="s">
        <v>130</v>
      </c>
      <c r="G16" s="31"/>
      <c r="H16" s="24" t="s">
        <v>128</v>
      </c>
      <c r="I16" s="25" t="s">
        <v>129</v>
      </c>
      <c r="J16" s="25"/>
      <c r="K16" s="30">
        <v>9</v>
      </c>
      <c r="L16" s="32" t="s">
        <v>138</v>
      </c>
      <c r="M16" s="25" t="s">
        <v>112</v>
      </c>
      <c r="N16" s="25" t="s">
        <v>112</v>
      </c>
      <c r="O16" s="35" t="s">
        <v>488</v>
      </c>
      <c r="P16" s="35" t="s">
        <v>487</v>
      </c>
    </row>
    <row r="17" spans="1:16" ht="28.2" customHeight="1">
      <c r="A17" s="24" t="s">
        <v>16</v>
      </c>
      <c r="B17" s="24" t="s">
        <v>393</v>
      </c>
      <c r="C17" s="29">
        <v>43132</v>
      </c>
      <c r="D17" s="24" t="s">
        <v>19</v>
      </c>
      <c r="E17" s="30" t="s">
        <v>378</v>
      </c>
      <c r="F17" s="31" t="s">
        <v>131</v>
      </c>
      <c r="G17" s="31"/>
      <c r="H17" s="24" t="s">
        <v>132</v>
      </c>
      <c r="I17" s="25" t="s">
        <v>133</v>
      </c>
      <c r="J17" s="25"/>
      <c r="K17" s="30">
        <v>9</v>
      </c>
      <c r="L17" s="32" t="s">
        <v>139</v>
      </c>
      <c r="M17" s="25" t="s">
        <v>112</v>
      </c>
      <c r="N17" s="25" t="s">
        <v>112</v>
      </c>
      <c r="O17" s="35" t="s">
        <v>488</v>
      </c>
      <c r="P17" s="35" t="s">
        <v>487</v>
      </c>
    </row>
    <row r="18" spans="1:16" ht="28.2" customHeight="1">
      <c r="A18" s="24" t="s">
        <v>16</v>
      </c>
      <c r="B18" s="24" t="s">
        <v>393</v>
      </c>
      <c r="C18" s="29">
        <v>43132</v>
      </c>
      <c r="D18" s="24" t="s">
        <v>19</v>
      </c>
      <c r="E18" s="30" t="s">
        <v>378</v>
      </c>
      <c r="F18" s="31" t="s">
        <v>134</v>
      </c>
      <c r="G18" s="31"/>
      <c r="H18" s="24"/>
      <c r="I18" s="25"/>
      <c r="J18" s="25"/>
      <c r="K18" s="30">
        <v>9</v>
      </c>
      <c r="L18" s="32" t="s">
        <v>140</v>
      </c>
      <c r="M18" s="25" t="s">
        <v>112</v>
      </c>
      <c r="N18" s="25" t="s">
        <v>112</v>
      </c>
      <c r="O18" s="35" t="s">
        <v>488</v>
      </c>
      <c r="P18" s="35" t="s">
        <v>487</v>
      </c>
    </row>
    <row r="19" spans="1:16" ht="28.2" customHeight="1">
      <c r="A19" s="24" t="s">
        <v>47</v>
      </c>
      <c r="B19" s="24" t="s">
        <v>147</v>
      </c>
      <c r="C19" s="29">
        <v>42309</v>
      </c>
      <c r="D19" s="24" t="s">
        <v>190</v>
      </c>
      <c r="E19" s="30" t="s">
        <v>375</v>
      </c>
      <c r="F19" s="33" t="s">
        <v>148</v>
      </c>
      <c r="G19" s="33"/>
      <c r="H19" s="24" t="s">
        <v>149</v>
      </c>
      <c r="I19" s="25" t="s">
        <v>152</v>
      </c>
      <c r="J19" s="25"/>
      <c r="K19" s="30">
        <v>56</v>
      </c>
      <c r="L19" s="32" t="s">
        <v>195</v>
      </c>
      <c r="M19" s="25" t="s">
        <v>112</v>
      </c>
      <c r="N19" s="25" t="s">
        <v>196</v>
      </c>
      <c r="O19" s="35" t="s">
        <v>494</v>
      </c>
      <c r="P19" s="35" t="s">
        <v>486</v>
      </c>
    </row>
    <row r="20" spans="1:16" ht="28.2" customHeight="1">
      <c r="A20" s="24" t="s">
        <v>47</v>
      </c>
      <c r="B20" s="24" t="s">
        <v>147</v>
      </c>
      <c r="C20" s="29">
        <v>42309</v>
      </c>
      <c r="D20" s="24" t="s">
        <v>190</v>
      </c>
      <c r="E20" s="30" t="s">
        <v>375</v>
      </c>
      <c r="F20" s="33" t="s">
        <v>150</v>
      </c>
      <c r="G20" s="33"/>
      <c r="H20" s="24" t="s">
        <v>151</v>
      </c>
      <c r="I20" s="25" t="s">
        <v>152</v>
      </c>
      <c r="J20" s="25"/>
      <c r="K20" s="30">
        <v>56</v>
      </c>
      <c r="L20" s="32" t="s">
        <v>197</v>
      </c>
      <c r="M20" s="25" t="s">
        <v>112</v>
      </c>
      <c r="N20" s="25" t="s">
        <v>198</v>
      </c>
      <c r="O20" s="35" t="s">
        <v>494</v>
      </c>
      <c r="P20" s="35" t="s">
        <v>486</v>
      </c>
    </row>
    <row r="21" spans="1:16" ht="28.2" customHeight="1">
      <c r="A21" s="24" t="s">
        <v>47</v>
      </c>
      <c r="B21" s="24" t="s">
        <v>147</v>
      </c>
      <c r="C21" s="29">
        <v>42309</v>
      </c>
      <c r="D21" s="24" t="s">
        <v>190</v>
      </c>
      <c r="E21" s="30" t="s">
        <v>375</v>
      </c>
      <c r="F21" s="33" t="s">
        <v>153</v>
      </c>
      <c r="G21" s="33"/>
      <c r="H21" s="24" t="s">
        <v>154</v>
      </c>
      <c r="I21" s="25" t="s">
        <v>152</v>
      </c>
      <c r="J21" s="25"/>
      <c r="K21" s="30">
        <v>56</v>
      </c>
      <c r="L21" s="32" t="s">
        <v>199</v>
      </c>
      <c r="M21" s="25" t="s">
        <v>112</v>
      </c>
      <c r="N21" s="25" t="s">
        <v>112</v>
      </c>
      <c r="O21" s="35" t="s">
        <v>494</v>
      </c>
      <c r="P21" s="35" t="s">
        <v>486</v>
      </c>
    </row>
    <row r="22" spans="1:16" ht="28.2" customHeight="1">
      <c r="A22" s="24" t="s">
        <v>47</v>
      </c>
      <c r="B22" s="24" t="s">
        <v>147</v>
      </c>
      <c r="C22" s="29">
        <v>42309</v>
      </c>
      <c r="D22" s="24" t="s">
        <v>190</v>
      </c>
      <c r="E22" s="30" t="s">
        <v>375</v>
      </c>
      <c r="F22" s="33" t="s">
        <v>155</v>
      </c>
      <c r="G22" s="33"/>
      <c r="H22" s="24" t="s">
        <v>156</v>
      </c>
      <c r="I22" s="25"/>
      <c r="J22" s="25"/>
      <c r="K22" s="30">
        <v>56</v>
      </c>
      <c r="L22" s="32" t="s">
        <v>197</v>
      </c>
      <c r="M22" s="25" t="s">
        <v>112</v>
      </c>
      <c r="N22" s="25" t="s">
        <v>200</v>
      </c>
      <c r="O22" s="35" t="s">
        <v>494</v>
      </c>
      <c r="P22" s="35" t="s">
        <v>486</v>
      </c>
    </row>
    <row r="23" spans="1:16" ht="28.2" customHeight="1">
      <c r="A23" s="24" t="s">
        <v>47</v>
      </c>
      <c r="B23" s="24" t="s">
        <v>147</v>
      </c>
      <c r="C23" s="29">
        <v>42309</v>
      </c>
      <c r="D23" s="24" t="s">
        <v>190</v>
      </c>
      <c r="E23" s="30" t="s">
        <v>375</v>
      </c>
      <c r="F23" s="33" t="s">
        <v>157</v>
      </c>
      <c r="G23" s="33"/>
      <c r="H23" s="24" t="s">
        <v>158</v>
      </c>
      <c r="I23" s="25" t="s">
        <v>152</v>
      </c>
      <c r="J23" s="25"/>
      <c r="K23" s="30">
        <v>56</v>
      </c>
      <c r="L23" s="32" t="s">
        <v>201</v>
      </c>
      <c r="M23" s="25" t="s">
        <v>112</v>
      </c>
      <c r="N23" s="25" t="s">
        <v>202</v>
      </c>
      <c r="O23" s="35" t="s">
        <v>494</v>
      </c>
      <c r="P23" s="35" t="s">
        <v>486</v>
      </c>
    </row>
    <row r="24" spans="1:16" ht="28.2" customHeight="1">
      <c r="A24" s="24" t="s">
        <v>47</v>
      </c>
      <c r="B24" s="24" t="s">
        <v>147</v>
      </c>
      <c r="C24" s="29">
        <v>42309</v>
      </c>
      <c r="D24" s="24" t="s">
        <v>190</v>
      </c>
      <c r="E24" s="30" t="s">
        <v>375</v>
      </c>
      <c r="F24" s="33" t="s">
        <v>159</v>
      </c>
      <c r="G24" s="33"/>
      <c r="H24" s="24" t="s">
        <v>160</v>
      </c>
      <c r="I24" s="25" t="s">
        <v>161</v>
      </c>
      <c r="J24" s="25"/>
      <c r="K24" s="30">
        <v>56</v>
      </c>
      <c r="L24" s="32" t="s">
        <v>203</v>
      </c>
      <c r="M24" s="25" t="s">
        <v>112</v>
      </c>
      <c r="N24" s="25" t="s">
        <v>204</v>
      </c>
      <c r="O24" s="35" t="s">
        <v>494</v>
      </c>
      <c r="P24" s="35" t="s">
        <v>486</v>
      </c>
    </row>
    <row r="25" spans="1:16" ht="28.2" customHeight="1">
      <c r="A25" s="24" t="s">
        <v>47</v>
      </c>
      <c r="B25" s="24" t="s">
        <v>147</v>
      </c>
      <c r="C25" s="29">
        <v>42309</v>
      </c>
      <c r="D25" s="24" t="s">
        <v>190</v>
      </c>
      <c r="E25" s="30" t="s">
        <v>377</v>
      </c>
      <c r="F25" s="33" t="s">
        <v>162</v>
      </c>
      <c r="G25" s="33"/>
      <c r="H25" s="24" t="s">
        <v>163</v>
      </c>
      <c r="I25" s="25" t="s">
        <v>164</v>
      </c>
      <c r="J25" s="25"/>
      <c r="K25" s="30">
        <v>57</v>
      </c>
      <c r="L25" s="32" t="s">
        <v>205</v>
      </c>
      <c r="M25" s="25" t="s">
        <v>112</v>
      </c>
      <c r="N25" s="25" t="s">
        <v>112</v>
      </c>
      <c r="O25" s="35" t="s">
        <v>494</v>
      </c>
      <c r="P25" s="35" t="s">
        <v>486</v>
      </c>
    </row>
    <row r="26" spans="1:16" ht="28.2" customHeight="1">
      <c r="A26" s="24" t="s">
        <v>47</v>
      </c>
      <c r="B26" s="24" t="s">
        <v>147</v>
      </c>
      <c r="C26" s="29">
        <v>42309</v>
      </c>
      <c r="D26" s="24" t="s">
        <v>190</v>
      </c>
      <c r="E26" s="30" t="s">
        <v>375</v>
      </c>
      <c r="F26" s="33" t="s">
        <v>165</v>
      </c>
      <c r="G26" s="33"/>
      <c r="H26" s="24" t="s">
        <v>166</v>
      </c>
      <c r="I26" s="25" t="s">
        <v>167</v>
      </c>
      <c r="J26" s="25"/>
      <c r="K26" s="30">
        <v>57</v>
      </c>
      <c r="L26" s="32" t="s">
        <v>206</v>
      </c>
      <c r="M26" s="25" t="s">
        <v>112</v>
      </c>
      <c r="N26" s="25" t="s">
        <v>112</v>
      </c>
      <c r="O26" s="35" t="s">
        <v>494</v>
      </c>
      <c r="P26" s="35" t="s">
        <v>486</v>
      </c>
    </row>
    <row r="27" spans="1:16" ht="28.2" customHeight="1">
      <c r="A27" s="24" t="s">
        <v>47</v>
      </c>
      <c r="B27" s="24" t="s">
        <v>147</v>
      </c>
      <c r="C27" s="29">
        <v>42309</v>
      </c>
      <c r="D27" s="24" t="s">
        <v>190</v>
      </c>
      <c r="E27" s="30" t="s">
        <v>375</v>
      </c>
      <c r="F27" s="33" t="s">
        <v>168</v>
      </c>
      <c r="G27" s="33"/>
      <c r="H27" s="24" t="s">
        <v>169</v>
      </c>
      <c r="I27" s="25" t="s">
        <v>170</v>
      </c>
      <c r="J27" s="25" t="s">
        <v>383</v>
      </c>
      <c r="K27" s="30">
        <v>57</v>
      </c>
      <c r="L27" s="32" t="s">
        <v>207</v>
      </c>
      <c r="M27" s="25" t="s">
        <v>112</v>
      </c>
      <c r="N27" s="25" t="s">
        <v>112</v>
      </c>
      <c r="O27" s="35" t="s">
        <v>494</v>
      </c>
      <c r="P27" s="35" t="s">
        <v>486</v>
      </c>
    </row>
    <row r="28" spans="1:16" ht="28.2" customHeight="1">
      <c r="A28" s="24" t="s">
        <v>47</v>
      </c>
      <c r="B28" s="24" t="s">
        <v>147</v>
      </c>
      <c r="C28" s="29">
        <v>42309</v>
      </c>
      <c r="D28" s="24" t="s">
        <v>190</v>
      </c>
      <c r="E28" s="30" t="s">
        <v>375</v>
      </c>
      <c r="F28" s="33" t="s">
        <v>171</v>
      </c>
      <c r="G28" s="33"/>
      <c r="H28" s="24" t="s">
        <v>172</v>
      </c>
      <c r="I28" s="25" t="s">
        <v>173</v>
      </c>
      <c r="J28" s="25"/>
      <c r="K28" s="30">
        <v>57</v>
      </c>
      <c r="L28" s="32" t="s">
        <v>208</v>
      </c>
      <c r="M28" s="25" t="s">
        <v>112</v>
      </c>
      <c r="N28" s="25" t="s">
        <v>112</v>
      </c>
      <c r="O28" s="35" t="s">
        <v>494</v>
      </c>
      <c r="P28" s="35" t="s">
        <v>486</v>
      </c>
    </row>
    <row r="29" spans="1:16" ht="28.2" customHeight="1">
      <c r="A29" s="24" t="s">
        <v>47</v>
      </c>
      <c r="B29" s="24" t="s">
        <v>147</v>
      </c>
      <c r="C29" s="29">
        <v>42309</v>
      </c>
      <c r="D29" s="24" t="s">
        <v>190</v>
      </c>
      <c r="E29" s="30" t="s">
        <v>375</v>
      </c>
      <c r="F29" s="33" t="s">
        <v>174</v>
      </c>
      <c r="G29" s="33"/>
      <c r="H29" s="24" t="s">
        <v>176</v>
      </c>
      <c r="I29" s="25" t="s">
        <v>175</v>
      </c>
      <c r="J29" s="25"/>
      <c r="K29" s="30">
        <v>57</v>
      </c>
      <c r="L29" s="32" t="s">
        <v>209</v>
      </c>
      <c r="M29" s="25" t="s">
        <v>112</v>
      </c>
      <c r="N29" s="25" t="s">
        <v>112</v>
      </c>
      <c r="O29" s="35" t="s">
        <v>494</v>
      </c>
      <c r="P29" s="35" t="s">
        <v>486</v>
      </c>
    </row>
    <row r="30" spans="1:16" ht="28.2" customHeight="1">
      <c r="A30" s="24" t="s">
        <v>47</v>
      </c>
      <c r="B30" s="24" t="s">
        <v>147</v>
      </c>
      <c r="C30" s="29">
        <v>42309</v>
      </c>
      <c r="D30" s="24" t="s">
        <v>190</v>
      </c>
      <c r="E30" s="30" t="s">
        <v>375</v>
      </c>
      <c r="F30" s="33" t="s">
        <v>177</v>
      </c>
      <c r="G30" s="33"/>
      <c r="H30" s="24" t="s">
        <v>178</v>
      </c>
      <c r="I30" s="25" t="s">
        <v>179</v>
      </c>
      <c r="J30" s="25"/>
      <c r="K30" s="30">
        <v>58</v>
      </c>
      <c r="L30" s="32" t="s">
        <v>210</v>
      </c>
      <c r="M30" s="25" t="s">
        <v>211</v>
      </c>
      <c r="N30" s="25" t="s">
        <v>112</v>
      </c>
      <c r="O30" s="35" t="s">
        <v>494</v>
      </c>
      <c r="P30" s="35" t="s">
        <v>486</v>
      </c>
    </row>
    <row r="31" spans="1:16" ht="28.2" customHeight="1">
      <c r="A31" s="24" t="s">
        <v>47</v>
      </c>
      <c r="B31" s="24" t="s">
        <v>147</v>
      </c>
      <c r="C31" s="29">
        <v>42309</v>
      </c>
      <c r="D31" s="24" t="s">
        <v>190</v>
      </c>
      <c r="E31" s="30" t="s">
        <v>375</v>
      </c>
      <c r="F31" s="33" t="s">
        <v>180</v>
      </c>
      <c r="G31" s="33"/>
      <c r="H31" s="24" t="s">
        <v>181</v>
      </c>
      <c r="I31" s="25"/>
      <c r="J31" s="25"/>
      <c r="K31" s="30">
        <v>58</v>
      </c>
      <c r="L31" s="32" t="s">
        <v>212</v>
      </c>
      <c r="M31" s="25" t="s">
        <v>112</v>
      </c>
      <c r="N31" s="25" t="s">
        <v>112</v>
      </c>
      <c r="O31" s="35" t="s">
        <v>494</v>
      </c>
      <c r="P31" s="35" t="s">
        <v>486</v>
      </c>
    </row>
    <row r="32" spans="1:16" ht="28.2" customHeight="1">
      <c r="A32" s="24" t="s">
        <v>47</v>
      </c>
      <c r="B32" s="24" t="s">
        <v>147</v>
      </c>
      <c r="C32" s="29">
        <v>42309</v>
      </c>
      <c r="D32" s="24" t="s">
        <v>190</v>
      </c>
      <c r="E32" s="30" t="s">
        <v>375</v>
      </c>
      <c r="F32" s="33" t="s">
        <v>182</v>
      </c>
      <c r="G32" s="33"/>
      <c r="H32" s="24" t="s">
        <v>183</v>
      </c>
      <c r="I32" s="25" t="s">
        <v>184</v>
      </c>
      <c r="J32" s="25"/>
      <c r="K32" s="30">
        <v>58</v>
      </c>
      <c r="L32" s="32" t="s">
        <v>213</v>
      </c>
      <c r="M32" s="25" t="s">
        <v>112</v>
      </c>
      <c r="N32" s="25" t="s">
        <v>214</v>
      </c>
      <c r="O32" s="35" t="s">
        <v>494</v>
      </c>
      <c r="P32" s="35" t="s">
        <v>486</v>
      </c>
    </row>
    <row r="33" spans="1:16" ht="28.2" customHeight="1">
      <c r="A33" s="24" t="s">
        <v>47</v>
      </c>
      <c r="B33" s="24" t="s">
        <v>147</v>
      </c>
      <c r="C33" s="29">
        <v>42309</v>
      </c>
      <c r="D33" s="24" t="s">
        <v>190</v>
      </c>
      <c r="E33" s="30" t="s">
        <v>378</v>
      </c>
      <c r="F33" s="33" t="s">
        <v>185</v>
      </c>
      <c r="G33" s="33"/>
      <c r="H33" s="24" t="s">
        <v>183</v>
      </c>
      <c r="I33" s="25"/>
      <c r="J33" s="25"/>
      <c r="K33" s="30">
        <v>58</v>
      </c>
      <c r="L33" s="32" t="s">
        <v>215</v>
      </c>
      <c r="M33" s="25" t="s">
        <v>112</v>
      </c>
      <c r="N33" s="25" t="s">
        <v>112</v>
      </c>
      <c r="O33" s="35" t="s">
        <v>494</v>
      </c>
      <c r="P33" s="35" t="s">
        <v>486</v>
      </c>
    </row>
    <row r="34" spans="1:16" ht="28.2" customHeight="1">
      <c r="A34" s="24" t="s">
        <v>47</v>
      </c>
      <c r="B34" s="24" t="s">
        <v>147</v>
      </c>
      <c r="C34" s="29">
        <v>42309</v>
      </c>
      <c r="D34" s="24" t="s">
        <v>190</v>
      </c>
      <c r="E34" s="30" t="s">
        <v>378</v>
      </c>
      <c r="F34" s="33" t="s">
        <v>297</v>
      </c>
      <c r="G34" s="33"/>
      <c r="H34" s="24" t="s">
        <v>186</v>
      </c>
      <c r="I34" s="25" t="s">
        <v>187</v>
      </c>
      <c r="J34" s="25"/>
      <c r="K34" s="30">
        <v>58</v>
      </c>
      <c r="L34" s="32" t="s">
        <v>216</v>
      </c>
      <c r="M34" s="25" t="s">
        <v>112</v>
      </c>
      <c r="N34" s="25" t="s">
        <v>112</v>
      </c>
      <c r="O34" s="35" t="s">
        <v>494</v>
      </c>
      <c r="P34" s="35" t="s">
        <v>486</v>
      </c>
    </row>
    <row r="35" spans="1:16" ht="28.2" customHeight="1">
      <c r="A35" s="24" t="s">
        <v>47</v>
      </c>
      <c r="B35" s="24" t="s">
        <v>147</v>
      </c>
      <c r="C35" s="29">
        <v>42309</v>
      </c>
      <c r="D35" s="24" t="s">
        <v>190</v>
      </c>
      <c r="E35" s="30" t="s">
        <v>378</v>
      </c>
      <c r="F35" s="33" t="s">
        <v>188</v>
      </c>
      <c r="G35" s="33"/>
      <c r="H35" s="24" t="s">
        <v>189</v>
      </c>
      <c r="I35" s="25"/>
      <c r="J35" s="25"/>
      <c r="K35" s="30">
        <v>58</v>
      </c>
      <c r="L35" s="32" t="s">
        <v>217</v>
      </c>
      <c r="M35" s="25" t="s">
        <v>112</v>
      </c>
      <c r="N35" s="25" t="s">
        <v>112</v>
      </c>
      <c r="O35" s="35" t="s">
        <v>494</v>
      </c>
      <c r="P35" s="35" t="s">
        <v>486</v>
      </c>
    </row>
    <row r="36" spans="1:16" ht="28.2" customHeight="1">
      <c r="A36" s="24" t="s">
        <v>47</v>
      </c>
      <c r="B36" s="24" t="s">
        <v>147</v>
      </c>
      <c r="C36" s="29">
        <v>42309</v>
      </c>
      <c r="D36" s="24" t="s">
        <v>190</v>
      </c>
      <c r="E36" s="30" t="s">
        <v>378</v>
      </c>
      <c r="F36" s="33" t="s">
        <v>191</v>
      </c>
      <c r="G36" s="33"/>
      <c r="H36" s="24" t="s">
        <v>192</v>
      </c>
      <c r="I36" s="25"/>
      <c r="J36" s="25"/>
      <c r="K36" s="30">
        <v>59</v>
      </c>
      <c r="L36" s="32" t="s">
        <v>218</v>
      </c>
      <c r="M36" s="25" t="s">
        <v>112</v>
      </c>
      <c r="N36" s="25" t="s">
        <v>112</v>
      </c>
      <c r="O36" s="35" t="s">
        <v>494</v>
      </c>
      <c r="P36" s="35" t="s">
        <v>486</v>
      </c>
    </row>
    <row r="37" spans="1:16" ht="28.2" customHeight="1">
      <c r="A37" s="24" t="s">
        <v>47</v>
      </c>
      <c r="B37" s="24" t="s">
        <v>147</v>
      </c>
      <c r="C37" s="29">
        <v>42309</v>
      </c>
      <c r="D37" s="24" t="s">
        <v>190</v>
      </c>
      <c r="E37" s="30" t="s">
        <v>378</v>
      </c>
      <c r="F37" s="33" t="s">
        <v>193</v>
      </c>
      <c r="G37" s="33"/>
      <c r="H37" s="24" t="s">
        <v>235</v>
      </c>
      <c r="I37" s="25" t="s">
        <v>194</v>
      </c>
      <c r="J37" s="25"/>
      <c r="K37" s="30">
        <v>59</v>
      </c>
      <c r="L37" s="32" t="s">
        <v>219</v>
      </c>
      <c r="M37" s="25" t="s">
        <v>112</v>
      </c>
      <c r="N37" s="25" t="s">
        <v>112</v>
      </c>
      <c r="O37" s="35" t="s">
        <v>494</v>
      </c>
      <c r="P37" s="35" t="s">
        <v>486</v>
      </c>
    </row>
    <row r="38" spans="1:16" ht="27.6">
      <c r="A38" s="24" t="s">
        <v>305</v>
      </c>
      <c r="B38" s="24" t="s">
        <v>392</v>
      </c>
      <c r="C38" s="29">
        <v>42767</v>
      </c>
      <c r="D38" s="24" t="s">
        <v>220</v>
      </c>
      <c r="E38" s="30" t="s">
        <v>376</v>
      </c>
      <c r="F38" s="24" t="s">
        <v>221</v>
      </c>
      <c r="G38" s="24"/>
      <c r="H38" s="24"/>
      <c r="I38" s="25" t="s">
        <v>222</v>
      </c>
      <c r="J38" s="25"/>
      <c r="K38" s="30">
        <v>51</v>
      </c>
      <c r="L38" s="32" t="s">
        <v>251</v>
      </c>
      <c r="M38" s="25" t="s">
        <v>112</v>
      </c>
      <c r="N38" s="25" t="s">
        <v>112</v>
      </c>
      <c r="O38" s="37" t="s">
        <v>485</v>
      </c>
      <c r="P38" s="35" t="s">
        <v>484</v>
      </c>
    </row>
    <row r="39" spans="1:16" ht="41.4">
      <c r="A39" s="24" t="s">
        <v>305</v>
      </c>
      <c r="B39" s="24" t="s">
        <v>392</v>
      </c>
      <c r="C39" s="29">
        <v>42767</v>
      </c>
      <c r="D39" s="24" t="s">
        <v>220</v>
      </c>
      <c r="E39" s="30" t="s">
        <v>376</v>
      </c>
      <c r="F39" s="24" t="s">
        <v>223</v>
      </c>
      <c r="G39" s="24"/>
      <c r="H39" s="24" t="s">
        <v>295</v>
      </c>
      <c r="I39" s="25" t="s">
        <v>224</v>
      </c>
      <c r="J39" s="25"/>
      <c r="K39" s="30">
        <v>52</v>
      </c>
      <c r="L39" s="32" t="s">
        <v>251</v>
      </c>
      <c r="M39" s="25" t="s">
        <v>112</v>
      </c>
      <c r="N39" s="25" t="s">
        <v>112</v>
      </c>
      <c r="O39" s="37" t="s">
        <v>485</v>
      </c>
      <c r="P39" s="35" t="s">
        <v>484</v>
      </c>
    </row>
    <row r="40" spans="1:16" ht="41.4">
      <c r="A40" s="24" t="s">
        <v>305</v>
      </c>
      <c r="B40" s="24" t="s">
        <v>392</v>
      </c>
      <c r="C40" s="29">
        <v>42767</v>
      </c>
      <c r="D40" s="24" t="s">
        <v>220</v>
      </c>
      <c r="E40" s="30" t="s">
        <v>376</v>
      </c>
      <c r="F40" s="24" t="s">
        <v>48</v>
      </c>
      <c r="G40" s="24"/>
      <c r="H40" s="24"/>
      <c r="I40" s="25"/>
      <c r="J40" s="25"/>
      <c r="K40" s="30">
        <v>52</v>
      </c>
      <c r="L40" s="32" t="s">
        <v>274</v>
      </c>
      <c r="M40" s="25" t="s">
        <v>112</v>
      </c>
      <c r="N40" s="25" t="s">
        <v>112</v>
      </c>
      <c r="O40" s="37" t="s">
        <v>485</v>
      </c>
      <c r="P40" s="35" t="s">
        <v>484</v>
      </c>
    </row>
    <row r="41" spans="1:16" ht="27.6">
      <c r="A41" s="24" t="s">
        <v>305</v>
      </c>
      <c r="B41" s="24" t="s">
        <v>392</v>
      </c>
      <c r="C41" s="29">
        <v>42767</v>
      </c>
      <c r="D41" s="24" t="s">
        <v>220</v>
      </c>
      <c r="E41" s="30" t="s">
        <v>377</v>
      </c>
      <c r="F41" s="24" t="s">
        <v>272</v>
      </c>
      <c r="G41" s="24"/>
      <c r="H41" s="24"/>
      <c r="I41" s="25" t="s">
        <v>273</v>
      </c>
      <c r="J41" s="25"/>
      <c r="K41" s="30">
        <v>52</v>
      </c>
      <c r="L41" s="32" t="s">
        <v>275</v>
      </c>
      <c r="M41" s="25" t="s">
        <v>112</v>
      </c>
      <c r="N41" s="25" t="s">
        <v>112</v>
      </c>
      <c r="O41" s="37" t="s">
        <v>485</v>
      </c>
      <c r="P41" s="35" t="s">
        <v>484</v>
      </c>
    </row>
    <row r="42" spans="1:16" ht="55.2">
      <c r="A42" s="24" t="s">
        <v>305</v>
      </c>
      <c r="B42" s="24" t="s">
        <v>392</v>
      </c>
      <c r="C42" s="29">
        <v>42767</v>
      </c>
      <c r="D42" s="24" t="s">
        <v>220</v>
      </c>
      <c r="E42" s="30" t="s">
        <v>375</v>
      </c>
      <c r="F42" s="24" t="s">
        <v>49</v>
      </c>
      <c r="G42" s="24"/>
      <c r="H42" s="24" t="s">
        <v>229</v>
      </c>
      <c r="I42" s="25" t="s">
        <v>230</v>
      </c>
      <c r="J42" s="25"/>
      <c r="K42" s="30">
        <v>52</v>
      </c>
      <c r="L42" s="32" t="s">
        <v>276</v>
      </c>
      <c r="M42" s="25" t="s">
        <v>112</v>
      </c>
      <c r="N42" s="25" t="s">
        <v>277</v>
      </c>
      <c r="O42" s="37" t="s">
        <v>485</v>
      </c>
      <c r="P42" s="35" t="s">
        <v>484</v>
      </c>
    </row>
    <row r="43" spans="1:16" ht="41.4">
      <c r="A43" s="24" t="s">
        <v>305</v>
      </c>
      <c r="B43" s="24" t="s">
        <v>392</v>
      </c>
      <c r="C43" s="29">
        <v>42767</v>
      </c>
      <c r="D43" s="24" t="s">
        <v>220</v>
      </c>
      <c r="E43" s="30" t="s">
        <v>375</v>
      </c>
      <c r="F43" s="24" t="s">
        <v>50</v>
      </c>
      <c r="G43" s="24"/>
      <c r="H43" s="24" t="s">
        <v>231</v>
      </c>
      <c r="I43" s="25" t="s">
        <v>232</v>
      </c>
      <c r="J43" s="25"/>
      <c r="K43" s="30">
        <v>52</v>
      </c>
      <c r="L43" s="32" t="s">
        <v>278</v>
      </c>
      <c r="M43" s="25" t="s">
        <v>112</v>
      </c>
      <c r="N43" s="25" t="s">
        <v>112</v>
      </c>
      <c r="O43" s="37" t="s">
        <v>485</v>
      </c>
      <c r="P43" s="35" t="s">
        <v>484</v>
      </c>
    </row>
    <row r="44" spans="1:16" ht="27.6">
      <c r="A44" s="24" t="s">
        <v>305</v>
      </c>
      <c r="B44" s="24" t="s">
        <v>392</v>
      </c>
      <c r="C44" s="29">
        <v>42767</v>
      </c>
      <c r="D44" s="24" t="s">
        <v>220</v>
      </c>
      <c r="E44" s="30" t="s">
        <v>378</v>
      </c>
      <c r="F44" s="24" t="s">
        <v>233</v>
      </c>
      <c r="G44" s="24"/>
      <c r="H44" s="24"/>
      <c r="I44" s="25" t="s">
        <v>234</v>
      </c>
      <c r="J44" s="25"/>
      <c r="K44" s="30">
        <v>52</v>
      </c>
      <c r="L44" s="32" t="s">
        <v>279</v>
      </c>
      <c r="M44" s="25" t="s">
        <v>112</v>
      </c>
      <c r="N44" s="25" t="s">
        <v>112</v>
      </c>
      <c r="O44" s="37" t="s">
        <v>485</v>
      </c>
      <c r="P44" s="35" t="s">
        <v>484</v>
      </c>
    </row>
    <row r="45" spans="1:16" ht="27.6">
      <c r="A45" s="24" t="s">
        <v>305</v>
      </c>
      <c r="B45" s="24" t="s">
        <v>392</v>
      </c>
      <c r="C45" s="29">
        <v>42767</v>
      </c>
      <c r="D45" s="24" t="s">
        <v>220</v>
      </c>
      <c r="E45" s="30" t="s">
        <v>378</v>
      </c>
      <c r="F45" s="24" t="s">
        <v>236</v>
      </c>
      <c r="G45" s="24"/>
      <c r="H45" s="24"/>
      <c r="I45" s="25" t="s">
        <v>237</v>
      </c>
      <c r="J45" s="25"/>
      <c r="K45" s="30">
        <v>52</v>
      </c>
      <c r="L45" s="32" t="s">
        <v>279</v>
      </c>
      <c r="M45" s="25" t="s">
        <v>112</v>
      </c>
      <c r="N45" s="25" t="s">
        <v>112</v>
      </c>
      <c r="O45" s="37" t="s">
        <v>485</v>
      </c>
      <c r="P45" s="35" t="s">
        <v>484</v>
      </c>
    </row>
    <row r="46" spans="1:16" ht="27.6">
      <c r="A46" s="24" t="s">
        <v>305</v>
      </c>
      <c r="B46" s="24" t="s">
        <v>392</v>
      </c>
      <c r="C46" s="29">
        <v>42767</v>
      </c>
      <c r="D46" s="24" t="s">
        <v>220</v>
      </c>
      <c r="E46" s="30" t="s">
        <v>378</v>
      </c>
      <c r="F46" s="24" t="s">
        <v>238</v>
      </c>
      <c r="G46" s="24"/>
      <c r="H46" s="24"/>
      <c r="I46" s="25" t="s">
        <v>239</v>
      </c>
      <c r="J46" s="25"/>
      <c r="K46" s="30">
        <v>52</v>
      </c>
      <c r="L46" s="32" t="s">
        <v>279</v>
      </c>
      <c r="M46" s="25" t="s">
        <v>112</v>
      </c>
      <c r="N46" s="25" t="s">
        <v>112</v>
      </c>
      <c r="O46" s="37" t="s">
        <v>485</v>
      </c>
      <c r="P46" s="35" t="s">
        <v>484</v>
      </c>
    </row>
    <row r="47" spans="1:16" ht="27.6">
      <c r="A47" s="24" t="s">
        <v>305</v>
      </c>
      <c r="B47" s="24" t="s">
        <v>392</v>
      </c>
      <c r="C47" s="29">
        <v>42767</v>
      </c>
      <c r="D47" s="24" t="s">
        <v>220</v>
      </c>
      <c r="E47" s="30" t="s">
        <v>378</v>
      </c>
      <c r="F47" s="24" t="s">
        <v>240</v>
      </c>
      <c r="G47" s="24"/>
      <c r="H47" s="24"/>
      <c r="I47" s="25" t="s">
        <v>241</v>
      </c>
      <c r="J47" s="25"/>
      <c r="K47" s="30">
        <v>53</v>
      </c>
      <c r="L47" s="32" t="s">
        <v>279</v>
      </c>
      <c r="M47" s="25" t="s">
        <v>112</v>
      </c>
      <c r="N47" s="25" t="s">
        <v>112</v>
      </c>
      <c r="O47" s="37" t="s">
        <v>485</v>
      </c>
      <c r="P47" s="35" t="s">
        <v>484</v>
      </c>
    </row>
    <row r="48" spans="1:16" ht="33" customHeight="1">
      <c r="A48" s="24" t="s">
        <v>305</v>
      </c>
      <c r="B48" s="24" t="s">
        <v>392</v>
      </c>
      <c r="C48" s="29">
        <v>42767</v>
      </c>
      <c r="D48" s="24" t="s">
        <v>220</v>
      </c>
      <c r="E48" s="30" t="s">
        <v>378</v>
      </c>
      <c r="F48" s="24" t="s">
        <v>247</v>
      </c>
      <c r="G48" s="24"/>
      <c r="H48" s="24" t="s">
        <v>248</v>
      </c>
      <c r="I48" s="25"/>
      <c r="J48" s="25"/>
      <c r="K48" s="30">
        <v>53</v>
      </c>
      <c r="L48" s="32" t="s">
        <v>286</v>
      </c>
      <c r="M48" s="25" t="s">
        <v>112</v>
      </c>
      <c r="N48" s="25" t="s">
        <v>112</v>
      </c>
      <c r="O48" s="37" t="s">
        <v>485</v>
      </c>
      <c r="P48" s="35" t="s">
        <v>484</v>
      </c>
    </row>
    <row r="49" spans="1:16" ht="69">
      <c r="A49" s="24" t="s">
        <v>305</v>
      </c>
      <c r="B49" s="24" t="s">
        <v>392</v>
      </c>
      <c r="C49" s="29">
        <v>42767</v>
      </c>
      <c r="D49" s="24" t="s">
        <v>220</v>
      </c>
      <c r="E49" s="30" t="s">
        <v>378</v>
      </c>
      <c r="F49" s="24" t="s">
        <v>249</v>
      </c>
      <c r="G49" s="24"/>
      <c r="H49" s="24" t="s">
        <v>250</v>
      </c>
      <c r="I49" s="25"/>
      <c r="J49" s="25"/>
      <c r="K49" s="30">
        <v>54</v>
      </c>
      <c r="L49" s="32" t="s">
        <v>285</v>
      </c>
      <c r="M49" s="25" t="s">
        <v>112</v>
      </c>
      <c r="N49" s="25" t="s">
        <v>112</v>
      </c>
      <c r="O49" s="37" t="s">
        <v>485</v>
      </c>
      <c r="P49" s="35" t="s">
        <v>484</v>
      </c>
    </row>
    <row r="50" spans="1:16" ht="27.6">
      <c r="A50" s="24" t="s">
        <v>305</v>
      </c>
      <c r="B50" s="24" t="s">
        <v>392</v>
      </c>
      <c r="C50" s="29">
        <v>42767</v>
      </c>
      <c r="D50" s="24" t="s">
        <v>220</v>
      </c>
      <c r="E50" s="30" t="s">
        <v>378</v>
      </c>
      <c r="F50" s="24" t="s">
        <v>252</v>
      </c>
      <c r="G50" s="24"/>
      <c r="H50" s="24"/>
      <c r="I50" s="25" t="s">
        <v>253</v>
      </c>
      <c r="J50" s="25"/>
      <c r="K50" s="30">
        <v>54</v>
      </c>
      <c r="L50" s="32" t="s">
        <v>284</v>
      </c>
      <c r="M50" s="25" t="s">
        <v>112</v>
      </c>
      <c r="N50" s="25" t="s">
        <v>112</v>
      </c>
      <c r="O50" s="37" t="s">
        <v>485</v>
      </c>
      <c r="P50" s="35" t="s">
        <v>484</v>
      </c>
    </row>
    <row r="51" spans="1:16" ht="27.6">
      <c r="A51" s="24" t="s">
        <v>305</v>
      </c>
      <c r="B51" s="24" t="s">
        <v>392</v>
      </c>
      <c r="C51" s="29">
        <v>42767</v>
      </c>
      <c r="D51" s="24" t="s">
        <v>220</v>
      </c>
      <c r="E51" s="30" t="s">
        <v>378</v>
      </c>
      <c r="F51" s="24" t="s">
        <v>254</v>
      </c>
      <c r="G51" s="24"/>
      <c r="H51" s="24"/>
      <c r="I51" s="25" t="s">
        <v>287</v>
      </c>
      <c r="J51" s="25"/>
      <c r="K51" s="30">
        <v>54</v>
      </c>
      <c r="L51" s="32" t="s">
        <v>288</v>
      </c>
      <c r="M51" s="25" t="s">
        <v>112</v>
      </c>
      <c r="N51" s="25" t="s">
        <v>112</v>
      </c>
      <c r="O51" s="37" t="s">
        <v>485</v>
      </c>
      <c r="P51" s="35" t="s">
        <v>484</v>
      </c>
    </row>
    <row r="52" spans="1:16" ht="41.4">
      <c r="A52" s="24" t="s">
        <v>305</v>
      </c>
      <c r="B52" s="24" t="s">
        <v>392</v>
      </c>
      <c r="C52" s="29">
        <v>42767</v>
      </c>
      <c r="D52" s="24" t="s">
        <v>220</v>
      </c>
      <c r="E52" s="30" t="s">
        <v>378</v>
      </c>
      <c r="F52" s="24" t="s">
        <v>51</v>
      </c>
      <c r="G52" s="24"/>
      <c r="H52" s="24"/>
      <c r="I52" s="25"/>
      <c r="J52" s="25"/>
      <c r="K52" s="30">
        <v>54</v>
      </c>
      <c r="L52" s="32" t="s">
        <v>283</v>
      </c>
      <c r="M52" s="25" t="s">
        <v>112</v>
      </c>
      <c r="N52" s="25" t="s">
        <v>112</v>
      </c>
      <c r="O52" s="37" t="s">
        <v>485</v>
      </c>
      <c r="P52" s="35" t="s">
        <v>484</v>
      </c>
    </row>
    <row r="53" spans="1:16" ht="27.6">
      <c r="A53" s="24" t="s">
        <v>305</v>
      </c>
      <c r="B53" s="24" t="s">
        <v>392</v>
      </c>
      <c r="C53" s="29">
        <v>42767</v>
      </c>
      <c r="D53" s="24" t="s">
        <v>220</v>
      </c>
      <c r="E53" s="30" t="s">
        <v>378</v>
      </c>
      <c r="F53" s="24" t="s">
        <v>296</v>
      </c>
      <c r="G53" s="24"/>
      <c r="H53" s="24"/>
      <c r="I53" s="25" t="s">
        <v>255</v>
      </c>
      <c r="J53" s="25"/>
      <c r="K53" s="30">
        <v>54</v>
      </c>
      <c r="L53" s="32" t="s">
        <v>289</v>
      </c>
      <c r="M53" s="25" t="s">
        <v>112</v>
      </c>
      <c r="N53" s="25" t="s">
        <v>112</v>
      </c>
      <c r="O53" s="37" t="s">
        <v>485</v>
      </c>
      <c r="P53" s="35" t="s">
        <v>484</v>
      </c>
    </row>
    <row r="54" spans="1:16" ht="27.6">
      <c r="A54" s="24" t="s">
        <v>305</v>
      </c>
      <c r="B54" s="24" t="s">
        <v>392</v>
      </c>
      <c r="C54" s="29">
        <v>42767</v>
      </c>
      <c r="D54" s="24" t="s">
        <v>220</v>
      </c>
      <c r="E54" s="30" t="s">
        <v>378</v>
      </c>
      <c r="F54" s="24" t="s">
        <v>256</v>
      </c>
      <c r="G54" s="24"/>
      <c r="H54" s="24"/>
      <c r="I54" s="25" t="s">
        <v>257</v>
      </c>
      <c r="J54" s="25"/>
      <c r="K54" s="30">
        <v>54</v>
      </c>
      <c r="L54" s="32" t="s">
        <v>290</v>
      </c>
      <c r="M54" s="25" t="s">
        <v>112</v>
      </c>
      <c r="N54" s="25" t="s">
        <v>112</v>
      </c>
      <c r="O54" s="37" t="s">
        <v>485</v>
      </c>
      <c r="P54" s="35" t="s">
        <v>484</v>
      </c>
    </row>
    <row r="55" spans="1:16" ht="27.6">
      <c r="A55" s="24" t="s">
        <v>305</v>
      </c>
      <c r="B55" s="24" t="s">
        <v>392</v>
      </c>
      <c r="C55" s="29">
        <v>42767</v>
      </c>
      <c r="D55" s="24" t="s">
        <v>220</v>
      </c>
      <c r="E55" s="30" t="s">
        <v>378</v>
      </c>
      <c r="F55" s="24" t="s">
        <v>52</v>
      </c>
      <c r="G55" s="24"/>
      <c r="H55" s="24"/>
      <c r="I55" s="25"/>
      <c r="J55" s="25"/>
      <c r="K55" s="30">
        <v>54</v>
      </c>
      <c r="L55" s="32" t="s">
        <v>280</v>
      </c>
      <c r="M55" s="25" t="s">
        <v>112</v>
      </c>
      <c r="N55" s="25" t="s">
        <v>112</v>
      </c>
      <c r="O55" s="37" t="s">
        <v>485</v>
      </c>
      <c r="P55" s="35" t="s">
        <v>484</v>
      </c>
    </row>
    <row r="56" spans="1:16" ht="27.6">
      <c r="A56" s="24" t="s">
        <v>305</v>
      </c>
      <c r="B56" s="24" t="s">
        <v>392</v>
      </c>
      <c r="C56" s="29">
        <v>42767</v>
      </c>
      <c r="D56" s="24" t="s">
        <v>220</v>
      </c>
      <c r="E56" s="30" t="s">
        <v>378</v>
      </c>
      <c r="F56" s="24" t="s">
        <v>53</v>
      </c>
      <c r="G56" s="24"/>
      <c r="H56" s="24"/>
      <c r="I56" s="25"/>
      <c r="J56" s="25"/>
      <c r="K56" s="30">
        <v>54</v>
      </c>
      <c r="L56" s="32" t="s">
        <v>281</v>
      </c>
      <c r="M56" s="25" t="s">
        <v>282</v>
      </c>
      <c r="N56" s="25" t="s">
        <v>112</v>
      </c>
      <c r="O56" s="37" t="s">
        <v>485</v>
      </c>
      <c r="P56" s="35" t="s">
        <v>484</v>
      </c>
    </row>
    <row r="57" spans="1:16" ht="39" customHeight="1">
      <c r="A57" s="24" t="s">
        <v>305</v>
      </c>
      <c r="B57" s="24" t="s">
        <v>392</v>
      </c>
      <c r="C57" s="29">
        <v>42767</v>
      </c>
      <c r="D57" s="24" t="s">
        <v>220</v>
      </c>
      <c r="E57" s="30" t="s">
        <v>378</v>
      </c>
      <c r="F57" s="24" t="s">
        <v>271</v>
      </c>
      <c r="G57" s="24"/>
      <c r="H57" s="24" t="s">
        <v>225</v>
      </c>
      <c r="I57" s="25" t="s">
        <v>226</v>
      </c>
      <c r="J57" s="25"/>
      <c r="K57" s="30">
        <v>53</v>
      </c>
      <c r="L57" s="32" t="s">
        <v>291</v>
      </c>
      <c r="M57" s="25" t="s">
        <v>112</v>
      </c>
      <c r="N57" s="25" t="s">
        <v>112</v>
      </c>
      <c r="O57" s="37" t="s">
        <v>485</v>
      </c>
      <c r="P57" s="35" t="s">
        <v>484</v>
      </c>
    </row>
    <row r="58" spans="1:16" ht="27.6">
      <c r="A58" s="24" t="s">
        <v>305</v>
      </c>
      <c r="B58" s="24" t="s">
        <v>392</v>
      </c>
      <c r="C58" s="29">
        <v>42767</v>
      </c>
      <c r="D58" s="24" t="s">
        <v>220</v>
      </c>
      <c r="E58" s="30" t="s">
        <v>375</v>
      </c>
      <c r="F58" s="24" t="s">
        <v>227</v>
      </c>
      <c r="G58" s="24"/>
      <c r="H58" s="24" t="s">
        <v>228</v>
      </c>
      <c r="I58" s="25"/>
      <c r="J58" s="25"/>
      <c r="K58" s="30">
        <v>53</v>
      </c>
      <c r="L58" s="32" t="s">
        <v>292</v>
      </c>
      <c r="M58" s="25" t="s">
        <v>112</v>
      </c>
      <c r="N58" s="25" t="s">
        <v>112</v>
      </c>
      <c r="O58" s="37" t="s">
        <v>485</v>
      </c>
      <c r="P58" s="35" t="s">
        <v>484</v>
      </c>
    </row>
    <row r="59" spans="1:16" ht="41.4">
      <c r="A59" s="24" t="s">
        <v>305</v>
      </c>
      <c r="B59" s="24" t="s">
        <v>392</v>
      </c>
      <c r="C59" s="29">
        <v>42767</v>
      </c>
      <c r="D59" s="24" t="s">
        <v>220</v>
      </c>
      <c r="E59" s="30" t="s">
        <v>375</v>
      </c>
      <c r="F59" s="24" t="s">
        <v>242</v>
      </c>
      <c r="G59" s="24"/>
      <c r="H59" s="24" t="s">
        <v>243</v>
      </c>
      <c r="I59" s="25"/>
      <c r="J59" s="25"/>
      <c r="K59" s="30">
        <v>53</v>
      </c>
      <c r="L59" s="32" t="s">
        <v>293</v>
      </c>
      <c r="M59" s="25" t="s">
        <v>112</v>
      </c>
      <c r="N59" s="25" t="s">
        <v>112</v>
      </c>
      <c r="O59" s="37" t="s">
        <v>485</v>
      </c>
      <c r="P59" s="35" t="s">
        <v>484</v>
      </c>
    </row>
    <row r="60" spans="1:16" ht="27.6">
      <c r="A60" s="24" t="s">
        <v>305</v>
      </c>
      <c r="B60" s="24" t="s">
        <v>392</v>
      </c>
      <c r="C60" s="29">
        <v>42767</v>
      </c>
      <c r="D60" s="24" t="s">
        <v>220</v>
      </c>
      <c r="E60" s="30" t="s">
        <v>375</v>
      </c>
      <c r="F60" s="24" t="s">
        <v>244</v>
      </c>
      <c r="G60" s="24"/>
      <c r="H60" s="24" t="s">
        <v>245</v>
      </c>
      <c r="I60" s="25" t="s">
        <v>246</v>
      </c>
      <c r="J60" s="25"/>
      <c r="K60" s="30">
        <v>53</v>
      </c>
      <c r="L60" s="32" t="s">
        <v>294</v>
      </c>
      <c r="M60" s="25" t="s">
        <v>112</v>
      </c>
      <c r="N60" s="25" t="s">
        <v>112</v>
      </c>
      <c r="O60" s="37" t="s">
        <v>485</v>
      </c>
      <c r="P60" s="35" t="s">
        <v>484</v>
      </c>
    </row>
    <row r="61" spans="1:16" ht="28.2" customHeight="1">
      <c r="A61" s="24" t="s">
        <v>25</v>
      </c>
      <c r="B61" s="24" t="s">
        <v>6</v>
      </c>
      <c r="C61" s="29">
        <v>42767</v>
      </c>
      <c r="D61" s="24" t="s">
        <v>19</v>
      </c>
      <c r="E61" s="30" t="s">
        <v>375</v>
      </c>
      <c r="F61" s="31" t="s">
        <v>54</v>
      </c>
      <c r="G61" s="31"/>
      <c r="H61" s="24" t="s">
        <v>117</v>
      </c>
      <c r="I61" s="25" t="s">
        <v>118</v>
      </c>
      <c r="J61" s="25"/>
      <c r="K61" s="30">
        <v>22</v>
      </c>
      <c r="L61" s="32" t="s">
        <v>268</v>
      </c>
      <c r="M61" s="25" t="s">
        <v>112</v>
      </c>
      <c r="N61" s="25" t="s">
        <v>269</v>
      </c>
      <c r="O61" s="37" t="s">
        <v>485</v>
      </c>
      <c r="P61" s="35" t="s">
        <v>483</v>
      </c>
    </row>
    <row r="62" spans="1:16" ht="28.2" customHeight="1">
      <c r="A62" s="24" t="s">
        <v>25</v>
      </c>
      <c r="B62" s="24" t="s">
        <v>6</v>
      </c>
      <c r="C62" s="29">
        <v>42767</v>
      </c>
      <c r="D62" s="24" t="s">
        <v>19</v>
      </c>
      <c r="E62" s="30" t="s">
        <v>375</v>
      </c>
      <c r="F62" s="31" t="s">
        <v>119</v>
      </c>
      <c r="G62" s="31"/>
      <c r="H62" s="24" t="s">
        <v>121</v>
      </c>
      <c r="I62" s="25" t="s">
        <v>120</v>
      </c>
      <c r="J62" s="25"/>
      <c r="K62" s="30">
        <v>22</v>
      </c>
      <c r="L62" s="32" t="s">
        <v>270</v>
      </c>
      <c r="M62" s="25" t="s">
        <v>112</v>
      </c>
      <c r="N62" s="25" t="s">
        <v>112</v>
      </c>
      <c r="O62" s="37" t="s">
        <v>485</v>
      </c>
      <c r="P62" s="35" t="s">
        <v>483</v>
      </c>
    </row>
    <row r="63" spans="1:16" ht="28.2" customHeight="1">
      <c r="A63" s="24" t="s">
        <v>25</v>
      </c>
      <c r="B63" s="24" t="s">
        <v>6</v>
      </c>
      <c r="C63" s="29">
        <v>42767</v>
      </c>
      <c r="D63" s="24" t="s">
        <v>19</v>
      </c>
      <c r="E63" s="30" t="s">
        <v>375</v>
      </c>
      <c r="F63" s="31" t="s">
        <v>122</v>
      </c>
      <c r="G63" s="31"/>
      <c r="H63" s="24" t="s">
        <v>123</v>
      </c>
      <c r="I63" s="25" t="s">
        <v>124</v>
      </c>
      <c r="J63" s="25"/>
      <c r="K63" s="30">
        <v>22</v>
      </c>
      <c r="L63" s="32" t="s">
        <v>125</v>
      </c>
      <c r="M63" s="25" t="s">
        <v>112</v>
      </c>
      <c r="N63" s="25" t="s">
        <v>112</v>
      </c>
      <c r="O63" s="37" t="s">
        <v>485</v>
      </c>
      <c r="P63" s="35" t="s">
        <v>483</v>
      </c>
    </row>
    <row r="64" spans="1:16" ht="27.6">
      <c r="A64" s="24" t="s">
        <v>459</v>
      </c>
      <c r="B64" s="24" t="s">
        <v>460</v>
      </c>
      <c r="C64" s="29">
        <v>44743</v>
      </c>
      <c r="D64" s="24" t="s">
        <v>220</v>
      </c>
      <c r="E64" s="30" t="s">
        <v>377</v>
      </c>
      <c r="F64" s="31" t="s">
        <v>478</v>
      </c>
      <c r="G64" s="24" t="s">
        <v>467</v>
      </c>
      <c r="H64" s="31" t="s">
        <v>520</v>
      </c>
      <c r="I64" s="25" t="s">
        <v>461</v>
      </c>
      <c r="J64" s="25"/>
      <c r="K64" s="30">
        <v>25</v>
      </c>
      <c r="L64" s="32" t="s">
        <v>468</v>
      </c>
      <c r="M64" s="25" t="s">
        <v>474</v>
      </c>
      <c r="N64" s="25"/>
      <c r="O64" s="35" t="s">
        <v>492</v>
      </c>
      <c r="P64" s="38" t="s">
        <v>495</v>
      </c>
    </row>
    <row r="65" spans="1:16" ht="27.6">
      <c r="A65" s="24" t="s">
        <v>459</v>
      </c>
      <c r="B65" s="24" t="s">
        <v>460</v>
      </c>
      <c r="C65" s="29">
        <v>44743</v>
      </c>
      <c r="D65" s="24" t="s">
        <v>220</v>
      </c>
      <c r="E65" s="30" t="s">
        <v>375</v>
      </c>
      <c r="F65" s="31" t="s">
        <v>479</v>
      </c>
      <c r="G65" s="24" t="s">
        <v>467</v>
      </c>
      <c r="H65" s="31" t="s">
        <v>521</v>
      </c>
      <c r="I65" s="25" t="s">
        <v>462</v>
      </c>
      <c r="J65" s="25"/>
      <c r="K65" s="30">
        <v>25</v>
      </c>
      <c r="L65" s="32" t="s">
        <v>469</v>
      </c>
      <c r="M65" s="25" t="s">
        <v>475</v>
      </c>
      <c r="N65" s="25" t="s">
        <v>477</v>
      </c>
      <c r="O65" s="35" t="s">
        <v>492</v>
      </c>
      <c r="P65" s="38" t="s">
        <v>495</v>
      </c>
    </row>
    <row r="66" spans="1:16" ht="27.6">
      <c r="A66" s="24" t="s">
        <v>459</v>
      </c>
      <c r="B66" s="24" t="s">
        <v>460</v>
      </c>
      <c r="C66" s="29">
        <v>44743</v>
      </c>
      <c r="D66" s="24" t="s">
        <v>220</v>
      </c>
      <c r="E66" s="30" t="s">
        <v>377</v>
      </c>
      <c r="F66" s="31" t="s">
        <v>482</v>
      </c>
      <c r="G66" s="24" t="s">
        <v>467</v>
      </c>
      <c r="H66" s="31" t="s">
        <v>465</v>
      </c>
      <c r="I66" s="25" t="s">
        <v>463</v>
      </c>
      <c r="J66" s="25"/>
      <c r="K66" s="30">
        <v>26</v>
      </c>
      <c r="L66" s="32" t="s">
        <v>471</v>
      </c>
      <c r="M66" s="25" t="s">
        <v>474</v>
      </c>
      <c r="N66" s="25"/>
      <c r="O66" s="35" t="s">
        <v>492</v>
      </c>
      <c r="P66" s="38" t="s">
        <v>495</v>
      </c>
    </row>
    <row r="67" spans="1:16" ht="27.6">
      <c r="A67" s="24" t="s">
        <v>459</v>
      </c>
      <c r="B67" s="24" t="s">
        <v>460</v>
      </c>
      <c r="C67" s="29">
        <v>44743</v>
      </c>
      <c r="D67" s="24" t="s">
        <v>220</v>
      </c>
      <c r="E67" s="30" t="s">
        <v>375</v>
      </c>
      <c r="F67" s="31" t="s">
        <v>476</v>
      </c>
      <c r="G67" s="24" t="s">
        <v>467</v>
      </c>
      <c r="H67" s="31" t="s">
        <v>465</v>
      </c>
      <c r="I67" s="25" t="s">
        <v>464</v>
      </c>
      <c r="J67" s="25"/>
      <c r="K67" s="30">
        <v>26</v>
      </c>
      <c r="L67" s="32" t="s">
        <v>472</v>
      </c>
      <c r="M67" s="25" t="s">
        <v>474</v>
      </c>
      <c r="N67" s="25"/>
      <c r="O67" s="35" t="s">
        <v>492</v>
      </c>
      <c r="P67" s="38" t="s">
        <v>495</v>
      </c>
    </row>
    <row r="68" spans="1:16" ht="27.6">
      <c r="A68" s="24" t="s">
        <v>459</v>
      </c>
      <c r="B68" s="24" t="s">
        <v>460</v>
      </c>
      <c r="C68" s="29">
        <v>44743</v>
      </c>
      <c r="D68" s="24" t="s">
        <v>220</v>
      </c>
      <c r="E68" s="30" t="s">
        <v>375</v>
      </c>
      <c r="F68" s="31" t="s">
        <v>480</v>
      </c>
      <c r="G68" s="24" t="s">
        <v>467</v>
      </c>
      <c r="H68" s="31" t="s">
        <v>481</v>
      </c>
      <c r="I68" s="25" t="s">
        <v>466</v>
      </c>
      <c r="J68" s="25"/>
      <c r="K68" s="30">
        <v>27</v>
      </c>
      <c r="L68" s="32" t="s">
        <v>473</v>
      </c>
      <c r="M68" s="25" t="s">
        <v>474</v>
      </c>
      <c r="N68" s="25"/>
      <c r="O68" s="35" t="s">
        <v>492</v>
      </c>
      <c r="P68" s="38" t="s">
        <v>495</v>
      </c>
    </row>
    <row r="69" spans="1:16" ht="27.6">
      <c r="A69" s="24" t="s">
        <v>496</v>
      </c>
      <c r="B69" s="24" t="s">
        <v>497</v>
      </c>
      <c r="C69" s="29">
        <v>44866</v>
      </c>
      <c r="D69" s="24" t="s">
        <v>220</v>
      </c>
      <c r="E69" s="30" t="s">
        <v>377</v>
      </c>
      <c r="F69" s="31" t="s">
        <v>498</v>
      </c>
      <c r="G69" s="24" t="s">
        <v>467</v>
      </c>
      <c r="H69" s="31" t="s">
        <v>500</v>
      </c>
      <c r="I69" s="25" t="s">
        <v>499</v>
      </c>
      <c r="J69" s="25"/>
      <c r="K69" s="30">
        <v>17</v>
      </c>
      <c r="L69" s="25"/>
      <c r="M69" s="25"/>
      <c r="N69" s="25"/>
      <c r="O69" s="36" t="s">
        <v>501</v>
      </c>
      <c r="P69" s="36"/>
    </row>
    <row r="70" spans="1:15" ht="27.6">
      <c r="A70" s="24" t="s">
        <v>502</v>
      </c>
      <c r="B70" s="24" t="s">
        <v>460</v>
      </c>
      <c r="C70" s="29">
        <v>45002</v>
      </c>
      <c r="D70" s="24" t="s">
        <v>220</v>
      </c>
      <c r="E70" s="30" t="s">
        <v>375</v>
      </c>
      <c r="F70" s="31" t="s">
        <v>503</v>
      </c>
      <c r="G70" s="24" t="s">
        <v>467</v>
      </c>
      <c r="H70" s="25" t="s">
        <v>504</v>
      </c>
      <c r="I70" s="25" t="s">
        <v>505</v>
      </c>
      <c r="J70" s="25" t="s">
        <v>506</v>
      </c>
      <c r="K70" s="30">
        <v>24</v>
      </c>
      <c r="L70" s="25"/>
      <c r="M70" s="25"/>
      <c r="N70" s="25"/>
      <c r="O70" s="34"/>
    </row>
    <row r="71" spans="1:15" ht="27.6">
      <c r="A71" s="24" t="s">
        <v>502</v>
      </c>
      <c r="B71" s="24" t="s">
        <v>460</v>
      </c>
      <c r="C71" s="29">
        <v>45002</v>
      </c>
      <c r="D71" s="24" t="s">
        <v>220</v>
      </c>
      <c r="E71" s="30" t="s">
        <v>377</v>
      </c>
      <c r="F71" s="31" t="s">
        <v>507</v>
      </c>
      <c r="G71" s="24" t="s">
        <v>467</v>
      </c>
      <c r="H71" s="25" t="s">
        <v>508</v>
      </c>
      <c r="I71" s="25" t="s">
        <v>509</v>
      </c>
      <c r="J71" s="25" t="s">
        <v>510</v>
      </c>
      <c r="K71" s="30">
        <v>24</v>
      </c>
      <c r="L71" s="25"/>
      <c r="M71" s="25"/>
      <c r="N71" s="25"/>
      <c r="O71" s="34"/>
    </row>
    <row r="72" spans="1:15" ht="27.6">
      <c r="A72" s="24" t="s">
        <v>502</v>
      </c>
      <c r="B72" s="24" t="s">
        <v>460</v>
      </c>
      <c r="C72" s="29">
        <v>45002</v>
      </c>
      <c r="D72" s="24" t="s">
        <v>220</v>
      </c>
      <c r="E72" s="30" t="s">
        <v>375</v>
      </c>
      <c r="F72" s="31" t="s">
        <v>511</v>
      </c>
      <c r="G72" s="31"/>
      <c r="H72" s="25" t="s">
        <v>512</v>
      </c>
      <c r="I72" s="25" t="s">
        <v>513</v>
      </c>
      <c r="J72" s="25" t="s">
        <v>506</v>
      </c>
      <c r="K72" s="30">
        <v>24</v>
      </c>
      <c r="L72" s="25"/>
      <c r="M72" s="25"/>
      <c r="N72" s="25"/>
      <c r="O72" s="34"/>
    </row>
  </sheetData>
  <autoFilter ref="A1:R63"/>
  <hyperlinks>
    <hyperlink ref="O2" r:id="rId1" display="https://www.bpa.gov/-/media/Aep/energy-efficiency/evaluation-projects-studies/2018-19-bpa-res-hvac-impact-evaluation-final-report.pdf"/>
    <hyperlink ref="O14" r:id="rId2" display="https://www.bpa.gov/-/media/Aep/energy-efficiency/evaluation-projects-studies/1802-bpa-residential-impact-evaluation-final-report.pdf"/>
    <hyperlink ref="P61" r:id="rId3" display="https://www.bpa.gov/-/media/Aep/energy-efficiency/evaluation-projects-studies/170209-lighting-impact-evaluation-bpa-response-memo.pdf"/>
    <hyperlink ref="P14" r:id="rId4" display="https://www.bpa.gov/-/media/Aep/energy-efficiency/evaluation-projects-studies/180219-phasebillinganalysis-bpa-response-memo.pdf"/>
    <hyperlink ref="P8" r:id="rId5" display="https://www.bpa.gov/-/media/Aep/energy-efficiency/evaluation-projects-studies/180501-bpa-2017-delivery-verification-programs-response-memo.pdf"/>
    <hyperlink ref="O19" r:id="rId6" display="https://www.bpa.gov/-/media/Aep/energy-efficiency/evaluation-projects-studies/impact-evaluation-site-specific-portfolio-final-report.pdf"/>
    <hyperlink ref="O8" r:id="rId7" display="https://www.bpa.gov/-/media/Aep/energy-efficiency/evaluation-projects-studies/bpa-2017-delivery-verification-evaluation-report.pdf"/>
    <hyperlink ref="P40" r:id="rId8" display="https://www.bpa.gov/-/media/Aep/energy-efficiency/evaluation-projects-studies/170213-industrial-sem-impact-evaluation-bpa-response-memo.pdf"/>
    <hyperlink ref="F67" r:id="rId9" display="applewebdata://3ECD0DB6-62EF-4CD0-A112-9C8BA70D0C11/ - _ftn1"/>
    <hyperlink ref="P62:P63" r:id="rId10" display="https://www.bpa.gov/EE/Utility/Evaluation/Evaluation/170209_Lighting_Impact_Evaluation-BPA_Response_Memo.pdf"/>
    <hyperlink ref="P63" r:id="rId11" display="https://www.bpa.gov/-/media/Aep/energy-efficiency/evaluation-projects-studies/170209-lighting-impact-evaluation-bpa-response-memo.pdf"/>
    <hyperlink ref="P62" r:id="rId12" display="https://www.bpa.gov/-/media/Aep/energy-efficiency/evaluation-projects-studies/170209-lighting-impact-evaluation-bpa-response-memo.pdf"/>
    <hyperlink ref="O38" r:id="rId13" display="https://www.bpa.gov/-/media/Aep/energy-efficiency/evaluation-projects-studies/170222-bpa-industrial-sem-impact-evaluation-report.pdf"/>
    <hyperlink ref="P38" r:id="rId14" display="https://www.bpa.gov/-/media/Aep/energy-efficiency/evaluation-projects-studies/170213-industrial-sem-impact-evaluation-bpa-response-memo.pdf"/>
    <hyperlink ref="P39" r:id="rId15" display="https://www.bpa.gov/-/media/Aep/energy-efficiency/evaluation-projects-studies/170213-industrial-sem-impact-evaluation-bpa-response-memo.pdf"/>
    <hyperlink ref="P41" r:id="rId16" display="https://www.bpa.gov/-/media/Aep/energy-efficiency/evaluation-projects-studies/170213-industrial-sem-impact-evaluation-bpa-response-memo.pdf"/>
    <hyperlink ref="P42" r:id="rId17" display="https://www.bpa.gov/-/media/Aep/energy-efficiency/evaluation-projects-studies/170213-industrial-sem-impact-evaluation-bpa-response-memo.pdf"/>
    <hyperlink ref="P43" r:id="rId18" display="https://www.bpa.gov/-/media/Aep/energy-efficiency/evaluation-projects-studies/170213-industrial-sem-impact-evaluation-bpa-response-memo.pdf"/>
    <hyperlink ref="P44" r:id="rId19" display="https://www.bpa.gov/-/media/Aep/energy-efficiency/evaluation-projects-studies/170213-industrial-sem-impact-evaluation-bpa-response-memo.pdf"/>
    <hyperlink ref="P45" r:id="rId20" display="https://www.bpa.gov/-/media/Aep/energy-efficiency/evaluation-projects-studies/170213-industrial-sem-impact-evaluation-bpa-response-memo.pdf"/>
    <hyperlink ref="P46" r:id="rId21" display="https://www.bpa.gov/-/media/Aep/energy-efficiency/evaluation-projects-studies/170213-industrial-sem-impact-evaluation-bpa-response-memo.pdf"/>
    <hyperlink ref="P47" r:id="rId22" display="https://www.bpa.gov/-/media/Aep/energy-efficiency/evaluation-projects-studies/170213-industrial-sem-impact-evaluation-bpa-response-memo.pdf"/>
    <hyperlink ref="P48" r:id="rId23" display="https://www.bpa.gov/-/media/Aep/energy-efficiency/evaluation-projects-studies/170213-industrial-sem-impact-evaluation-bpa-response-memo.pdf"/>
    <hyperlink ref="P49" r:id="rId24" display="https://www.bpa.gov/-/media/Aep/energy-efficiency/evaluation-projects-studies/170213-industrial-sem-impact-evaluation-bpa-response-memo.pdf"/>
    <hyperlink ref="P50" r:id="rId25" display="https://www.bpa.gov/-/media/Aep/energy-efficiency/evaluation-projects-studies/170213-industrial-sem-impact-evaluation-bpa-response-memo.pdf"/>
    <hyperlink ref="P51" r:id="rId26" display="https://www.bpa.gov/-/media/Aep/energy-efficiency/evaluation-projects-studies/170213-industrial-sem-impact-evaluation-bpa-response-memo.pdf"/>
    <hyperlink ref="P52" r:id="rId27" display="https://www.bpa.gov/-/media/Aep/energy-efficiency/evaluation-projects-studies/170213-industrial-sem-impact-evaluation-bpa-response-memo.pdf"/>
    <hyperlink ref="P53" r:id="rId28" display="https://www.bpa.gov/-/media/Aep/energy-efficiency/evaluation-projects-studies/170213-industrial-sem-impact-evaluation-bpa-response-memo.pdf"/>
    <hyperlink ref="P54" r:id="rId29" display="https://www.bpa.gov/-/media/Aep/energy-efficiency/evaluation-projects-studies/170213-industrial-sem-impact-evaluation-bpa-response-memo.pdf"/>
    <hyperlink ref="P55" r:id="rId30" display="https://www.bpa.gov/-/media/Aep/energy-efficiency/evaluation-projects-studies/170213-industrial-sem-impact-evaluation-bpa-response-memo.pdf"/>
    <hyperlink ref="P56" r:id="rId31" display="https://www.bpa.gov/-/media/Aep/energy-efficiency/evaluation-projects-studies/170213-industrial-sem-impact-evaluation-bpa-response-memo.pdf"/>
    <hyperlink ref="P57" r:id="rId32" display="https://www.bpa.gov/-/media/Aep/energy-efficiency/evaluation-projects-studies/170213-industrial-sem-impact-evaluation-bpa-response-memo.pdf"/>
    <hyperlink ref="P58" r:id="rId33" display="https://www.bpa.gov/-/media/Aep/energy-efficiency/evaluation-projects-studies/170213-industrial-sem-impact-evaluation-bpa-response-memo.pdf"/>
    <hyperlink ref="P59" r:id="rId34" display="https://www.bpa.gov/-/media/Aep/energy-efficiency/evaluation-projects-studies/170213-industrial-sem-impact-evaluation-bpa-response-memo.pdf"/>
    <hyperlink ref="P60" r:id="rId35" display="https://www.bpa.gov/-/media/Aep/energy-efficiency/evaluation-projects-studies/170213-industrial-sem-impact-evaluation-bpa-response-memo.pdf"/>
    <hyperlink ref="O39:O41" r:id="rId36" display="https://www.bpa.gov/-/media/Aep/energy-efficiency/evaluation-projects-studies/170222-bpa-industrial-sem-impact-evaluation-report.pdf"/>
    <hyperlink ref="O42" r:id="rId37" display="https://www.bpa.gov/-/media/Aep/energy-efficiency/evaluation-projects-studies/170222-bpa-industrial-sem-impact-evaluation-report.pdf"/>
    <hyperlink ref="O46" r:id="rId38" display="https://www.bpa.gov/-/media/Aep/energy-efficiency/evaluation-projects-studies/170222-bpa-industrial-sem-impact-evaluation-report.pdf"/>
    <hyperlink ref="O43:O45" r:id="rId39" display="https://www.bpa.gov/-/media/Aep/energy-efficiency/evaluation-projects-studies/170222-bpa-industrial-sem-impact-evaluation-report.pdf"/>
    <hyperlink ref="O47" r:id="rId40" display="https://www.bpa.gov/-/media/Aep/energy-efficiency/evaluation-projects-studies/170222-bpa-industrial-sem-impact-evaluation-report.pdf"/>
    <hyperlink ref="O48" r:id="rId41" display="https://www.bpa.gov/-/media/Aep/energy-efficiency/evaluation-projects-studies/170222-bpa-industrial-sem-impact-evaluation-report.pdf"/>
    <hyperlink ref="O49:O51" r:id="rId42" display="https://www.bpa.gov/-/media/Aep/energy-efficiency/evaluation-projects-studies/170222-bpa-industrial-sem-impact-evaluation-report.pdf"/>
    <hyperlink ref="O52" r:id="rId43" display="https://www.bpa.gov/-/media/Aep/energy-efficiency/evaluation-projects-studies/170222-bpa-industrial-sem-impact-evaluation-report.pdf"/>
    <hyperlink ref="O53" r:id="rId44" display="https://www.bpa.gov/-/media/Aep/energy-efficiency/evaluation-projects-studies/170222-bpa-industrial-sem-impact-evaluation-report.pdf"/>
    <hyperlink ref="O54" r:id="rId45" display="https://www.bpa.gov/-/media/Aep/energy-efficiency/evaluation-projects-studies/170222-bpa-industrial-sem-impact-evaluation-report.pdf"/>
    <hyperlink ref="O55:O57" r:id="rId46" display="https://www.bpa.gov/-/media/Aep/energy-efficiency/evaluation-projects-studies/170222-bpa-industrial-sem-impact-evaluation-report.pdf"/>
    <hyperlink ref="O58" r:id="rId47" display="https://www.bpa.gov/-/media/Aep/energy-efficiency/evaluation-projects-studies/170222-bpa-industrial-sem-impact-evaluation-report.pdf"/>
    <hyperlink ref="O59:O61" r:id="rId48" display="https://www.bpa.gov/-/media/Aep/energy-efficiency/evaluation-projects-studies/170222-bpa-industrial-sem-impact-evaluation-report.pdf"/>
    <hyperlink ref="O62" r:id="rId49" display="https://www.bpa.gov/-/media/Aep/energy-efficiency/evaluation-projects-studies/170222-bpa-industrial-sem-impact-evaluation-report.pdf"/>
    <hyperlink ref="O63" r:id="rId50" display="https://www.bpa.gov/-/media/Aep/energy-efficiency/evaluation-projects-studies/170222-bpa-industrial-sem-impact-evaluation-report.pdf"/>
    <hyperlink ref="P19" r:id="rId51" display="https://www.bpa.gov/-/media/Aep/energy-efficiency/evaluation-projects-studies/170411bpa-responses-to-site-specific-evaluation-recs.pdf"/>
    <hyperlink ref="P20:P28" r:id="rId52" display="https://www.bpa.gov/-/media/Aep/energy-efficiency/evaluation-projects-studies/170411bpa-responses-to-site-specific-evaluation-recs.pdf"/>
    <hyperlink ref="P29" r:id="rId53" display="https://www.bpa.gov/-/media/Aep/energy-efficiency/evaluation-projects-studies/170411bpa-responses-to-site-specific-evaluation-recs.pdf"/>
    <hyperlink ref="P30:P35" r:id="rId54" display="https://www.bpa.gov/-/media/Aep/energy-efficiency/evaluation-projects-studies/170411bpa-responses-to-site-specific-evaluation-recs.pdf"/>
    <hyperlink ref="P36" r:id="rId55" display="https://www.bpa.gov/-/media/Aep/energy-efficiency/evaluation-projects-studies/170411bpa-responses-to-site-specific-evaluation-recs.pdf"/>
    <hyperlink ref="P37" r:id="rId56" display="https://www.bpa.gov/-/media/Aep/energy-efficiency/evaluation-projects-studies/170411bpa-responses-to-site-specific-evaluation-recs.pdf"/>
    <hyperlink ref="P15:P18" r:id="rId57" display="https://www.bpa.gov/-/media/Aep/energy-efficiency/evaluation-projects-studies/180219-phasebillinganalysis-bpa-response-memo.pdf"/>
    <hyperlink ref="O15:O18" r:id="rId58" display="https://www.bpa.gov/-/media/Aep/energy-efficiency/evaluation-projects-studies/1802-bpa-residential-impact-evaluation-final-report.pdf"/>
    <hyperlink ref="O3:O7" r:id="rId59" display="https://www.bpa.gov/-/media/Aep/energy-efficiency/evaluation-projects-studies/2018-19-bpa-res-hvac-impact-evaluation-final-report.pdf"/>
    <hyperlink ref="O9:O13" r:id="rId60" display="https://www.bpa.gov/-/media/Aep/energy-efficiency/evaluation-projects-studies/bpa-2017-delivery-verification-evaluation-report.pdf"/>
    <hyperlink ref="P9:P13" r:id="rId61" display="https://www.bpa.gov/-/media/Aep/energy-efficiency/evaluation-projects-studies/180501-bpa-2017-delivery-verification-programs-response-memo.pdf"/>
    <hyperlink ref="O64" r:id="rId62" display="https://www.bpa.gov/-/media/Aep/energy-efficiency/evaluation-projects-studies/2020-2021-custom-industrial-impact-evaluation-for-option1-utilities-final-report.pdf"/>
    <hyperlink ref="O65:O68" r:id="rId63" display="https://www.bpa.gov/-/media/Aep/energy-efficiency/evaluation-projects-studies/2020-2021-custom-industrial-impact-evaluation-for-option1-utilities-final-report.pdf"/>
    <hyperlink ref="O20:O24" r:id="rId64" display="https://www.bpa.gov/-/media/Aep/energy-efficiency/evaluation-projects-studies/impact-evaluation-site-specific-portfolio-final-report.pdf"/>
    <hyperlink ref="O25" r:id="rId65" display="https://www.bpa.gov/-/media/Aep/energy-efficiency/evaluation-projects-studies/impact-evaluation-site-specific-portfolio-final-report.pdf"/>
    <hyperlink ref="O31" r:id="rId66" display="https://www.bpa.gov/-/media/Aep/energy-efficiency/evaluation-projects-studies/impact-evaluation-site-specific-portfolio-final-report.pdf"/>
    <hyperlink ref="O26:O30" r:id="rId67" display="https://www.bpa.gov/-/media/Aep/energy-efficiency/evaluation-projects-studies/impact-evaluation-site-specific-portfolio-final-report.pdf"/>
    <hyperlink ref="O32" r:id="rId68" display="https://www.bpa.gov/-/media/Aep/energy-efficiency/evaluation-projects-studies/impact-evaluation-site-specific-portfolio-final-report.pdf"/>
    <hyperlink ref="O33" r:id="rId69" display="https://www.bpa.gov/-/media/Aep/energy-efficiency/evaluation-projects-studies/impact-evaluation-site-specific-portfolio-final-report.pdf"/>
    <hyperlink ref="O34:O37" r:id="rId70" display="https://www.bpa.gov/-/media/Aep/energy-efficiency/evaluation-projects-studies/impact-evaluation-site-specific-portfolio-final-report.pdf"/>
    <hyperlink ref="P64" r:id="rId71" display="https://www.bpa.gov/-/media/Aep/energy-efficiency/evaluation-projects-studies/2020-2021-custom-industrial-impact-evaluation-option1-utilities-programs-response-memo.pdf"/>
    <hyperlink ref="P65:P68" r:id="rId72" display="https://www.bpa.gov/-/media/Aep/energy-efficiency/evaluation-projects-studies/2020-2021-custom-industrial-impact-evaluation-option1-utilities-programs-response-memo.pdf"/>
  </hyperlinks>
  <printOptions/>
  <pageMargins left="0.7" right="0.7" top="0.75" bottom="0.75" header="0.3" footer="0.3"/>
  <pageSetup horizontalDpi="600" verticalDpi="600" orientation="portrait" r:id="rId75"/>
  <legacyDrawing r:id="rId7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AF50"/>
  <sheetViews>
    <sheetView workbookViewId="0" topLeftCell="W1">
      <selection activeCell="V17" sqref="V17"/>
    </sheetView>
  </sheetViews>
  <sheetFormatPr defaultColWidth="8.69921875" defaultRowHeight="14.25"/>
  <cols>
    <col min="1" max="1" width="36" style="8" customWidth="1"/>
    <col min="2" max="2" width="16.69921875" style="8" customWidth="1"/>
    <col min="3" max="3" width="10.69921875" style="9" customWidth="1"/>
    <col min="4" max="4" width="26.69921875" style="8" customWidth="1"/>
    <col min="5" max="5" width="18.69921875" style="8" customWidth="1"/>
    <col min="6" max="6" width="30.5" style="8" customWidth="1"/>
    <col min="7" max="7" width="30.5" style="8" hidden="1" customWidth="1"/>
    <col min="8" max="8" width="15.69921875" style="10" customWidth="1"/>
    <col min="9" max="9" width="15.69921875" style="8" customWidth="1"/>
    <col min="10" max="10" width="12.69921875" style="8" customWidth="1"/>
    <col min="11" max="11" width="13.5" style="8" customWidth="1"/>
    <col min="12" max="15" width="18.19921875" style="8" customWidth="1"/>
    <col min="16" max="17" width="19.5" style="8" customWidth="1"/>
    <col min="18" max="19" width="11.69921875" style="8" customWidth="1"/>
    <col min="20" max="20" width="15.69921875" style="8" customWidth="1"/>
    <col min="21" max="21" width="50.19921875" style="8" customWidth="1"/>
    <col min="22" max="22" width="26.296875" style="8" customWidth="1"/>
    <col min="23" max="23" width="33.19921875" style="8" customWidth="1"/>
    <col min="24" max="24" width="32.69921875" style="8" customWidth="1"/>
    <col min="25" max="25" width="21.19921875" style="11" customWidth="1"/>
    <col min="26" max="26" width="11.796875" style="8" bestFit="1" customWidth="1"/>
    <col min="27" max="16384" width="8.69921875" style="8" customWidth="1"/>
  </cols>
  <sheetData>
    <row r="1" ht="17.25" customHeight="1"/>
    <row r="2" ht="17.25" customHeight="1"/>
    <row r="3" ht="17.25" customHeight="1"/>
    <row r="4" ht="17.25" customHeight="1"/>
    <row r="6" ht="15.6">
      <c r="P6" s="12"/>
    </row>
    <row r="7" spans="1:25" s="13" customFormat="1" ht="58.95" customHeight="1">
      <c r="A7" s="39" t="s">
        <v>5</v>
      </c>
      <c r="B7" s="39" t="s">
        <v>17</v>
      </c>
      <c r="C7" s="40" t="s">
        <v>18</v>
      </c>
      <c r="D7" s="39" t="s">
        <v>358</v>
      </c>
      <c r="E7" s="39" t="s">
        <v>359</v>
      </c>
      <c r="F7" s="39" t="s">
        <v>0</v>
      </c>
      <c r="G7" s="39" t="s">
        <v>364</v>
      </c>
      <c r="H7" s="41" t="s">
        <v>1</v>
      </c>
      <c r="I7" s="39" t="s">
        <v>314</v>
      </c>
      <c r="J7" s="39" t="s">
        <v>23</v>
      </c>
      <c r="K7" s="39" t="s">
        <v>55</v>
      </c>
      <c r="L7" s="39" t="s">
        <v>315</v>
      </c>
      <c r="M7" s="39" t="s">
        <v>42</v>
      </c>
      <c r="N7" s="39" t="s">
        <v>43</v>
      </c>
      <c r="O7" s="39" t="s">
        <v>313</v>
      </c>
      <c r="P7" s="39" t="s">
        <v>69</v>
      </c>
      <c r="Q7" s="39" t="s">
        <v>61</v>
      </c>
      <c r="R7" s="39" t="s">
        <v>352</v>
      </c>
      <c r="S7" s="39" t="s">
        <v>353</v>
      </c>
      <c r="T7" s="39" t="s">
        <v>372</v>
      </c>
      <c r="U7" s="39" t="s">
        <v>361</v>
      </c>
      <c r="V7" s="39" t="s">
        <v>56</v>
      </c>
      <c r="W7" s="39" t="s">
        <v>362</v>
      </c>
      <c r="X7" s="39" t="s">
        <v>360</v>
      </c>
      <c r="Y7" s="39" t="s">
        <v>15</v>
      </c>
    </row>
    <row r="8" spans="1:32" ht="14.25">
      <c r="A8" s="42" t="s">
        <v>16</v>
      </c>
      <c r="B8" s="42" t="s">
        <v>29</v>
      </c>
      <c r="C8" s="43">
        <v>43132</v>
      </c>
      <c r="D8" s="42" t="s">
        <v>20</v>
      </c>
      <c r="E8" s="42" t="s">
        <v>19</v>
      </c>
      <c r="F8" s="42" t="s">
        <v>3</v>
      </c>
      <c r="G8" s="42" t="s">
        <v>319</v>
      </c>
      <c r="H8" s="44">
        <v>0.98</v>
      </c>
      <c r="I8" s="45">
        <v>1146</v>
      </c>
      <c r="J8" s="45">
        <v>1146</v>
      </c>
      <c r="K8" s="44">
        <v>0.9</v>
      </c>
      <c r="L8" s="44">
        <v>0.29</v>
      </c>
      <c r="M8" s="44">
        <f>H8-29%</f>
        <v>0.69</v>
      </c>
      <c r="N8" s="44">
        <f>H8+29%</f>
        <v>1.27</v>
      </c>
      <c r="O8" s="44" t="s">
        <v>350</v>
      </c>
      <c r="P8" s="46">
        <f>(1331*1146)/1000</f>
        <v>1525.326</v>
      </c>
      <c r="Q8" s="46">
        <f>(1303*1146)/1000</f>
        <v>1493.238</v>
      </c>
      <c r="R8" s="47">
        <f>Q8/8760</f>
        <v>0.1704609589041096</v>
      </c>
      <c r="S8" s="47">
        <f>P8/8760</f>
        <v>0.17412397260273973</v>
      </c>
      <c r="T8" s="47" t="s">
        <v>366</v>
      </c>
      <c r="U8" s="42" t="s">
        <v>41</v>
      </c>
      <c r="V8" s="42" t="s">
        <v>57</v>
      </c>
      <c r="W8" s="44" t="s">
        <v>368</v>
      </c>
      <c r="X8" s="42" t="s">
        <v>319</v>
      </c>
      <c r="Y8" s="35" t="s">
        <v>488</v>
      </c>
      <c r="Z8" s="10"/>
      <c r="AF8" s="10"/>
    </row>
    <row r="9" spans="1:32" ht="14.25">
      <c r="A9" s="42" t="s">
        <v>16</v>
      </c>
      <c r="B9" s="42" t="s">
        <v>29</v>
      </c>
      <c r="C9" s="43">
        <v>43132</v>
      </c>
      <c r="D9" s="42" t="s">
        <v>20</v>
      </c>
      <c r="E9" s="42" t="s">
        <v>19</v>
      </c>
      <c r="F9" s="42" t="s">
        <v>4</v>
      </c>
      <c r="G9" s="42" t="s">
        <v>320</v>
      </c>
      <c r="H9" s="44">
        <v>0.68</v>
      </c>
      <c r="I9" s="45">
        <v>1378</v>
      </c>
      <c r="J9" s="45">
        <v>1378</v>
      </c>
      <c r="K9" s="44">
        <v>0.9</v>
      </c>
      <c r="L9" s="44">
        <v>0.18</v>
      </c>
      <c r="M9" s="44">
        <f>H9-18%</f>
        <v>0.5</v>
      </c>
      <c r="N9" s="44">
        <f>H9+18%</f>
        <v>0.8600000000000001</v>
      </c>
      <c r="O9" s="44" t="s">
        <v>350</v>
      </c>
      <c r="P9" s="46">
        <f>(1320*1378)/1000</f>
        <v>1818.96</v>
      </c>
      <c r="Q9" s="46">
        <v>1230.6</v>
      </c>
      <c r="R9" s="47">
        <f>Q9/8760</f>
        <v>0.1404794520547945</v>
      </c>
      <c r="S9" s="47">
        <f aca="true" t="shared" si="0" ref="S9:S11">P9/8760</f>
        <v>0.20764383561643837</v>
      </c>
      <c r="T9" s="47" t="s">
        <v>366</v>
      </c>
      <c r="U9" s="42" t="s">
        <v>40</v>
      </c>
      <c r="V9" s="42" t="s">
        <v>57</v>
      </c>
      <c r="W9" s="44" t="s">
        <v>369</v>
      </c>
      <c r="X9" s="42" t="s">
        <v>320</v>
      </c>
      <c r="Y9" s="35" t="s">
        <v>488</v>
      </c>
      <c r="Z9" s="10"/>
      <c r="AF9" s="10"/>
    </row>
    <row r="10" spans="1:26" ht="14.25">
      <c r="A10" s="42" t="s">
        <v>25</v>
      </c>
      <c r="B10" s="42" t="s">
        <v>6</v>
      </c>
      <c r="C10" s="43">
        <v>42767</v>
      </c>
      <c r="D10" s="42" t="s">
        <v>21</v>
      </c>
      <c r="E10" s="42" t="s">
        <v>19</v>
      </c>
      <c r="F10" s="42" t="s">
        <v>75</v>
      </c>
      <c r="G10" s="42" t="s">
        <v>321</v>
      </c>
      <c r="H10" s="44">
        <v>1</v>
      </c>
      <c r="I10" s="45">
        <v>3194</v>
      </c>
      <c r="J10" s="42">
        <v>70</v>
      </c>
      <c r="K10" s="44">
        <v>0.9</v>
      </c>
      <c r="L10" s="48">
        <v>0.002</v>
      </c>
      <c r="M10" s="44">
        <f aca="true" t="shared" si="1" ref="M10:M11">H10-L10</f>
        <v>0.998</v>
      </c>
      <c r="N10" s="44">
        <f aca="true" t="shared" si="2" ref="N10:N11">H10+L10</f>
        <v>1.002</v>
      </c>
      <c r="O10" s="44" t="s">
        <v>316</v>
      </c>
      <c r="P10" s="45">
        <f>5.08*8760</f>
        <v>44500.8</v>
      </c>
      <c r="Q10" s="45">
        <f>R10*8760</f>
        <v>44588.4</v>
      </c>
      <c r="R10" s="47">
        <v>5.09</v>
      </c>
      <c r="S10" s="47">
        <f t="shared" si="0"/>
        <v>5.08</v>
      </c>
      <c r="T10" s="47"/>
      <c r="U10" s="42" t="s">
        <v>30</v>
      </c>
      <c r="V10" s="42"/>
      <c r="W10" s="44"/>
      <c r="X10" s="42" t="s">
        <v>321</v>
      </c>
      <c r="Y10" s="37" t="s">
        <v>493</v>
      </c>
      <c r="Z10" s="10"/>
    </row>
    <row r="11" spans="1:26" ht="14.25">
      <c r="A11" s="42" t="s">
        <v>25</v>
      </c>
      <c r="B11" s="42" t="s">
        <v>6</v>
      </c>
      <c r="C11" s="43">
        <v>42767</v>
      </c>
      <c r="D11" s="42" t="s">
        <v>21</v>
      </c>
      <c r="E11" s="42" t="s">
        <v>19</v>
      </c>
      <c r="F11" s="42" t="s">
        <v>76</v>
      </c>
      <c r="G11" s="42" t="s">
        <v>322</v>
      </c>
      <c r="H11" s="44">
        <v>0.929</v>
      </c>
      <c r="I11" s="42">
        <v>337</v>
      </c>
      <c r="J11" s="42">
        <v>40</v>
      </c>
      <c r="K11" s="44">
        <v>0.9</v>
      </c>
      <c r="L11" s="48">
        <v>0.055</v>
      </c>
      <c r="M11" s="44">
        <f t="shared" si="1"/>
        <v>0.874</v>
      </c>
      <c r="N11" s="44">
        <f t="shared" si="2"/>
        <v>0.9840000000000001</v>
      </c>
      <c r="O11" s="44" t="s">
        <v>316</v>
      </c>
      <c r="P11" s="45">
        <f>0.49*8760</f>
        <v>4292.4</v>
      </c>
      <c r="Q11" s="45">
        <f>R11*8760</f>
        <v>4029.6000000000004</v>
      </c>
      <c r="R11" s="47">
        <v>0.46</v>
      </c>
      <c r="S11" s="47">
        <f t="shared" si="0"/>
        <v>0.48999999999999994</v>
      </c>
      <c r="T11" s="47"/>
      <c r="U11" s="42" t="s">
        <v>370</v>
      </c>
      <c r="V11" s="42"/>
      <c r="W11" s="44"/>
      <c r="X11" s="42" t="s">
        <v>322</v>
      </c>
      <c r="Y11" s="37" t="s">
        <v>493</v>
      </c>
      <c r="Z11" s="10"/>
    </row>
    <row r="12" spans="1:26" ht="14.25">
      <c r="A12" s="42" t="s">
        <v>26</v>
      </c>
      <c r="B12" s="49" t="s">
        <v>12</v>
      </c>
      <c r="C12" s="43">
        <v>42309</v>
      </c>
      <c r="D12" s="49" t="s">
        <v>22</v>
      </c>
      <c r="E12" s="49" t="s">
        <v>60</v>
      </c>
      <c r="F12" s="42" t="s">
        <v>79</v>
      </c>
      <c r="G12" s="42" t="s">
        <v>323</v>
      </c>
      <c r="H12" s="44">
        <v>0.93</v>
      </c>
      <c r="I12" s="45">
        <v>3845</v>
      </c>
      <c r="J12" s="42">
        <v>33</v>
      </c>
      <c r="K12" s="44">
        <v>0.9</v>
      </c>
      <c r="L12" s="44">
        <v>0.05</v>
      </c>
      <c r="M12" s="44">
        <f>H12-L12</f>
        <v>0.88</v>
      </c>
      <c r="N12" s="44">
        <f>H12+L12</f>
        <v>0.9800000000000001</v>
      </c>
      <c r="O12" s="44" t="s">
        <v>316</v>
      </c>
      <c r="P12" s="45">
        <v>96103</v>
      </c>
      <c r="Q12" s="45">
        <v>89471</v>
      </c>
      <c r="R12" s="47">
        <f aca="true" t="shared" si="3" ref="R12:R26">Q12/8760</f>
        <v>10.213584474885845</v>
      </c>
      <c r="S12" s="47">
        <f aca="true" t="shared" si="4" ref="S12:S47">P12/8760</f>
        <v>10.970662100456622</v>
      </c>
      <c r="T12" s="47"/>
      <c r="U12" s="42" t="s">
        <v>34</v>
      </c>
      <c r="V12" s="42"/>
      <c r="W12" s="44"/>
      <c r="X12" s="42" t="s">
        <v>323</v>
      </c>
      <c r="Y12" s="35" t="s">
        <v>494</v>
      </c>
      <c r="Z12" s="10"/>
    </row>
    <row r="13" spans="1:26" ht="14.25">
      <c r="A13" s="42" t="s">
        <v>26</v>
      </c>
      <c r="B13" s="49" t="s">
        <v>12</v>
      </c>
      <c r="C13" s="43">
        <v>42309</v>
      </c>
      <c r="D13" s="49" t="s">
        <v>22</v>
      </c>
      <c r="E13" s="49" t="s">
        <v>60</v>
      </c>
      <c r="F13" s="42" t="s">
        <v>80</v>
      </c>
      <c r="G13" s="42" t="s">
        <v>325</v>
      </c>
      <c r="H13" s="44">
        <v>1.15</v>
      </c>
      <c r="I13" s="42">
        <v>200</v>
      </c>
      <c r="J13" s="42">
        <v>8</v>
      </c>
      <c r="K13" s="44">
        <v>0.8</v>
      </c>
      <c r="L13" s="44">
        <v>0.19</v>
      </c>
      <c r="M13" s="44">
        <f>H13-L13</f>
        <v>0.96</v>
      </c>
      <c r="N13" s="44">
        <f>H13+L13</f>
        <v>1.3399999999999999</v>
      </c>
      <c r="O13" s="44" t="s">
        <v>316</v>
      </c>
      <c r="P13" s="45">
        <v>26094</v>
      </c>
      <c r="Q13" s="45">
        <v>29886</v>
      </c>
      <c r="R13" s="47">
        <f t="shared" si="3"/>
        <v>3.4116438356164385</v>
      </c>
      <c r="S13" s="47">
        <f t="shared" si="4"/>
        <v>2.978767123287671</v>
      </c>
      <c r="T13" s="47"/>
      <c r="U13" s="42" t="s">
        <v>33</v>
      </c>
      <c r="V13" s="42"/>
      <c r="W13" s="44"/>
      <c r="X13" s="42" t="s">
        <v>325</v>
      </c>
      <c r="Y13" s="35" t="s">
        <v>494</v>
      </c>
      <c r="Z13" s="10"/>
    </row>
    <row r="14" spans="1:26" ht="14.25">
      <c r="A14" s="42" t="s">
        <v>459</v>
      </c>
      <c r="B14" s="42" t="s">
        <v>460</v>
      </c>
      <c r="C14" s="43">
        <v>44743</v>
      </c>
      <c r="D14" s="49" t="s">
        <v>22</v>
      </c>
      <c r="E14" s="42" t="s">
        <v>220</v>
      </c>
      <c r="F14" s="42" t="s">
        <v>81</v>
      </c>
      <c r="G14" s="42"/>
      <c r="H14" s="44">
        <v>0.85</v>
      </c>
      <c r="I14" s="42">
        <v>77</v>
      </c>
      <c r="J14" s="42">
        <v>40</v>
      </c>
      <c r="K14" s="44">
        <v>0.9</v>
      </c>
      <c r="L14" s="50">
        <v>0.07</v>
      </c>
      <c r="M14" s="50">
        <v>0.78</v>
      </c>
      <c r="N14" s="50">
        <v>0.92</v>
      </c>
      <c r="O14" s="44" t="s">
        <v>316</v>
      </c>
      <c r="P14" s="45">
        <v>38944</v>
      </c>
      <c r="Q14" s="45">
        <v>33230</v>
      </c>
      <c r="R14" s="47">
        <f t="shared" si="3"/>
        <v>3.7933789954337898</v>
      </c>
      <c r="S14" s="47">
        <f t="shared" si="4"/>
        <v>4.445662100456621</v>
      </c>
      <c r="T14" s="42" t="s">
        <v>447</v>
      </c>
      <c r="U14" s="42"/>
      <c r="V14" s="42"/>
      <c r="W14" s="42"/>
      <c r="X14" s="42" t="s">
        <v>470</v>
      </c>
      <c r="Y14" s="37" t="s">
        <v>492</v>
      </c>
      <c r="Z14" s="10"/>
    </row>
    <row r="15" spans="1:26" ht="14.25">
      <c r="A15" s="42" t="s">
        <v>26</v>
      </c>
      <c r="B15" s="49" t="s">
        <v>12</v>
      </c>
      <c r="C15" s="43">
        <v>42309</v>
      </c>
      <c r="D15" s="49" t="s">
        <v>22</v>
      </c>
      <c r="E15" s="49" t="s">
        <v>60</v>
      </c>
      <c r="F15" s="42" t="s">
        <v>78</v>
      </c>
      <c r="G15" s="42" t="s">
        <v>324</v>
      </c>
      <c r="H15" s="44">
        <v>0.93</v>
      </c>
      <c r="I15" s="42">
        <v>303</v>
      </c>
      <c r="J15" s="42">
        <v>9</v>
      </c>
      <c r="K15" s="44">
        <v>0.8</v>
      </c>
      <c r="L15" s="44">
        <v>0.08</v>
      </c>
      <c r="M15" s="44">
        <f>H15-L15</f>
        <v>0.8500000000000001</v>
      </c>
      <c r="N15" s="44">
        <f>H15+L15</f>
        <v>1.01</v>
      </c>
      <c r="O15" s="44" t="s">
        <v>316</v>
      </c>
      <c r="P15" s="45">
        <v>35455</v>
      </c>
      <c r="Q15" s="45">
        <v>33117</v>
      </c>
      <c r="R15" s="47">
        <f t="shared" si="3"/>
        <v>3.7804794520547946</v>
      </c>
      <c r="S15" s="47">
        <f t="shared" si="4"/>
        <v>4.047374429223744</v>
      </c>
      <c r="T15" s="47"/>
      <c r="U15" s="42" t="s">
        <v>33</v>
      </c>
      <c r="V15" s="42"/>
      <c r="W15" s="44"/>
      <c r="X15" s="42" t="s">
        <v>324</v>
      </c>
      <c r="Y15" s="35" t="s">
        <v>494</v>
      </c>
      <c r="Z15" s="10"/>
    </row>
    <row r="16" spans="1:26" ht="14.25">
      <c r="A16" s="42" t="s">
        <v>26</v>
      </c>
      <c r="B16" s="49" t="s">
        <v>12</v>
      </c>
      <c r="C16" s="43">
        <v>42309</v>
      </c>
      <c r="D16" s="49" t="s">
        <v>22</v>
      </c>
      <c r="E16" s="49" t="s">
        <v>60</v>
      </c>
      <c r="F16" s="42" t="s">
        <v>81</v>
      </c>
      <c r="G16" s="42" t="s">
        <v>336</v>
      </c>
      <c r="H16" s="44">
        <v>0.99</v>
      </c>
      <c r="I16" s="42">
        <v>226</v>
      </c>
      <c r="J16" s="42">
        <v>21</v>
      </c>
      <c r="K16" s="44">
        <v>0.9</v>
      </c>
      <c r="L16" s="44">
        <v>0.05</v>
      </c>
      <c r="M16" s="44">
        <f>H16-L16</f>
        <v>0.94</v>
      </c>
      <c r="N16" s="44">
        <f>H16+L16</f>
        <v>1.04</v>
      </c>
      <c r="O16" s="44" t="s">
        <v>316</v>
      </c>
      <c r="P16" s="45">
        <v>121830</v>
      </c>
      <c r="Q16" s="45">
        <v>120332</v>
      </c>
      <c r="R16" s="47">
        <f t="shared" si="3"/>
        <v>13.736529680365297</v>
      </c>
      <c r="S16" s="47">
        <f t="shared" si="4"/>
        <v>13.907534246575343</v>
      </c>
      <c r="T16" s="47"/>
      <c r="U16" s="42" t="s">
        <v>33</v>
      </c>
      <c r="V16" s="42"/>
      <c r="W16" s="44"/>
      <c r="X16" s="42" t="s">
        <v>336</v>
      </c>
      <c r="Y16" s="35" t="s">
        <v>494</v>
      </c>
      <c r="Z16" s="10"/>
    </row>
    <row r="17" spans="1:26" ht="14.25">
      <c r="A17" s="42" t="s">
        <v>26</v>
      </c>
      <c r="B17" s="49" t="s">
        <v>12</v>
      </c>
      <c r="C17" s="43">
        <v>42309</v>
      </c>
      <c r="D17" s="49" t="s">
        <v>22</v>
      </c>
      <c r="E17" s="49" t="s">
        <v>60</v>
      </c>
      <c r="F17" s="42" t="s">
        <v>82</v>
      </c>
      <c r="G17" s="42" t="s">
        <v>326</v>
      </c>
      <c r="H17" s="44">
        <v>1.09</v>
      </c>
      <c r="I17" s="45">
        <v>2369</v>
      </c>
      <c r="J17" s="42">
        <v>62</v>
      </c>
      <c r="K17" s="44">
        <v>0.9</v>
      </c>
      <c r="L17" s="44">
        <v>0.08</v>
      </c>
      <c r="M17" s="44">
        <f>H17-L17</f>
        <v>1.01</v>
      </c>
      <c r="N17" s="44">
        <f>H17+L17</f>
        <v>1.1700000000000002</v>
      </c>
      <c r="O17" s="44" t="s">
        <v>316</v>
      </c>
      <c r="P17" s="45">
        <v>94300</v>
      </c>
      <c r="Q17" s="45">
        <v>102407</v>
      </c>
      <c r="R17" s="47">
        <f t="shared" si="3"/>
        <v>11.690296803652968</v>
      </c>
      <c r="S17" s="47">
        <f t="shared" si="4"/>
        <v>10.764840182648403</v>
      </c>
      <c r="T17" s="47"/>
      <c r="U17" s="42" t="s">
        <v>33</v>
      </c>
      <c r="V17" s="42"/>
      <c r="W17" s="44"/>
      <c r="X17" s="42" t="s">
        <v>326</v>
      </c>
      <c r="Y17" s="35" t="s">
        <v>494</v>
      </c>
      <c r="Z17" s="10"/>
    </row>
    <row r="18" spans="1:26" ht="14.25">
      <c r="A18" s="42" t="s">
        <v>26</v>
      </c>
      <c r="B18" s="49" t="s">
        <v>12</v>
      </c>
      <c r="C18" s="43">
        <v>42309</v>
      </c>
      <c r="D18" s="49" t="s">
        <v>22</v>
      </c>
      <c r="E18" s="49" t="s">
        <v>60</v>
      </c>
      <c r="F18" s="42" t="s">
        <v>84</v>
      </c>
      <c r="G18" s="42" t="s">
        <v>328</v>
      </c>
      <c r="H18" s="44">
        <v>1.1</v>
      </c>
      <c r="I18" s="42">
        <v>347</v>
      </c>
      <c r="J18" s="42">
        <v>23</v>
      </c>
      <c r="K18" s="44">
        <v>0.9</v>
      </c>
      <c r="L18" s="44">
        <v>0.08</v>
      </c>
      <c r="M18" s="44">
        <f>H18-L18</f>
        <v>1.02</v>
      </c>
      <c r="N18" s="44">
        <f>H18+L18</f>
        <v>1.1800000000000002</v>
      </c>
      <c r="O18" s="44" t="s">
        <v>316</v>
      </c>
      <c r="P18" s="45">
        <v>36904</v>
      </c>
      <c r="Q18" s="45">
        <v>40776</v>
      </c>
      <c r="R18" s="47">
        <f t="shared" si="3"/>
        <v>4.654794520547945</v>
      </c>
      <c r="S18" s="47">
        <f t="shared" si="4"/>
        <v>4.212785388127854</v>
      </c>
      <c r="T18" s="47"/>
      <c r="U18" s="42" t="s">
        <v>34</v>
      </c>
      <c r="V18" s="42"/>
      <c r="W18" s="44"/>
      <c r="X18" s="42" t="s">
        <v>328</v>
      </c>
      <c r="Y18" s="35" t="s">
        <v>494</v>
      </c>
      <c r="Z18" s="10"/>
    </row>
    <row r="19" spans="1:25" ht="14.25">
      <c r="A19" s="42" t="s">
        <v>502</v>
      </c>
      <c r="B19" s="42" t="s">
        <v>460</v>
      </c>
      <c r="C19" s="43">
        <v>45002</v>
      </c>
      <c r="D19" s="49" t="s">
        <v>22</v>
      </c>
      <c r="E19" s="42" t="s">
        <v>220</v>
      </c>
      <c r="F19" s="42" t="s">
        <v>85</v>
      </c>
      <c r="G19" s="42"/>
      <c r="H19" s="44">
        <v>1.02</v>
      </c>
      <c r="I19" s="42">
        <v>29</v>
      </c>
      <c r="J19" s="42">
        <v>22</v>
      </c>
      <c r="K19" s="44">
        <v>0.9</v>
      </c>
      <c r="L19" s="50">
        <v>0.02</v>
      </c>
      <c r="M19" s="50">
        <v>1</v>
      </c>
      <c r="N19" s="50">
        <v>1.04</v>
      </c>
      <c r="O19" s="44" t="s">
        <v>316</v>
      </c>
      <c r="P19" s="45">
        <v>8876</v>
      </c>
      <c r="Q19" s="45">
        <v>9053</v>
      </c>
      <c r="R19" s="47">
        <f t="shared" si="3"/>
        <v>1.0334474885844749</v>
      </c>
      <c r="S19" s="47">
        <f t="shared" si="4"/>
        <v>1.0132420091324201</v>
      </c>
      <c r="T19" s="42" t="s">
        <v>447</v>
      </c>
      <c r="U19" s="42"/>
      <c r="V19" s="42"/>
      <c r="W19" s="42"/>
      <c r="X19" s="42" t="s">
        <v>514</v>
      </c>
      <c r="Y19" s="57" t="s">
        <v>515</v>
      </c>
    </row>
    <row r="20" spans="1:26" ht="28.2" customHeight="1">
      <c r="A20" s="42" t="s">
        <v>26</v>
      </c>
      <c r="B20" s="49" t="s">
        <v>12</v>
      </c>
      <c r="C20" s="43">
        <v>42309</v>
      </c>
      <c r="D20" s="49" t="s">
        <v>22</v>
      </c>
      <c r="E20" s="49" t="s">
        <v>60</v>
      </c>
      <c r="F20" s="49" t="s">
        <v>24</v>
      </c>
      <c r="G20" s="42" t="s">
        <v>337</v>
      </c>
      <c r="H20" s="44">
        <v>0.49</v>
      </c>
      <c r="I20" s="42">
        <v>15</v>
      </c>
      <c r="J20" s="42">
        <v>5</v>
      </c>
      <c r="K20" s="44">
        <v>0.8</v>
      </c>
      <c r="L20" s="44">
        <v>0.18</v>
      </c>
      <c r="M20" s="44">
        <f aca="true" t="shared" si="5" ref="M20:M30">H20-L20</f>
        <v>0.31</v>
      </c>
      <c r="N20" s="44">
        <f aca="true" t="shared" si="6" ref="N20:N30">H20+L20</f>
        <v>0.6699999999999999</v>
      </c>
      <c r="O20" s="44" t="s">
        <v>316</v>
      </c>
      <c r="P20" s="45">
        <v>26433</v>
      </c>
      <c r="Q20" s="45">
        <v>13078</v>
      </c>
      <c r="R20" s="47">
        <f t="shared" si="3"/>
        <v>1.4929223744292237</v>
      </c>
      <c r="S20" s="47">
        <f t="shared" si="4"/>
        <v>3.0174657534246574</v>
      </c>
      <c r="T20" s="47"/>
      <c r="U20" s="42" t="s">
        <v>310</v>
      </c>
      <c r="V20" s="51" t="s">
        <v>65</v>
      </c>
      <c r="W20" s="44"/>
      <c r="X20" s="42" t="s">
        <v>337</v>
      </c>
      <c r="Y20" s="35" t="s">
        <v>494</v>
      </c>
      <c r="Z20" s="10"/>
    </row>
    <row r="21" spans="1:26" ht="14.25">
      <c r="A21" s="42" t="s">
        <v>27</v>
      </c>
      <c r="B21" s="42" t="s">
        <v>10</v>
      </c>
      <c r="C21" s="43">
        <v>43344</v>
      </c>
      <c r="D21" s="49" t="s">
        <v>20</v>
      </c>
      <c r="E21" s="49" t="s">
        <v>19</v>
      </c>
      <c r="F21" s="42" t="s">
        <v>7</v>
      </c>
      <c r="G21" s="42" t="s">
        <v>330</v>
      </c>
      <c r="H21" s="44">
        <v>0.503</v>
      </c>
      <c r="I21" s="42">
        <v>603</v>
      </c>
      <c r="J21" s="42">
        <v>603</v>
      </c>
      <c r="K21" s="52">
        <v>0.9</v>
      </c>
      <c r="L21" s="48">
        <v>0.092</v>
      </c>
      <c r="M21" s="44">
        <f t="shared" si="5"/>
        <v>0.41100000000000003</v>
      </c>
      <c r="N21" s="44">
        <f t="shared" si="6"/>
        <v>0.595</v>
      </c>
      <c r="O21" s="44" t="s">
        <v>350</v>
      </c>
      <c r="P21" s="53">
        <f>(4722*603)/1000</f>
        <v>2847.366</v>
      </c>
      <c r="Q21" s="46">
        <v>1432.1</v>
      </c>
      <c r="R21" s="47">
        <f t="shared" si="3"/>
        <v>0.16348173515981734</v>
      </c>
      <c r="S21" s="47">
        <f t="shared" si="4"/>
        <v>0.3250417808219178</v>
      </c>
      <c r="T21" s="47" t="s">
        <v>371</v>
      </c>
      <c r="U21" s="42" t="s">
        <v>363</v>
      </c>
      <c r="V21" s="54" t="s">
        <v>57</v>
      </c>
      <c r="W21" s="44"/>
      <c r="X21" s="42" t="s">
        <v>330</v>
      </c>
      <c r="Y21" s="35" t="s">
        <v>489</v>
      </c>
      <c r="Z21" s="10"/>
    </row>
    <row r="22" spans="1:26" ht="14.25">
      <c r="A22" s="42" t="s">
        <v>27</v>
      </c>
      <c r="B22" s="42" t="s">
        <v>10</v>
      </c>
      <c r="C22" s="43">
        <v>43344</v>
      </c>
      <c r="D22" s="49" t="s">
        <v>20</v>
      </c>
      <c r="E22" s="49" t="s">
        <v>19</v>
      </c>
      <c r="F22" s="42" t="s">
        <v>8</v>
      </c>
      <c r="G22" s="42" t="s">
        <v>331</v>
      </c>
      <c r="H22" s="44">
        <v>0.843</v>
      </c>
      <c r="I22" s="45">
        <v>1738</v>
      </c>
      <c r="J22" s="45">
        <v>1738</v>
      </c>
      <c r="K22" s="55">
        <v>0.9</v>
      </c>
      <c r="L22" s="48">
        <v>0.099</v>
      </c>
      <c r="M22" s="44">
        <f t="shared" si="5"/>
        <v>0.744</v>
      </c>
      <c r="N22" s="44">
        <f t="shared" si="6"/>
        <v>0.942</v>
      </c>
      <c r="O22" s="44" t="s">
        <v>350</v>
      </c>
      <c r="P22" s="53">
        <f>(2026*1738)/1000</f>
        <v>3521.188</v>
      </c>
      <c r="Q22" s="46">
        <v>2970.2</v>
      </c>
      <c r="R22" s="47">
        <f t="shared" si="3"/>
        <v>0.33906392694063925</v>
      </c>
      <c r="S22" s="47">
        <f t="shared" si="4"/>
        <v>0.401962100456621</v>
      </c>
      <c r="T22" s="47" t="s">
        <v>371</v>
      </c>
      <c r="U22" s="42" t="s">
        <v>367</v>
      </c>
      <c r="V22" s="54" t="s">
        <v>57</v>
      </c>
      <c r="W22" s="44"/>
      <c r="X22" s="42" t="s">
        <v>331</v>
      </c>
      <c r="Y22" s="35" t="s">
        <v>489</v>
      </c>
      <c r="Z22" s="10"/>
    </row>
    <row r="23" spans="1:26" ht="14.25">
      <c r="A23" s="42" t="s">
        <v>27</v>
      </c>
      <c r="B23" s="42" t="s">
        <v>10</v>
      </c>
      <c r="C23" s="43">
        <v>43344</v>
      </c>
      <c r="D23" s="49" t="s">
        <v>20</v>
      </c>
      <c r="E23" s="49" t="s">
        <v>19</v>
      </c>
      <c r="F23" s="42" t="s">
        <v>9</v>
      </c>
      <c r="G23" s="42" t="s">
        <v>332</v>
      </c>
      <c r="H23" s="44">
        <v>-0.262</v>
      </c>
      <c r="I23" s="42">
        <v>486</v>
      </c>
      <c r="J23" s="42">
        <v>486</v>
      </c>
      <c r="K23" s="55">
        <v>0.9</v>
      </c>
      <c r="L23" s="44">
        <v>0.69</v>
      </c>
      <c r="M23" s="44">
        <f t="shared" si="5"/>
        <v>-0.952</v>
      </c>
      <c r="N23" s="44">
        <f t="shared" si="6"/>
        <v>0.42799999999999994</v>
      </c>
      <c r="O23" s="44" t="s">
        <v>350</v>
      </c>
      <c r="P23" s="53">
        <f>(503*486)/1000</f>
        <v>244.458</v>
      </c>
      <c r="Q23" s="42">
        <v>-64.2</v>
      </c>
      <c r="R23" s="47">
        <f t="shared" si="3"/>
        <v>-0.007328767123287672</v>
      </c>
      <c r="S23" s="47">
        <f t="shared" si="4"/>
        <v>0.027906164383561645</v>
      </c>
      <c r="T23" s="47" t="s">
        <v>371</v>
      </c>
      <c r="U23" s="42" t="s">
        <v>311</v>
      </c>
      <c r="V23" s="54" t="s">
        <v>57</v>
      </c>
      <c r="W23" s="44"/>
      <c r="X23" s="42" t="s">
        <v>332</v>
      </c>
      <c r="Y23" s="35" t="s">
        <v>489</v>
      </c>
      <c r="Z23" s="10"/>
    </row>
    <row r="24" spans="1:26" ht="14.25">
      <c r="A24" s="42" t="s">
        <v>28</v>
      </c>
      <c r="B24" s="42" t="s">
        <v>11</v>
      </c>
      <c r="C24" s="43">
        <v>43132</v>
      </c>
      <c r="D24" s="49" t="s">
        <v>20</v>
      </c>
      <c r="E24" s="42" t="s">
        <v>19</v>
      </c>
      <c r="F24" s="42" t="s">
        <v>91</v>
      </c>
      <c r="G24" s="42" t="s">
        <v>333</v>
      </c>
      <c r="H24" s="44">
        <v>0.62</v>
      </c>
      <c r="I24" s="42" t="s">
        <v>317</v>
      </c>
      <c r="J24" s="42">
        <v>414</v>
      </c>
      <c r="K24" s="44" t="s">
        <v>317</v>
      </c>
      <c r="L24" s="44">
        <v>0.1</v>
      </c>
      <c r="M24" s="44">
        <f t="shared" si="5"/>
        <v>0.52</v>
      </c>
      <c r="N24" s="44">
        <f t="shared" si="6"/>
        <v>0.72</v>
      </c>
      <c r="O24" s="44" t="s">
        <v>350</v>
      </c>
      <c r="P24" s="45">
        <f>(6006*414)/1000</f>
        <v>2486.484</v>
      </c>
      <c r="Q24" s="46">
        <v>1533.9</v>
      </c>
      <c r="R24" s="47">
        <f t="shared" si="3"/>
        <v>0.1751027397260274</v>
      </c>
      <c r="S24" s="47">
        <f t="shared" si="4"/>
        <v>0.283845205479452</v>
      </c>
      <c r="T24" s="47" t="s">
        <v>366</v>
      </c>
      <c r="U24" s="42" t="s">
        <v>31</v>
      </c>
      <c r="V24" s="54" t="s">
        <v>312</v>
      </c>
      <c r="W24" s="44" t="s">
        <v>354</v>
      </c>
      <c r="X24" s="42" t="s">
        <v>333</v>
      </c>
      <c r="Y24" s="35" t="s">
        <v>488</v>
      </c>
      <c r="Z24" s="10"/>
    </row>
    <row r="25" spans="1:26" ht="14.25">
      <c r="A25" s="42" t="s">
        <v>28</v>
      </c>
      <c r="B25" s="42" t="s">
        <v>11</v>
      </c>
      <c r="C25" s="43">
        <v>43132</v>
      </c>
      <c r="D25" s="49" t="s">
        <v>20</v>
      </c>
      <c r="E25" s="42" t="s">
        <v>19</v>
      </c>
      <c r="F25" s="42" t="s">
        <v>365</v>
      </c>
      <c r="G25" s="42" t="s">
        <v>334</v>
      </c>
      <c r="H25" s="44">
        <v>0.56</v>
      </c>
      <c r="I25" s="42" t="s">
        <v>317</v>
      </c>
      <c r="J25" s="42">
        <v>829</v>
      </c>
      <c r="K25" s="44" t="s">
        <v>317</v>
      </c>
      <c r="L25" s="44">
        <v>0.07</v>
      </c>
      <c r="M25" s="44">
        <f t="shared" si="5"/>
        <v>0.49000000000000005</v>
      </c>
      <c r="N25" s="44">
        <f t="shared" si="6"/>
        <v>0.6300000000000001</v>
      </c>
      <c r="O25" s="44" t="s">
        <v>350</v>
      </c>
      <c r="P25" s="45">
        <f>(5591*829)/1000</f>
        <v>4634.939</v>
      </c>
      <c r="Q25" s="46">
        <v>2574.9</v>
      </c>
      <c r="R25" s="47">
        <f t="shared" si="3"/>
        <v>0.2939383561643836</v>
      </c>
      <c r="S25" s="47">
        <f t="shared" si="4"/>
        <v>0.5291026255707763</v>
      </c>
      <c r="T25" s="47" t="s">
        <v>366</v>
      </c>
      <c r="U25" s="42" t="s">
        <v>31</v>
      </c>
      <c r="V25" s="54" t="s">
        <v>312</v>
      </c>
      <c r="W25" s="44" t="s">
        <v>355</v>
      </c>
      <c r="X25" s="42" t="s">
        <v>334</v>
      </c>
      <c r="Y25" s="35" t="s">
        <v>488</v>
      </c>
      <c r="Z25" s="10"/>
    </row>
    <row r="26" spans="1:26" ht="15.75" customHeight="1">
      <c r="A26" s="42" t="s">
        <v>28</v>
      </c>
      <c r="B26" s="42" t="s">
        <v>11</v>
      </c>
      <c r="C26" s="43">
        <v>43132</v>
      </c>
      <c r="D26" s="49" t="s">
        <v>20</v>
      </c>
      <c r="E26" s="42" t="s">
        <v>19</v>
      </c>
      <c r="F26" s="42" t="s">
        <v>90</v>
      </c>
      <c r="G26" s="42" t="s">
        <v>335</v>
      </c>
      <c r="H26" s="44">
        <v>0.33</v>
      </c>
      <c r="I26" s="42" t="s">
        <v>317</v>
      </c>
      <c r="J26" s="45">
        <v>6187</v>
      </c>
      <c r="K26" s="44" t="s">
        <v>317</v>
      </c>
      <c r="L26" s="44">
        <v>0.15</v>
      </c>
      <c r="M26" s="44">
        <f t="shared" si="5"/>
        <v>0.18000000000000002</v>
      </c>
      <c r="N26" s="44">
        <f t="shared" si="6"/>
        <v>0.48</v>
      </c>
      <c r="O26" s="44" t="s">
        <v>350</v>
      </c>
      <c r="P26" s="45">
        <f>(986*6187)/1000</f>
        <v>6100.382</v>
      </c>
      <c r="Q26" s="46">
        <v>1992.2</v>
      </c>
      <c r="R26" s="47">
        <f t="shared" si="3"/>
        <v>0.2274200913242009</v>
      </c>
      <c r="S26" s="47">
        <f t="shared" si="4"/>
        <v>0.6963906392694064</v>
      </c>
      <c r="T26" s="47" t="s">
        <v>366</v>
      </c>
      <c r="U26" s="42" t="s">
        <v>32</v>
      </c>
      <c r="V26" s="54" t="s">
        <v>312</v>
      </c>
      <c r="W26" s="44" t="s">
        <v>356</v>
      </c>
      <c r="X26" s="42" t="s">
        <v>335</v>
      </c>
      <c r="Y26" s="35" t="s">
        <v>488</v>
      </c>
      <c r="Z26" s="10"/>
    </row>
    <row r="27" spans="1:26" ht="14.25">
      <c r="A27" s="42" t="s">
        <v>111</v>
      </c>
      <c r="B27" s="42" t="s">
        <v>35</v>
      </c>
      <c r="C27" s="43">
        <v>43221</v>
      </c>
      <c r="D27" s="49" t="s">
        <v>21</v>
      </c>
      <c r="E27" s="42" t="s">
        <v>19</v>
      </c>
      <c r="F27" s="42" t="s">
        <v>71</v>
      </c>
      <c r="G27" s="42" t="s">
        <v>338</v>
      </c>
      <c r="H27" s="44">
        <v>0.95</v>
      </c>
      <c r="I27" s="42" t="s">
        <v>317</v>
      </c>
      <c r="J27" s="42">
        <v>118</v>
      </c>
      <c r="K27" s="44">
        <v>0.9</v>
      </c>
      <c r="L27" s="48">
        <v>0.027</v>
      </c>
      <c r="M27" s="44">
        <f t="shared" si="5"/>
        <v>0.9229999999999999</v>
      </c>
      <c r="N27" s="44">
        <f t="shared" si="6"/>
        <v>0.977</v>
      </c>
      <c r="O27" s="44" t="s">
        <v>316</v>
      </c>
      <c r="P27" s="45">
        <f>1.01*8760</f>
        <v>8847.6</v>
      </c>
      <c r="Q27" s="45">
        <f aca="true" t="shared" si="7" ref="Q27:Q36">R27*8760</f>
        <v>8322</v>
      </c>
      <c r="R27" s="47">
        <v>0.95</v>
      </c>
      <c r="S27" s="47">
        <f t="shared" si="4"/>
        <v>1.01</v>
      </c>
      <c r="T27" s="47"/>
      <c r="U27" s="42" t="s">
        <v>39</v>
      </c>
      <c r="V27" s="42"/>
      <c r="W27" s="42"/>
      <c r="X27" s="42" t="s">
        <v>338</v>
      </c>
      <c r="Y27" s="35" t="s">
        <v>490</v>
      </c>
      <c r="Z27" s="10"/>
    </row>
    <row r="28" spans="1:26" ht="14.25">
      <c r="A28" s="42" t="s">
        <v>111</v>
      </c>
      <c r="B28" s="42" t="s">
        <v>35</v>
      </c>
      <c r="C28" s="43">
        <v>43221</v>
      </c>
      <c r="D28" s="49" t="s">
        <v>21</v>
      </c>
      <c r="E28" s="42" t="s">
        <v>19</v>
      </c>
      <c r="F28" s="42" t="s">
        <v>72</v>
      </c>
      <c r="G28" s="42" t="s">
        <v>339</v>
      </c>
      <c r="H28" s="44">
        <v>1</v>
      </c>
      <c r="I28" s="42" t="s">
        <v>317</v>
      </c>
      <c r="J28" s="42">
        <v>8</v>
      </c>
      <c r="K28" s="44">
        <v>0.9</v>
      </c>
      <c r="L28" s="48">
        <v>0.016</v>
      </c>
      <c r="M28" s="44">
        <f t="shared" si="5"/>
        <v>0.984</v>
      </c>
      <c r="N28" s="44">
        <f t="shared" si="6"/>
        <v>1.016</v>
      </c>
      <c r="O28" s="44" t="s">
        <v>316</v>
      </c>
      <c r="P28" s="45">
        <f>0.71*8760</f>
        <v>6219.599999999999</v>
      </c>
      <c r="Q28" s="45">
        <f t="shared" si="7"/>
        <v>6219.599999999999</v>
      </c>
      <c r="R28" s="47">
        <v>0.71</v>
      </c>
      <c r="S28" s="47">
        <f t="shared" si="4"/>
        <v>0.71</v>
      </c>
      <c r="T28" s="47"/>
      <c r="U28" s="42"/>
      <c r="V28" s="42" t="s">
        <v>66</v>
      </c>
      <c r="W28" s="42"/>
      <c r="X28" s="42" t="s">
        <v>339</v>
      </c>
      <c r="Y28" s="35" t="s">
        <v>490</v>
      </c>
      <c r="Z28" s="10"/>
    </row>
    <row r="29" spans="1:26" ht="14.25">
      <c r="A29" s="42" t="s">
        <v>111</v>
      </c>
      <c r="B29" s="42" t="s">
        <v>35</v>
      </c>
      <c r="C29" s="43">
        <v>43221</v>
      </c>
      <c r="D29" s="49" t="s">
        <v>21</v>
      </c>
      <c r="E29" s="42" t="s">
        <v>19</v>
      </c>
      <c r="F29" s="42" t="s">
        <v>36</v>
      </c>
      <c r="G29" s="42" t="s">
        <v>340</v>
      </c>
      <c r="H29" s="44">
        <v>1</v>
      </c>
      <c r="I29" s="42" t="s">
        <v>317</v>
      </c>
      <c r="J29" s="42">
        <v>15</v>
      </c>
      <c r="K29" s="44">
        <v>0.9</v>
      </c>
      <c r="L29" s="56">
        <v>0.0571</v>
      </c>
      <c r="M29" s="44">
        <f t="shared" si="5"/>
        <v>0.9429</v>
      </c>
      <c r="N29" s="44">
        <f t="shared" si="6"/>
        <v>1.0571</v>
      </c>
      <c r="O29" s="44" t="s">
        <v>316</v>
      </c>
      <c r="P29" s="45">
        <f>0.94*8760</f>
        <v>8234.4</v>
      </c>
      <c r="Q29" s="45">
        <f t="shared" si="7"/>
        <v>8234.4</v>
      </c>
      <c r="R29" s="47">
        <v>0.94</v>
      </c>
      <c r="S29" s="47">
        <f t="shared" si="4"/>
        <v>0.94</v>
      </c>
      <c r="T29" s="47"/>
      <c r="U29" s="42"/>
      <c r="V29" s="42" t="s">
        <v>67</v>
      </c>
      <c r="W29" s="42"/>
      <c r="X29" s="42" t="s">
        <v>340</v>
      </c>
      <c r="Y29" s="35" t="s">
        <v>490</v>
      </c>
      <c r="Z29" s="10"/>
    </row>
    <row r="30" spans="1:26" ht="14.25">
      <c r="A30" s="42" t="s">
        <v>111</v>
      </c>
      <c r="B30" s="42" t="s">
        <v>35</v>
      </c>
      <c r="C30" s="43">
        <v>43221</v>
      </c>
      <c r="D30" s="49" t="s">
        <v>21</v>
      </c>
      <c r="E30" s="42" t="s">
        <v>19</v>
      </c>
      <c r="F30" s="42" t="s">
        <v>73</v>
      </c>
      <c r="G30" s="42" t="s">
        <v>341</v>
      </c>
      <c r="H30" s="44">
        <v>1.09</v>
      </c>
      <c r="I30" s="42" t="s">
        <v>317</v>
      </c>
      <c r="J30" s="42">
        <v>43</v>
      </c>
      <c r="K30" s="44">
        <v>0.9</v>
      </c>
      <c r="L30" s="44">
        <v>0.07</v>
      </c>
      <c r="M30" s="44">
        <f t="shared" si="5"/>
        <v>1.02</v>
      </c>
      <c r="N30" s="44">
        <f t="shared" si="6"/>
        <v>1.1600000000000001</v>
      </c>
      <c r="O30" s="44" t="s">
        <v>316</v>
      </c>
      <c r="P30" s="45">
        <f>0.11*8760</f>
        <v>963.6</v>
      </c>
      <c r="Q30" s="45">
        <f t="shared" si="7"/>
        <v>963.6</v>
      </c>
      <c r="R30" s="47">
        <v>0.11</v>
      </c>
      <c r="S30" s="47">
        <f t="shared" si="4"/>
        <v>0.11</v>
      </c>
      <c r="T30" s="47"/>
      <c r="U30" s="42" t="s">
        <v>38</v>
      </c>
      <c r="V30" s="42" t="s">
        <v>68</v>
      </c>
      <c r="W30" s="42"/>
      <c r="X30" s="42" t="s">
        <v>341</v>
      </c>
      <c r="Y30" s="35" t="s">
        <v>490</v>
      </c>
      <c r="Z30" s="10"/>
    </row>
    <row r="31" spans="1:26" ht="14.25">
      <c r="A31" s="42" t="s">
        <v>111</v>
      </c>
      <c r="B31" s="42" t="s">
        <v>35</v>
      </c>
      <c r="C31" s="43">
        <v>43221</v>
      </c>
      <c r="D31" s="49" t="s">
        <v>21</v>
      </c>
      <c r="E31" s="42" t="s">
        <v>37</v>
      </c>
      <c r="F31" s="42" t="s">
        <v>77</v>
      </c>
      <c r="G31" s="42" t="s">
        <v>342</v>
      </c>
      <c r="H31" s="44">
        <v>1</v>
      </c>
      <c r="I31" s="42">
        <v>3</v>
      </c>
      <c r="J31" s="42">
        <v>3</v>
      </c>
      <c r="K31" s="44">
        <v>0.9</v>
      </c>
      <c r="L31" s="44" t="s">
        <v>112</v>
      </c>
      <c r="M31" s="44"/>
      <c r="N31" s="44"/>
      <c r="O31" s="44" t="s">
        <v>112</v>
      </c>
      <c r="P31" s="45">
        <f>0.2*8760</f>
        <v>1752</v>
      </c>
      <c r="Q31" s="45">
        <f t="shared" si="7"/>
        <v>1752</v>
      </c>
      <c r="R31" s="47">
        <v>0.2</v>
      </c>
      <c r="S31" s="47">
        <f t="shared" si="4"/>
        <v>0.2</v>
      </c>
      <c r="T31" s="47"/>
      <c r="U31" s="42"/>
      <c r="V31" s="42"/>
      <c r="W31" s="42"/>
      <c r="X31" s="42" t="s">
        <v>342</v>
      </c>
      <c r="Y31" s="35" t="s">
        <v>490</v>
      </c>
      <c r="Z31" s="10"/>
    </row>
    <row r="32" spans="1:26" ht="14.25">
      <c r="A32" s="42" t="s">
        <v>111</v>
      </c>
      <c r="B32" s="42" t="s">
        <v>35</v>
      </c>
      <c r="C32" s="43">
        <v>43221</v>
      </c>
      <c r="D32" s="49" t="s">
        <v>21</v>
      </c>
      <c r="E32" s="42" t="s">
        <v>37</v>
      </c>
      <c r="F32" s="42" t="s">
        <v>74</v>
      </c>
      <c r="G32" s="42" t="s">
        <v>343</v>
      </c>
      <c r="H32" s="44">
        <v>1</v>
      </c>
      <c r="I32" s="42" t="s">
        <v>317</v>
      </c>
      <c r="J32" s="42">
        <v>13</v>
      </c>
      <c r="K32" s="44">
        <v>0.9</v>
      </c>
      <c r="L32" s="44" t="s">
        <v>112</v>
      </c>
      <c r="M32" s="44"/>
      <c r="N32" s="44"/>
      <c r="O32" s="44" t="s">
        <v>112</v>
      </c>
      <c r="P32" s="45">
        <f>0.06*8760</f>
        <v>525.6</v>
      </c>
      <c r="Q32" s="45">
        <f t="shared" si="7"/>
        <v>525.6</v>
      </c>
      <c r="R32" s="47">
        <v>0.06</v>
      </c>
      <c r="S32" s="47">
        <f t="shared" si="4"/>
        <v>0.060000000000000005</v>
      </c>
      <c r="T32" s="47"/>
      <c r="U32" s="42"/>
      <c r="V32" s="42"/>
      <c r="W32" s="42"/>
      <c r="X32" s="42" t="s">
        <v>343</v>
      </c>
      <c r="Y32" s="35" t="s">
        <v>490</v>
      </c>
      <c r="Z32" s="10"/>
    </row>
    <row r="33" spans="1:26" ht="14.25">
      <c r="A33" s="42" t="s">
        <v>111</v>
      </c>
      <c r="B33" s="42" t="s">
        <v>35</v>
      </c>
      <c r="C33" s="43">
        <v>43221</v>
      </c>
      <c r="D33" s="49" t="s">
        <v>58</v>
      </c>
      <c r="E33" s="42" t="s">
        <v>19</v>
      </c>
      <c r="F33" s="42" t="s">
        <v>86</v>
      </c>
      <c r="G33" s="42" t="s">
        <v>344</v>
      </c>
      <c r="H33" s="44">
        <v>0.78</v>
      </c>
      <c r="I33" s="42">
        <v>1451</v>
      </c>
      <c r="J33" s="42">
        <v>20</v>
      </c>
      <c r="K33" s="42" t="s">
        <v>317</v>
      </c>
      <c r="L33" s="44" t="s">
        <v>112</v>
      </c>
      <c r="M33" s="44"/>
      <c r="N33" s="44"/>
      <c r="O33" s="44" t="s">
        <v>112</v>
      </c>
      <c r="P33" s="45">
        <f>0.25*8760</f>
        <v>2190</v>
      </c>
      <c r="Q33" s="45">
        <f t="shared" si="7"/>
        <v>1752</v>
      </c>
      <c r="R33" s="47">
        <v>0.2</v>
      </c>
      <c r="S33" s="47">
        <f t="shared" si="4"/>
        <v>0.25</v>
      </c>
      <c r="T33" s="47"/>
      <c r="U33" s="42" t="s">
        <v>59</v>
      </c>
      <c r="V33" s="42"/>
      <c r="W33" s="42" t="s">
        <v>357</v>
      </c>
      <c r="X33" s="42" t="s">
        <v>344</v>
      </c>
      <c r="Y33" s="35" t="s">
        <v>490</v>
      </c>
      <c r="Z33" s="10"/>
    </row>
    <row r="34" spans="1:26" ht="14.25">
      <c r="A34" s="42" t="s">
        <v>111</v>
      </c>
      <c r="B34" s="42" t="s">
        <v>35</v>
      </c>
      <c r="C34" s="43">
        <v>43221</v>
      </c>
      <c r="D34" s="49" t="s">
        <v>58</v>
      </c>
      <c r="E34" s="42" t="s">
        <v>19</v>
      </c>
      <c r="F34" s="42" t="s">
        <v>87</v>
      </c>
      <c r="G34" s="42" t="s">
        <v>345</v>
      </c>
      <c r="H34" s="44">
        <v>0.57</v>
      </c>
      <c r="I34" s="42">
        <v>292</v>
      </c>
      <c r="J34" s="42">
        <v>34</v>
      </c>
      <c r="K34" s="42" t="s">
        <v>317</v>
      </c>
      <c r="L34" s="44" t="s">
        <v>112</v>
      </c>
      <c r="M34" s="44"/>
      <c r="N34" s="44"/>
      <c r="O34" s="44" t="s">
        <v>112</v>
      </c>
      <c r="P34" s="45">
        <f>0.07*8760</f>
        <v>613.2</v>
      </c>
      <c r="Q34" s="45">
        <f t="shared" si="7"/>
        <v>350.40000000000003</v>
      </c>
      <c r="R34" s="47">
        <v>0.04</v>
      </c>
      <c r="S34" s="47">
        <f t="shared" si="4"/>
        <v>0.07</v>
      </c>
      <c r="T34" s="47"/>
      <c r="U34" s="42" t="s">
        <v>59</v>
      </c>
      <c r="V34" s="42"/>
      <c r="W34" s="42" t="s">
        <v>357</v>
      </c>
      <c r="X34" s="42" t="s">
        <v>345</v>
      </c>
      <c r="Y34" s="35" t="s">
        <v>490</v>
      </c>
      <c r="Z34" s="10"/>
    </row>
    <row r="35" spans="1:26" ht="14.25">
      <c r="A35" s="42" t="s">
        <v>111</v>
      </c>
      <c r="B35" s="42" t="s">
        <v>35</v>
      </c>
      <c r="C35" s="43">
        <v>43221</v>
      </c>
      <c r="D35" s="49" t="s">
        <v>58</v>
      </c>
      <c r="E35" s="42" t="s">
        <v>19</v>
      </c>
      <c r="F35" s="42" t="s">
        <v>88</v>
      </c>
      <c r="G35" s="42" t="s">
        <v>346</v>
      </c>
      <c r="H35" s="44">
        <v>0.42</v>
      </c>
      <c r="I35" s="42">
        <v>129</v>
      </c>
      <c r="J35" s="42">
        <v>15</v>
      </c>
      <c r="K35" s="42" t="s">
        <v>317</v>
      </c>
      <c r="L35" s="44" t="s">
        <v>112</v>
      </c>
      <c r="M35" s="44"/>
      <c r="N35" s="44"/>
      <c r="O35" s="44" t="s">
        <v>112</v>
      </c>
      <c r="P35" s="45">
        <f>0.02*8760</f>
        <v>175.20000000000002</v>
      </c>
      <c r="Q35" s="45">
        <f t="shared" si="7"/>
        <v>87.60000000000001</v>
      </c>
      <c r="R35" s="47">
        <v>0.01</v>
      </c>
      <c r="S35" s="47">
        <f t="shared" si="4"/>
        <v>0.02</v>
      </c>
      <c r="T35" s="47"/>
      <c r="U35" s="42" t="s">
        <v>59</v>
      </c>
      <c r="V35" s="42"/>
      <c r="W35" s="42" t="s">
        <v>357</v>
      </c>
      <c r="X35" s="42" t="s">
        <v>346</v>
      </c>
      <c r="Y35" s="35" t="s">
        <v>490</v>
      </c>
      <c r="Z35" s="10"/>
    </row>
    <row r="36" spans="1:25" ht="14.25">
      <c r="A36" s="42" t="s">
        <v>111</v>
      </c>
      <c r="B36" s="42" t="s">
        <v>35</v>
      </c>
      <c r="C36" s="43">
        <v>43221</v>
      </c>
      <c r="D36" s="49" t="s">
        <v>58</v>
      </c>
      <c r="E36" s="42" t="s">
        <v>19</v>
      </c>
      <c r="F36" s="42" t="s">
        <v>89</v>
      </c>
      <c r="G36" s="42" t="s">
        <v>347</v>
      </c>
      <c r="H36" s="44">
        <v>0.37</v>
      </c>
      <c r="I36" s="42">
        <v>1641</v>
      </c>
      <c r="J36" s="42">
        <v>69</v>
      </c>
      <c r="K36" s="42" t="s">
        <v>317</v>
      </c>
      <c r="L36" s="44" t="s">
        <v>112</v>
      </c>
      <c r="M36" s="44"/>
      <c r="N36" s="44"/>
      <c r="O36" s="44" t="s">
        <v>112</v>
      </c>
      <c r="P36" s="45">
        <f>0.98*8760</f>
        <v>8584.8</v>
      </c>
      <c r="Q36" s="45">
        <f t="shared" si="7"/>
        <v>3153.6</v>
      </c>
      <c r="R36" s="47">
        <v>0.36</v>
      </c>
      <c r="S36" s="47">
        <f t="shared" si="4"/>
        <v>0.9799999999999999</v>
      </c>
      <c r="T36" s="47"/>
      <c r="U36" s="42" t="s">
        <v>59</v>
      </c>
      <c r="V36" s="42"/>
      <c r="W36" s="42" t="s">
        <v>357</v>
      </c>
      <c r="X36" s="42" t="s">
        <v>347</v>
      </c>
      <c r="Y36" s="35" t="s">
        <v>490</v>
      </c>
    </row>
    <row r="37" spans="1:25" s="14" customFormat="1" ht="14.25">
      <c r="A37" s="42" t="s">
        <v>302</v>
      </c>
      <c r="B37" s="42" t="s">
        <v>392</v>
      </c>
      <c r="C37" s="43">
        <v>42767</v>
      </c>
      <c r="D37" s="42" t="s">
        <v>20</v>
      </c>
      <c r="E37" s="42" t="s">
        <v>220</v>
      </c>
      <c r="F37" s="42" t="s">
        <v>300</v>
      </c>
      <c r="G37" s="42" t="s">
        <v>348</v>
      </c>
      <c r="H37" s="44">
        <v>0.79</v>
      </c>
      <c r="I37" s="42">
        <v>47</v>
      </c>
      <c r="J37" s="42">
        <v>24</v>
      </c>
      <c r="K37" s="50">
        <v>0.8</v>
      </c>
      <c r="L37" s="42" t="s">
        <v>112</v>
      </c>
      <c r="M37" s="44"/>
      <c r="N37" s="44"/>
      <c r="O37" s="44" t="s">
        <v>112</v>
      </c>
      <c r="P37" s="45">
        <v>14053</v>
      </c>
      <c r="Q37" s="45">
        <v>11136</v>
      </c>
      <c r="R37" s="47">
        <f aca="true" t="shared" si="8" ref="R37:R47">Q37/8760</f>
        <v>1.2712328767123289</v>
      </c>
      <c r="S37" s="47">
        <f t="shared" si="4"/>
        <v>1.6042237442922374</v>
      </c>
      <c r="T37" s="47"/>
      <c r="U37" s="42" t="s">
        <v>303</v>
      </c>
      <c r="V37" s="42" t="s">
        <v>308</v>
      </c>
      <c r="W37" s="42" t="s">
        <v>318</v>
      </c>
      <c r="X37" s="42" t="s">
        <v>348</v>
      </c>
      <c r="Y37" s="35" t="s">
        <v>485</v>
      </c>
    </row>
    <row r="38" spans="1:26" s="14" customFormat="1" ht="14.25">
      <c r="A38" s="42" t="s">
        <v>302</v>
      </c>
      <c r="B38" s="42" t="s">
        <v>392</v>
      </c>
      <c r="C38" s="43">
        <v>42767</v>
      </c>
      <c r="D38" s="42" t="s">
        <v>20</v>
      </c>
      <c r="E38" s="42" t="s">
        <v>220</v>
      </c>
      <c r="F38" s="42" t="s">
        <v>301</v>
      </c>
      <c r="G38" s="42" t="s">
        <v>349</v>
      </c>
      <c r="H38" s="44">
        <v>1.05</v>
      </c>
      <c r="I38" s="42">
        <v>18</v>
      </c>
      <c r="J38" s="42">
        <v>7</v>
      </c>
      <c r="K38" s="50">
        <v>0.8</v>
      </c>
      <c r="L38" s="42" t="s">
        <v>112</v>
      </c>
      <c r="M38" s="44"/>
      <c r="N38" s="44"/>
      <c r="O38" s="44" t="s">
        <v>112</v>
      </c>
      <c r="P38" s="45">
        <v>9631</v>
      </c>
      <c r="Q38" s="45">
        <v>10068</v>
      </c>
      <c r="R38" s="47">
        <f t="shared" si="8"/>
        <v>1.1493150684931508</v>
      </c>
      <c r="S38" s="47">
        <f t="shared" si="4"/>
        <v>1.0994292237442922</v>
      </c>
      <c r="T38" s="47"/>
      <c r="U38" s="42" t="s">
        <v>304</v>
      </c>
      <c r="V38" s="42" t="s">
        <v>309</v>
      </c>
      <c r="W38" s="42" t="s">
        <v>318</v>
      </c>
      <c r="X38" s="42" t="s">
        <v>349</v>
      </c>
      <c r="Y38" s="35" t="s">
        <v>485</v>
      </c>
      <c r="Z38" s="17"/>
    </row>
    <row r="39" spans="1:26" ht="14.25">
      <c r="A39" s="42" t="s">
        <v>27</v>
      </c>
      <c r="B39" s="42" t="s">
        <v>444</v>
      </c>
      <c r="C39" s="43">
        <v>44267</v>
      </c>
      <c r="D39" s="42" t="s">
        <v>20</v>
      </c>
      <c r="E39" s="42" t="s">
        <v>19</v>
      </c>
      <c r="F39" s="42" t="s">
        <v>8</v>
      </c>
      <c r="G39" s="42"/>
      <c r="H39" s="44">
        <v>0.44</v>
      </c>
      <c r="I39" s="42">
        <v>11219</v>
      </c>
      <c r="J39" s="42">
        <v>450</v>
      </c>
      <c r="K39" s="50">
        <v>0.9</v>
      </c>
      <c r="L39" s="42" t="s">
        <v>112</v>
      </c>
      <c r="M39" s="50">
        <v>0.32</v>
      </c>
      <c r="N39" s="50">
        <v>0.57</v>
      </c>
      <c r="O39" s="44" t="s">
        <v>350</v>
      </c>
      <c r="P39" s="45">
        <f aca="true" t="shared" si="9" ref="P39:P45">Q39/H39</f>
        <v>894.8863636363636</v>
      </c>
      <c r="Q39" s="45">
        <f>875/1000*J39</f>
        <v>393.75</v>
      </c>
      <c r="R39" s="47">
        <f t="shared" si="8"/>
        <v>0.0449486301369863</v>
      </c>
      <c r="S39" s="47">
        <f t="shared" si="4"/>
        <v>0.10215597758405977</v>
      </c>
      <c r="T39" s="42" t="s">
        <v>447</v>
      </c>
      <c r="U39" s="42"/>
      <c r="V39" s="42"/>
      <c r="W39" s="42"/>
      <c r="X39" s="42" t="s">
        <v>452</v>
      </c>
      <c r="Y39" s="58" t="s">
        <v>489</v>
      </c>
      <c r="Z39" s="17"/>
    </row>
    <row r="40" spans="1:25" ht="14.25">
      <c r="A40" s="42" t="s">
        <v>27</v>
      </c>
      <c r="B40" s="42" t="s">
        <v>444</v>
      </c>
      <c r="C40" s="43">
        <v>44267</v>
      </c>
      <c r="D40" s="42" t="s">
        <v>20</v>
      </c>
      <c r="E40" s="42" t="s">
        <v>19</v>
      </c>
      <c r="F40" s="42" t="s">
        <v>448</v>
      </c>
      <c r="G40" s="42"/>
      <c r="H40" s="44">
        <v>0.69</v>
      </c>
      <c r="I40" s="42">
        <v>163</v>
      </c>
      <c r="J40" s="42">
        <v>39</v>
      </c>
      <c r="K40" s="50">
        <v>0.9</v>
      </c>
      <c r="L40" s="42" t="s">
        <v>112</v>
      </c>
      <c r="M40" s="50">
        <v>0.36</v>
      </c>
      <c r="N40" s="50">
        <v>1.01</v>
      </c>
      <c r="O40" s="44" t="s">
        <v>350</v>
      </c>
      <c r="P40" s="45">
        <f t="shared" si="9"/>
        <v>102.47391304347826</v>
      </c>
      <c r="Q40" s="45">
        <f>1813/1000*J40</f>
        <v>70.707</v>
      </c>
      <c r="R40" s="47">
        <f t="shared" si="8"/>
        <v>0.008071575342465753</v>
      </c>
      <c r="S40" s="47">
        <f t="shared" si="4"/>
        <v>0.011697935278935874</v>
      </c>
      <c r="T40" s="42" t="s">
        <v>447</v>
      </c>
      <c r="U40" s="42"/>
      <c r="V40" s="42"/>
      <c r="W40" s="42"/>
      <c r="X40" s="42" t="s">
        <v>453</v>
      </c>
      <c r="Y40" s="58" t="s">
        <v>489</v>
      </c>
    </row>
    <row r="41" spans="1:25" ht="14.25">
      <c r="A41" s="42" t="s">
        <v>27</v>
      </c>
      <c r="B41" s="42" t="s">
        <v>444</v>
      </c>
      <c r="C41" s="43">
        <v>44267</v>
      </c>
      <c r="D41" s="42" t="s">
        <v>20</v>
      </c>
      <c r="E41" s="42" t="s">
        <v>19</v>
      </c>
      <c r="F41" s="42" t="s">
        <v>365</v>
      </c>
      <c r="G41" s="42"/>
      <c r="H41" s="44">
        <v>0.34</v>
      </c>
      <c r="I41" s="42" t="s">
        <v>450</v>
      </c>
      <c r="J41" s="42">
        <v>35</v>
      </c>
      <c r="K41" s="50">
        <v>0.9</v>
      </c>
      <c r="L41" s="42" t="s">
        <v>112</v>
      </c>
      <c r="M41" s="50">
        <v>0.14</v>
      </c>
      <c r="N41" s="50">
        <v>0.54</v>
      </c>
      <c r="O41" s="44" t="s">
        <v>350</v>
      </c>
      <c r="P41" s="45">
        <f t="shared" si="9"/>
        <v>267.95588235294116</v>
      </c>
      <c r="Q41" s="45">
        <f>2603/1000*J41</f>
        <v>91.105</v>
      </c>
      <c r="R41" s="47">
        <f t="shared" si="8"/>
        <v>0.010400114155251142</v>
      </c>
      <c r="S41" s="47">
        <f t="shared" si="4"/>
        <v>0.030588571044856298</v>
      </c>
      <c r="T41" s="42" t="s">
        <v>447</v>
      </c>
      <c r="U41" s="42" t="s">
        <v>451</v>
      </c>
      <c r="V41" s="42"/>
      <c r="W41" s="42"/>
      <c r="X41" s="42" t="s">
        <v>454</v>
      </c>
      <c r="Y41" s="58" t="s">
        <v>489</v>
      </c>
    </row>
    <row r="42" spans="1:25" ht="14.25">
      <c r="A42" s="42" t="s">
        <v>27</v>
      </c>
      <c r="B42" s="42" t="s">
        <v>444</v>
      </c>
      <c r="C42" s="43">
        <v>44267</v>
      </c>
      <c r="D42" s="42" t="s">
        <v>20</v>
      </c>
      <c r="E42" s="42" t="s">
        <v>19</v>
      </c>
      <c r="F42" s="42" t="s">
        <v>91</v>
      </c>
      <c r="G42" s="42"/>
      <c r="H42" s="44">
        <v>0.63</v>
      </c>
      <c r="I42" s="42">
        <v>1953</v>
      </c>
      <c r="J42" s="42">
        <v>176</v>
      </c>
      <c r="K42" s="50">
        <v>0.9</v>
      </c>
      <c r="L42" s="42" t="s">
        <v>112</v>
      </c>
      <c r="M42" s="50">
        <v>0.44</v>
      </c>
      <c r="N42" s="50">
        <v>0.83</v>
      </c>
      <c r="O42" s="44" t="s">
        <v>350</v>
      </c>
      <c r="P42" s="45">
        <f t="shared" si="9"/>
        <v>1143.7206349206351</v>
      </c>
      <c r="Q42" s="45">
        <f>4094/1000*J42</f>
        <v>720.5440000000001</v>
      </c>
      <c r="R42" s="47">
        <f t="shared" si="8"/>
        <v>0.08225388127853882</v>
      </c>
      <c r="S42" s="47">
        <f t="shared" si="4"/>
        <v>0.130561716315141</v>
      </c>
      <c r="T42" s="42" t="s">
        <v>447</v>
      </c>
      <c r="U42" s="42"/>
      <c r="V42" s="42"/>
      <c r="W42" s="42"/>
      <c r="X42" s="42" t="s">
        <v>455</v>
      </c>
      <c r="Y42" s="58" t="s">
        <v>489</v>
      </c>
    </row>
    <row r="43" spans="1:25" ht="14.25">
      <c r="A43" s="42" t="s">
        <v>27</v>
      </c>
      <c r="B43" s="42" t="s">
        <v>444</v>
      </c>
      <c r="C43" s="43">
        <v>44267</v>
      </c>
      <c r="D43" s="42" t="s">
        <v>20</v>
      </c>
      <c r="E43" s="42" t="s">
        <v>19</v>
      </c>
      <c r="F43" s="42" t="s">
        <v>445</v>
      </c>
      <c r="G43" s="42"/>
      <c r="H43" s="44">
        <v>0.66</v>
      </c>
      <c r="I43" s="42" t="s">
        <v>450</v>
      </c>
      <c r="J43" s="42">
        <v>22</v>
      </c>
      <c r="K43" s="50">
        <v>0.9</v>
      </c>
      <c r="L43" s="42" t="s">
        <v>112</v>
      </c>
      <c r="M43" s="50">
        <v>0.54</v>
      </c>
      <c r="N43" s="50">
        <v>0.78</v>
      </c>
      <c r="O43" s="44" t="s">
        <v>350</v>
      </c>
      <c r="P43" s="45">
        <f t="shared" si="9"/>
        <v>182.4333333333333</v>
      </c>
      <c r="Q43" s="45">
        <f>5473/1000*J43</f>
        <v>120.40599999999999</v>
      </c>
      <c r="R43" s="47">
        <f t="shared" si="8"/>
        <v>0.013744977168949771</v>
      </c>
      <c r="S43" s="47">
        <f t="shared" si="4"/>
        <v>0.020825722983257227</v>
      </c>
      <c r="T43" s="42" t="s">
        <v>447</v>
      </c>
      <c r="U43" s="42" t="s">
        <v>451</v>
      </c>
      <c r="V43" s="42"/>
      <c r="W43" s="42"/>
      <c r="X43" s="42" t="s">
        <v>456</v>
      </c>
      <c r="Y43" s="58" t="s">
        <v>489</v>
      </c>
    </row>
    <row r="44" spans="1:25" ht="14.25">
      <c r="A44" s="42" t="s">
        <v>27</v>
      </c>
      <c r="B44" s="42" t="s">
        <v>444</v>
      </c>
      <c r="C44" s="43">
        <v>44267</v>
      </c>
      <c r="D44" s="42" t="s">
        <v>20</v>
      </c>
      <c r="E44" s="42" t="s">
        <v>19</v>
      </c>
      <c r="F44" s="42" t="s">
        <v>446</v>
      </c>
      <c r="G44" s="42"/>
      <c r="H44" s="44">
        <v>0.15</v>
      </c>
      <c r="I44" s="42">
        <v>599</v>
      </c>
      <c r="J44" s="42">
        <v>48</v>
      </c>
      <c r="K44" s="50">
        <v>0.9</v>
      </c>
      <c r="L44" s="42" t="s">
        <v>112</v>
      </c>
      <c r="M44" s="50">
        <v>0.02</v>
      </c>
      <c r="N44" s="50">
        <v>0.29</v>
      </c>
      <c r="O44" s="44" t="s">
        <v>350</v>
      </c>
      <c r="P44" s="45">
        <f t="shared" si="9"/>
        <v>352.32</v>
      </c>
      <c r="Q44" s="45">
        <f>1101/1000*J44</f>
        <v>52.848</v>
      </c>
      <c r="R44" s="47">
        <f t="shared" si="8"/>
        <v>0.006032876712328767</v>
      </c>
      <c r="S44" s="47">
        <f t="shared" si="4"/>
        <v>0.04021917808219178</v>
      </c>
      <c r="T44" s="42" t="s">
        <v>447</v>
      </c>
      <c r="U44" s="42"/>
      <c r="V44" s="42"/>
      <c r="W44" s="42"/>
      <c r="X44" s="42" t="s">
        <v>457</v>
      </c>
      <c r="Y44" s="58" t="s">
        <v>489</v>
      </c>
    </row>
    <row r="45" spans="1:25" ht="14.25">
      <c r="A45" s="42" t="s">
        <v>27</v>
      </c>
      <c r="B45" s="42" t="s">
        <v>444</v>
      </c>
      <c r="C45" s="43">
        <v>44267</v>
      </c>
      <c r="D45" s="42" t="s">
        <v>20</v>
      </c>
      <c r="E45" s="42" t="s">
        <v>19</v>
      </c>
      <c r="F45" s="42" t="s">
        <v>449</v>
      </c>
      <c r="G45" s="42"/>
      <c r="H45" s="44">
        <v>2.44</v>
      </c>
      <c r="I45" s="42">
        <v>5266</v>
      </c>
      <c r="J45" s="42">
        <v>238</v>
      </c>
      <c r="K45" s="50">
        <v>0.9</v>
      </c>
      <c r="L45" s="42" t="s">
        <v>112</v>
      </c>
      <c r="M45" s="50">
        <v>2.01</v>
      </c>
      <c r="N45" s="50">
        <v>2.87</v>
      </c>
      <c r="O45" s="44" t="s">
        <v>350</v>
      </c>
      <c r="P45" s="45">
        <f t="shared" si="9"/>
        <v>233.80573770491804</v>
      </c>
      <c r="Q45" s="45">
        <f>2397/1000*J45</f>
        <v>570.486</v>
      </c>
      <c r="R45" s="47">
        <f t="shared" si="8"/>
        <v>0.06512397260273972</v>
      </c>
      <c r="S45" s="47">
        <f t="shared" si="4"/>
        <v>0.026690152706040873</v>
      </c>
      <c r="T45" s="42" t="s">
        <v>447</v>
      </c>
      <c r="U45" s="42"/>
      <c r="V45" s="42"/>
      <c r="W45" s="42"/>
      <c r="X45" s="42" t="s">
        <v>458</v>
      </c>
      <c r="Y45" s="58" t="s">
        <v>489</v>
      </c>
    </row>
    <row r="46" spans="1:25" ht="14.25">
      <c r="A46" s="42" t="s">
        <v>26</v>
      </c>
      <c r="B46" s="49" t="s">
        <v>12</v>
      </c>
      <c r="C46" s="43">
        <v>42309</v>
      </c>
      <c r="D46" s="49" t="s">
        <v>22</v>
      </c>
      <c r="E46" s="49" t="s">
        <v>60</v>
      </c>
      <c r="F46" s="42" t="s">
        <v>83</v>
      </c>
      <c r="G46" s="42" t="s">
        <v>327</v>
      </c>
      <c r="H46" s="44">
        <v>1.02</v>
      </c>
      <c r="I46" s="42">
        <v>119</v>
      </c>
      <c r="J46" s="42">
        <v>24</v>
      </c>
      <c r="K46" s="44">
        <v>0.9</v>
      </c>
      <c r="L46" s="44">
        <v>0.03</v>
      </c>
      <c r="M46" s="44">
        <f>H46-L46</f>
        <v>0.99</v>
      </c>
      <c r="N46" s="44">
        <f>H46+L46</f>
        <v>1.05</v>
      </c>
      <c r="O46" s="44" t="s">
        <v>316</v>
      </c>
      <c r="P46" s="45">
        <v>10244</v>
      </c>
      <c r="Q46" s="45">
        <v>10443</v>
      </c>
      <c r="R46" s="47">
        <f t="shared" si="8"/>
        <v>1.1921232876712329</v>
      </c>
      <c r="S46" s="47">
        <f t="shared" si="4"/>
        <v>1.1694063926940639</v>
      </c>
      <c r="T46" s="47"/>
      <c r="U46" s="42" t="s">
        <v>33</v>
      </c>
      <c r="V46" s="42"/>
      <c r="W46" s="44"/>
      <c r="X46" s="42" t="s">
        <v>327</v>
      </c>
      <c r="Y46" s="35" t="s">
        <v>494</v>
      </c>
    </row>
    <row r="47" spans="1:25" ht="14.25">
      <c r="A47" s="42" t="s">
        <v>26</v>
      </c>
      <c r="B47" s="49" t="s">
        <v>12</v>
      </c>
      <c r="C47" s="43">
        <v>42309</v>
      </c>
      <c r="D47" s="49" t="s">
        <v>22</v>
      </c>
      <c r="E47" s="49" t="s">
        <v>60</v>
      </c>
      <c r="F47" s="42" t="s">
        <v>85</v>
      </c>
      <c r="G47" s="42" t="s">
        <v>329</v>
      </c>
      <c r="H47" s="44">
        <v>1.01</v>
      </c>
      <c r="I47" s="42">
        <v>77</v>
      </c>
      <c r="J47" s="42">
        <v>20</v>
      </c>
      <c r="K47" s="44">
        <v>0.9</v>
      </c>
      <c r="L47" s="44">
        <v>0.07</v>
      </c>
      <c r="M47" s="44">
        <f>H47-L47</f>
        <v>0.94</v>
      </c>
      <c r="N47" s="44">
        <f>H47+L47</f>
        <v>1.08</v>
      </c>
      <c r="O47" s="44" t="s">
        <v>316</v>
      </c>
      <c r="P47" s="45">
        <v>24143</v>
      </c>
      <c r="Q47" s="45">
        <v>24484</v>
      </c>
      <c r="R47" s="47">
        <f t="shared" si="8"/>
        <v>2.7949771689497718</v>
      </c>
      <c r="S47" s="47">
        <f t="shared" si="4"/>
        <v>2.756050228310502</v>
      </c>
      <c r="T47" s="47"/>
      <c r="U47" s="42" t="s">
        <v>33</v>
      </c>
      <c r="V47" s="42"/>
      <c r="W47" s="44"/>
      <c r="X47" s="42" t="s">
        <v>329</v>
      </c>
      <c r="Y47" s="35" t="s">
        <v>494</v>
      </c>
    </row>
    <row r="48" spans="3:24" ht="14.25">
      <c r="C48" s="15"/>
      <c r="D48" s="14"/>
      <c r="E48" s="14"/>
      <c r="F48" s="14"/>
      <c r="G48" s="14"/>
      <c r="H48" s="16"/>
      <c r="I48" s="14"/>
      <c r="J48" s="14"/>
      <c r="K48" s="14"/>
      <c r="V48" s="14"/>
      <c r="X48" s="14"/>
    </row>
    <row r="49" spans="3:24" ht="14.25">
      <c r="C49" s="15"/>
      <c r="D49" s="14"/>
      <c r="E49" s="14"/>
      <c r="F49" s="14"/>
      <c r="G49" s="14"/>
      <c r="H49" s="16"/>
      <c r="I49" s="14"/>
      <c r="J49" s="14"/>
      <c r="K49" s="14"/>
      <c r="V49" s="14"/>
      <c r="X49" s="14"/>
    </row>
    <row r="50" spans="3:24" ht="14.25">
      <c r="C50" s="15"/>
      <c r="D50" s="14"/>
      <c r="E50" s="14"/>
      <c r="F50" s="14"/>
      <c r="G50" s="14"/>
      <c r="H50" s="16"/>
      <c r="I50" s="14"/>
      <c r="J50" s="14"/>
      <c r="K50" s="14"/>
      <c r="V50" s="14"/>
      <c r="X50" s="14"/>
    </row>
  </sheetData>
  <autoFilter ref="A7:Y47">
    <sortState ref="A8:Y50">
      <sortCondition sortBy="value" ref="X8:X50"/>
    </sortState>
  </autoFilter>
  <hyperlinks>
    <hyperlink ref="Y21" r:id="rId1" display="https://www.bpa.gov/-/media/Aep/energy-efficiency/evaluation-projects-studies/2018-19-bpa-res-hvac-impact-evaluation-final-report.pdf"/>
    <hyperlink ref="Y24" r:id="rId2" display="https://www.bpa.gov/-/media/Aep/energy-efficiency/evaluation-projects-studies/1802-bpa-residential-impact-evaluation-final-report.pdf"/>
    <hyperlink ref="Y8" r:id="rId3" display="https://www.bpa.gov/-/media/Aep/energy-efficiency/evaluation-projects-studies/1802-bpa-residential-impact-evaluation-final-report.pdf"/>
    <hyperlink ref="Y27" r:id="rId4" display="https://www.bpa.gov/-/media/Aep/energy-efficiency/evaluation-projects-studies/bpa-2017-delivery-verification-evaluation-report.pdf"/>
    <hyperlink ref="Y37" r:id="rId5" display="https://www.bpa.gov/-/media/Aep/energy-efficiency/evaluation-projects-studies/170222-bpa-industrial-sem-impact-evaluation-report.pdf"/>
    <hyperlink ref="Y12" r:id="rId6" display="https://www.bpa.gov/-/media/Aep/energy-efficiency/evaluation-projects-studies/impact-evaluation-site-specific-portfolio-final-report.pdf"/>
    <hyperlink ref="Y10" r:id="rId7" display="https://www.bpa.gov/-/media/Aep/energy-efficiency/evaluation-projects-studies/170215-bpa-evaluation-ues-res-lighting-report.pdf"/>
    <hyperlink ref="Y9" r:id="rId8" display="https://www.bpa.gov/-/media/Aep/energy-efficiency/evaluation-projects-studies/1802-bpa-residential-impact-evaluation-final-report.pdf"/>
    <hyperlink ref="Y22:Y23" r:id="rId9" display="https://www.bpa.gov/-/media/Aep/energy-efficiency/evaluation-projects-studies/2018-19-bpa-res-hvac-impact-evaluation-final-report.pdf"/>
    <hyperlink ref="Y25:Y26" r:id="rId10" display="https://www.bpa.gov/-/media/Aep/energy-efficiency/evaluation-projects-studies/1802-bpa-residential-impact-evaluation-final-report.pdf"/>
    <hyperlink ref="Y28:Y35" r:id="rId11" display="https://www.bpa.gov/-/media/Aep/energy-efficiency/evaluation-projects-studies/bpa-2017-delivery-verification-evaluation-report.pdf"/>
    <hyperlink ref="Y36" r:id="rId12" display="https://www.bpa.gov/-/media/Aep/energy-efficiency/evaluation-projects-studies/bpa-2017-delivery-verification-evaluation-report.pdf"/>
    <hyperlink ref="Y38" r:id="rId13" display="https://www.bpa.gov/-/media/Aep/energy-efficiency/evaluation-projects-studies/170222-bpa-industrial-sem-impact-evaluation-report.pdf"/>
    <hyperlink ref="Y39" r:id="rId14" display="https://www.bpa.gov/-/media/Aep/energy-efficiency/evaluation-projects-studies/2018-19-bpa-res-hvac-impact-evaluation-final-report.pdf"/>
    <hyperlink ref="Y40:Y45" r:id="rId15" display="https://www.bpa.gov/-/media/Aep/energy-efficiency/evaluation-projects-studies/2018-19-bpa-res-hvac-impact-evaluation-final-report.pdf"/>
    <hyperlink ref="Y14" r:id="rId16" display="https://www.bpa.gov/-/media/Aep/energy-efficiency/evaluation-projects-studies/2020-2021-custom-industrial-impact-evaluation-for-option1-utilities-final-report.pdf"/>
    <hyperlink ref="Y11" r:id="rId17" display="https://www.bpa.gov/-/media/Aep/energy-efficiency/evaluation-projects-studies/170215-bpa-evaluation-ues-res-lighting-report.pdf"/>
    <hyperlink ref="Y13:Y16" r:id="rId18" display="https://www.bpa.gov/-/media/Aep/energy-efficiency/evaluation-projects-studies/impact-evaluation-site-specific-portfolio-final-report.pdf"/>
    <hyperlink ref="Y17:Y20" r:id="rId19" display="https://www.bpa.gov/-/media/Aep/energy-efficiency/evaluation-projects-studies/impact-evaluation-site-specific-portfolio-final-report.pdf"/>
    <hyperlink ref="Y19" r:id="rId20" display="https://www.bpa.gov/-/media/Aep/energy-efficiency/evaluation-projects-studies/2020-2021-custom-industrial-impact-evaluation-for-option2-utilities-report.pdf"/>
  </hyperlinks>
  <printOptions/>
  <pageMargins left="0.7" right="0.7" top="0.75" bottom="0.75" header="0.3" footer="0.3"/>
  <pageSetup horizontalDpi="600" verticalDpi="600" orientation="portrait" r:id="rId23"/>
  <legacy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1"/>
  <sheetViews>
    <sheetView zoomScale="89" zoomScaleNormal="89" workbookViewId="0" topLeftCell="D1">
      <selection activeCell="V58" sqref="O58:V58"/>
    </sheetView>
  </sheetViews>
  <sheetFormatPr defaultColWidth="8.796875" defaultRowHeight="14.25"/>
  <cols>
    <col min="1" max="1" width="8.796875" style="3" customWidth="1"/>
    <col min="2" max="2" width="33.69921875" style="3" customWidth="1"/>
    <col min="3" max="4" width="19.69921875" style="3" customWidth="1"/>
    <col min="5" max="5" width="14.296875" style="3" customWidth="1"/>
    <col min="6" max="16384" width="8.796875" style="3" customWidth="1"/>
  </cols>
  <sheetData>
    <row r="3" ht="14.25">
      <c r="E3" s="18"/>
    </row>
    <row r="4" spans="2:5" ht="14.25">
      <c r="B4" s="59" t="s">
        <v>62</v>
      </c>
      <c r="C4" s="59" t="s">
        <v>351</v>
      </c>
      <c r="D4" s="59" t="s">
        <v>299</v>
      </c>
      <c r="E4" s="59" t="s">
        <v>373</v>
      </c>
    </row>
    <row r="5" spans="2:5" ht="14.25">
      <c r="B5" s="25" t="s">
        <v>20</v>
      </c>
      <c r="C5" s="60">
        <f>SUMIF('Realization Rates_Tracker'!$D$8:$D$47,Chart_OverallRR!B5,'Realization Rates_Tracker'!$S$8:$S$47)</f>
        <v>5.712408546231926</v>
      </c>
      <c r="D5" s="60">
        <f>SUMIF('Realization Rates_Tracker'!$D$8:$D$47,Chart_OverallRR!B5,'Realization Rates_Tracker'!$R$8:$R$47)</f>
        <v>4.153742465753425</v>
      </c>
      <c r="E5" s="61">
        <f>SUMIF('Realization Rates_Tracker'!$D$8:$D$47,Chart_OverallRR!B5,'Realization Rates_Tracker'!$Q$8:$Q$47)/SUMIF('Realization Rates_Tracker'!$D$8:$D$47,Chart_OverallRR!B5,'Realization Rates_Tracker'!$P$8:$P$47)</f>
        <v>0.7271438014519037</v>
      </c>
    </row>
    <row r="6" spans="2:5" ht="14.25">
      <c r="B6" s="25" t="s">
        <v>21</v>
      </c>
      <c r="C6" s="60">
        <f>SUMIF('Realization Rates_Tracker'!$D$8:$D$47,Chart_OverallRR!B6,'Realization Rates_Tracker'!$S$8:$S$47)</f>
        <v>8.6</v>
      </c>
      <c r="D6" s="60">
        <f>SUMIF('Realization Rates_Tracker'!$D$8:$D$47,Chart_OverallRR!B6,'Realization Rates_Tracker'!$R$8:$R$47)</f>
        <v>8.52</v>
      </c>
      <c r="E6" s="61">
        <f>SUMIF('Realization Rates_Tracker'!$D$8:$D$47,Chart_OverallRR!B6,'Realization Rates_Tracker'!$Q$8:$Q$47)/SUMIF('Realization Rates_Tracker'!$D$8:$D$47,Chart_OverallRR!B6,'Realization Rates_Tracker'!$P$8:$P$47)</f>
        <v>0.9906976744186046</v>
      </c>
    </row>
    <row r="7" spans="2:5" ht="14.25">
      <c r="B7" s="25" t="s">
        <v>22</v>
      </c>
      <c r="C7" s="60">
        <f>SUMIF('Realization Rates_Tracker'!$D$8:$D$47,Chart_OverallRR!B7,'Realization Rates_Tracker'!$S$8:$S$47)</f>
        <v>59.283789954337905</v>
      </c>
      <c r="D7" s="60">
        <f>SUMIF('Realization Rates_Tracker'!$D$8:$D$47,Chart_OverallRR!B7,'Realization Rates_Tracker'!$R$8:$R$47)</f>
        <v>57.794178082191785</v>
      </c>
      <c r="E7" s="61">
        <f>SUMIF('Realization Rates_Tracker'!$D$8:$D$47,Chart_OverallRR!B7,'Realization Rates_Tracker'!$Q$8:$Q$47)/SUMIF('Realization Rates_Tracker'!$D$8:$D$47,Chart_OverallRR!B7,'Realization Rates_Tracker'!$P$8:$P$47)</f>
        <v>0.9748732010336475</v>
      </c>
    </row>
    <row r="8" spans="2:5" ht="14.25">
      <c r="B8" s="25" t="s">
        <v>63</v>
      </c>
      <c r="C8" s="60">
        <f>SUM('Realization Rates_Tracker'!$S$8:$S$47)</f>
        <v>74.91619850056983</v>
      </c>
      <c r="D8" s="60">
        <f>SUM('Realization Rates_Tracker'!$R$8:$R$47)</f>
        <v>71.07792054794523</v>
      </c>
      <c r="E8" s="61">
        <f>SUM('Realization Rates_Tracker'!$Q$8:$Q$47)/SUM('Realization Rates_Tracker'!$P$8:$P$47)</f>
        <v>0.9487657138316298</v>
      </c>
    </row>
    <row r="10" spans="3:4" ht="14.25">
      <c r="C10" s="19"/>
      <c r="D10" s="19"/>
    </row>
    <row r="17" ht="14.25">
      <c r="F17" s="20"/>
    </row>
    <row r="18" ht="14.25">
      <c r="F18" s="20"/>
    </row>
    <row r="19" ht="14.25">
      <c r="F19" s="20"/>
    </row>
    <row r="20" ht="14.25">
      <c r="F20" s="20"/>
    </row>
    <row r="21" ht="14.25">
      <c r="F21" s="20"/>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8"/>
  <sheetViews>
    <sheetView zoomScale="50" zoomScaleNormal="50" workbookViewId="0" topLeftCell="A5">
      <selection activeCell="C28" sqref="C28"/>
    </sheetView>
  </sheetViews>
  <sheetFormatPr defaultColWidth="8.796875" defaultRowHeight="14.25"/>
  <cols>
    <col min="1" max="1" width="32.19921875" style="3" bestFit="1" customWidth="1"/>
    <col min="2" max="2" width="34.296875" style="3" bestFit="1" customWidth="1"/>
    <col min="3" max="3" width="22.796875" style="3" bestFit="1" customWidth="1"/>
    <col min="4" max="4" width="24" style="3" bestFit="1" customWidth="1"/>
    <col min="5" max="5" width="48.5" style="3" customWidth="1"/>
    <col min="6" max="6" width="18.5" style="3" customWidth="1"/>
    <col min="7" max="7" width="5.796875" style="3" customWidth="1"/>
    <col min="8" max="12" width="4.296875" style="3" bestFit="1" customWidth="1"/>
    <col min="13" max="14" width="5.19921875" style="3" bestFit="1" customWidth="1"/>
    <col min="15" max="18" width="4.296875" style="3" bestFit="1" customWidth="1"/>
    <col min="19" max="19" width="1.69921875" style="3" bestFit="1" customWidth="1"/>
    <col min="20" max="22" width="4.296875" style="3" bestFit="1" customWidth="1"/>
    <col min="23" max="23" width="3.5" style="3" bestFit="1" customWidth="1"/>
    <col min="24" max="24" width="4.296875" style="3" bestFit="1" customWidth="1"/>
    <col min="25" max="25" width="6.296875" style="3" bestFit="1" customWidth="1"/>
    <col min="26" max="26" width="9.796875" style="3" bestFit="1" customWidth="1"/>
    <col min="27" max="27" width="6.296875" style="3" bestFit="1" customWidth="1"/>
    <col min="28" max="28" width="8.19921875" style="3" bestFit="1" customWidth="1"/>
    <col min="29" max="29" width="6.296875" style="3" bestFit="1" customWidth="1"/>
    <col min="30" max="30" width="8.19921875" style="3" bestFit="1" customWidth="1"/>
    <col min="31" max="31" width="5.796875" style="3" bestFit="1" customWidth="1"/>
    <col min="32" max="32" width="8.19921875" style="3" bestFit="1" customWidth="1"/>
    <col min="33" max="33" width="6.296875" style="3" bestFit="1" customWidth="1"/>
    <col min="34" max="34" width="8.19921875" style="3" bestFit="1" customWidth="1"/>
    <col min="35" max="35" width="6.296875" style="3" bestFit="1" customWidth="1"/>
    <col min="36" max="36" width="15.796875" style="3" customWidth="1"/>
    <col min="37" max="37" width="6.296875" style="3" bestFit="1" customWidth="1"/>
    <col min="38" max="38" width="8.19921875" style="3" bestFit="1" customWidth="1"/>
    <col min="39" max="39" width="6.296875" style="3" bestFit="1" customWidth="1"/>
    <col min="40" max="40" width="8.19921875" style="3" bestFit="1" customWidth="1"/>
    <col min="41" max="41" width="6.296875" style="3" bestFit="1" customWidth="1"/>
    <col min="42" max="42" width="8.19921875" style="3" bestFit="1" customWidth="1"/>
    <col min="43" max="43" width="6.296875" style="3" bestFit="1" customWidth="1"/>
    <col min="44" max="44" width="7.296875" style="3" bestFit="1" customWidth="1"/>
    <col min="45" max="45" width="6.296875" style="3" bestFit="1" customWidth="1"/>
    <col min="46" max="46" width="8.19921875" style="3" bestFit="1" customWidth="1"/>
    <col min="47" max="47" width="8" style="3" customWidth="1"/>
    <col min="48" max="48" width="10.69921875" style="3" bestFit="1" customWidth="1"/>
    <col min="49" max="49" width="9.796875" style="3" bestFit="1" customWidth="1"/>
    <col min="50" max="16384" width="8.796875" style="3" customWidth="1"/>
  </cols>
  <sheetData>
    <row r="1" spans="1:4" ht="14.25">
      <c r="A1" s="21" t="s">
        <v>5</v>
      </c>
      <c r="B1" s="3" t="s">
        <v>44</v>
      </c>
      <c r="D1" s="3" t="s">
        <v>64</v>
      </c>
    </row>
    <row r="2" spans="1:2" ht="14.25">
      <c r="A2" s="21" t="s">
        <v>358</v>
      </c>
      <c r="B2" s="3" t="s">
        <v>21</v>
      </c>
    </row>
    <row r="4" spans="2:5" ht="14.25">
      <c r="B4" s="3" t="s">
        <v>374</v>
      </c>
      <c r="C4" s="3" t="s">
        <v>351</v>
      </c>
      <c r="D4" s="3" t="s">
        <v>299</v>
      </c>
      <c r="E4" s="3" t="s">
        <v>70</v>
      </c>
    </row>
    <row r="5" spans="1:5" ht="14.25">
      <c r="A5" s="22" t="s">
        <v>339</v>
      </c>
      <c r="B5" s="20">
        <v>1</v>
      </c>
      <c r="C5" s="3">
        <v>0.71</v>
      </c>
      <c r="D5" s="3">
        <v>0.71</v>
      </c>
      <c r="E5" s="20">
        <f>VLOOKUP(A5,'Realization Rates_Tracker'!$G$8:$L$47,6,FALSE)</f>
        <v>0.016</v>
      </c>
    </row>
    <row r="6" spans="1:5" ht="14.25">
      <c r="A6" s="22" t="s">
        <v>322</v>
      </c>
      <c r="B6" s="20">
        <v>0.929</v>
      </c>
      <c r="C6" s="3">
        <v>0.48999999999999994</v>
      </c>
      <c r="D6" s="3">
        <v>0.46</v>
      </c>
      <c r="E6" s="20">
        <f>VLOOKUP(A6,'Realization Rates_Tracker'!$G$8:$L$47,6,FALSE)</f>
        <v>0.055</v>
      </c>
    </row>
    <row r="7" spans="1:5" ht="14.25">
      <c r="A7" s="22" t="s">
        <v>338</v>
      </c>
      <c r="B7" s="20">
        <v>0.95</v>
      </c>
      <c r="C7" s="3">
        <v>1.01</v>
      </c>
      <c r="D7" s="3">
        <v>0.95</v>
      </c>
      <c r="E7" s="20">
        <f>VLOOKUP(A7,'Realization Rates_Tracker'!$G$8:$L$47,6,FALSE)</f>
        <v>0.027</v>
      </c>
    </row>
    <row r="8" spans="1:5" ht="14.25">
      <c r="A8" s="22" t="s">
        <v>343</v>
      </c>
      <c r="B8" s="20">
        <v>1</v>
      </c>
      <c r="C8" s="3">
        <v>0.060000000000000005</v>
      </c>
      <c r="D8" s="3">
        <v>0.06</v>
      </c>
      <c r="E8" s="20" t="str">
        <f>VLOOKUP(A8,'Realization Rates_Tracker'!$G$8:$L$47,6,FALSE)</f>
        <v>N/A</v>
      </c>
    </row>
    <row r="9" spans="1:5" ht="14.25">
      <c r="A9" s="22" t="s">
        <v>341</v>
      </c>
      <c r="B9" s="20">
        <v>1.09</v>
      </c>
      <c r="C9" s="3">
        <v>0.11</v>
      </c>
      <c r="D9" s="3">
        <v>0.11</v>
      </c>
      <c r="E9" s="20">
        <f>VLOOKUP(A9,'Realization Rates_Tracker'!$G$8:$L$47,6,FALSE)</f>
        <v>0.07</v>
      </c>
    </row>
    <row r="10" spans="1:5" ht="14.25">
      <c r="A10" s="22" t="s">
        <v>321</v>
      </c>
      <c r="B10" s="20">
        <v>1</v>
      </c>
      <c r="C10" s="3">
        <v>5.08</v>
      </c>
      <c r="D10" s="3">
        <v>5.09</v>
      </c>
      <c r="E10" s="20">
        <f>VLOOKUP(A10,'Realization Rates_Tracker'!$G$8:$L$47,6,FALSE)</f>
        <v>0.002</v>
      </c>
    </row>
    <row r="11" spans="1:5" ht="14.25">
      <c r="A11" s="22" t="s">
        <v>340</v>
      </c>
      <c r="B11" s="20">
        <v>1</v>
      </c>
      <c r="C11" s="3">
        <v>0.94</v>
      </c>
      <c r="D11" s="3">
        <v>0.94</v>
      </c>
      <c r="E11" s="20">
        <f>VLOOKUP(A11,'Realization Rates_Tracker'!$G$8:$L$47,6,FALSE)</f>
        <v>0.0571</v>
      </c>
    </row>
    <row r="12" spans="1:5" ht="14.25">
      <c r="A12" s="22" t="s">
        <v>342</v>
      </c>
      <c r="B12" s="20">
        <v>1</v>
      </c>
      <c r="C12" s="3">
        <v>0.2</v>
      </c>
      <c r="D12" s="3">
        <v>0.2</v>
      </c>
      <c r="E12" s="20" t="str">
        <f>VLOOKUP(A12,'Realization Rates_Tracker'!$G$8:$L$47,6,FALSE)</f>
        <v>N/A</v>
      </c>
    </row>
    <row r="13" spans="1:5" ht="14.25">
      <c r="A13" s="22" t="s">
        <v>45</v>
      </c>
      <c r="B13" s="20">
        <v>7.969</v>
      </c>
      <c r="C13" s="3">
        <v>8.6</v>
      </c>
      <c r="D13" s="3">
        <v>8.52</v>
      </c>
      <c r="E13" s="20" t="e">
        <f>VLOOKUP(A13,'Realization Rates_Tracker'!$H$8:$L$36,6,FALSE)</f>
        <v>#N/A</v>
      </c>
    </row>
    <row r="16" ht="14.25">
      <c r="E16" s="20"/>
    </row>
    <row r="46" spans="1:2" ht="14.25">
      <c r="A46" s="21" t="s">
        <v>5</v>
      </c>
      <c r="B46" s="3" t="s">
        <v>44</v>
      </c>
    </row>
    <row r="47" spans="1:2" ht="14.25">
      <c r="A47" s="21" t="s">
        <v>358</v>
      </c>
      <c r="B47" s="3" t="s">
        <v>22</v>
      </c>
    </row>
    <row r="48" ht="14.25"/>
    <row r="49" spans="1:5" ht="14.25">
      <c r="A49" s="21" t="s">
        <v>46</v>
      </c>
      <c r="B49" s="3" t="s">
        <v>374</v>
      </c>
      <c r="C49" s="3" t="s">
        <v>351</v>
      </c>
      <c r="D49" s="3" t="s">
        <v>299</v>
      </c>
      <c r="E49" s="21" t="s">
        <v>70</v>
      </c>
    </row>
    <row r="50" spans="1:5" ht="14.25">
      <c r="A50" s="22" t="s">
        <v>323</v>
      </c>
      <c r="B50" s="20">
        <v>0.93</v>
      </c>
      <c r="C50" s="3">
        <v>10.970662100456622</v>
      </c>
      <c r="D50" s="3">
        <v>10.213584474885845</v>
      </c>
      <c r="E50" s="20">
        <f>VLOOKUP(A50,'Realization Rates_Tracker'!$G$8:$L$47,6,FALSE)</f>
        <v>0.05</v>
      </c>
    </row>
    <row r="51" spans="1:5" ht="14.25">
      <c r="A51" s="22" t="s">
        <v>325</v>
      </c>
      <c r="B51" s="20">
        <v>1.15</v>
      </c>
      <c r="C51" s="3">
        <v>2.978767123287671</v>
      </c>
      <c r="D51" s="3">
        <v>3.4116438356164385</v>
      </c>
      <c r="E51" s="20">
        <f>VLOOKUP(A51,'Realization Rates_Tracker'!$G$8:$L$47,6,FALSE)</f>
        <v>0.19</v>
      </c>
    </row>
    <row r="52" spans="1:5" ht="14.25">
      <c r="A52" s="22" t="s">
        <v>470</v>
      </c>
      <c r="B52" s="20">
        <v>0.85</v>
      </c>
      <c r="C52" s="3">
        <v>4.445662100456621</v>
      </c>
      <c r="D52" s="3">
        <v>3.7933789954337898</v>
      </c>
      <c r="E52" s="20" t="e">
        <f>VLOOKUP(A52,'Realization Rates_Tracker'!$G$8:$L$47,6,FALSE)</f>
        <v>#N/A</v>
      </c>
    </row>
    <row r="53" spans="1:5" ht="14.25">
      <c r="A53" s="22" t="s">
        <v>324</v>
      </c>
      <c r="B53" s="20">
        <v>0.93</v>
      </c>
      <c r="C53" s="3">
        <v>4.047374429223744</v>
      </c>
      <c r="D53" s="3">
        <v>3.7804794520547946</v>
      </c>
      <c r="E53" s="20">
        <f>VLOOKUP(A53,'Realization Rates_Tracker'!$G$8:$L$47,6,FALSE)</f>
        <v>0.08</v>
      </c>
    </row>
    <row r="54" spans="1:5" ht="14.25">
      <c r="A54" s="22" t="s">
        <v>336</v>
      </c>
      <c r="B54" s="20">
        <v>0.99</v>
      </c>
      <c r="C54" s="3">
        <v>13.907534246575343</v>
      </c>
      <c r="D54" s="3">
        <v>13.736529680365297</v>
      </c>
      <c r="E54" s="20">
        <f>VLOOKUP(A54,'Realization Rates_Tracker'!$G$8:$L$47,6,FALSE)</f>
        <v>0.05</v>
      </c>
    </row>
    <row r="55" spans="1:5" ht="14.25">
      <c r="A55" s="22" t="s">
        <v>326</v>
      </c>
      <c r="B55" s="20">
        <v>1.09</v>
      </c>
      <c r="C55" s="3">
        <v>10.764840182648403</v>
      </c>
      <c r="D55" s="3">
        <v>11.690296803652968</v>
      </c>
      <c r="E55" s="20">
        <f>VLOOKUP(A55,'Realization Rates_Tracker'!$G$8:$L$47,6,FALSE)</f>
        <v>0.08</v>
      </c>
    </row>
    <row r="56" spans="1:5" ht="14.25">
      <c r="A56" s="22" t="s">
        <v>328</v>
      </c>
      <c r="B56" s="20">
        <v>1.1</v>
      </c>
      <c r="C56" s="3">
        <v>4.212785388127854</v>
      </c>
      <c r="D56" s="3">
        <v>4.654794520547945</v>
      </c>
      <c r="E56" s="20">
        <f>VLOOKUP(A56,'Realization Rates_Tracker'!$G$8:$L$47,6,FALSE)</f>
        <v>0.08</v>
      </c>
    </row>
    <row r="57" spans="1:5" ht="14.25">
      <c r="A57" s="22" t="s">
        <v>514</v>
      </c>
      <c r="B57" s="20">
        <v>1.02</v>
      </c>
      <c r="C57" s="3">
        <v>1.0132420091324201</v>
      </c>
      <c r="D57" s="3">
        <v>1.0334474885844749</v>
      </c>
      <c r="E57" s="20" t="e">
        <f>VLOOKUP(A57,'Realization Rates_Tracker'!$G$8:$L$47,6,FALSE)</f>
        <v>#N/A</v>
      </c>
    </row>
    <row r="58" spans="1:5" ht="14.25">
      <c r="A58" s="22" t="s">
        <v>337</v>
      </c>
      <c r="B58" s="20">
        <v>0.49</v>
      </c>
      <c r="C58" s="3">
        <v>3.0174657534246574</v>
      </c>
      <c r="D58" s="3">
        <v>1.4929223744292237</v>
      </c>
      <c r="E58" s="20">
        <f>VLOOKUP(A58,'Realization Rates_Tracker'!$G$8:$L$47,6,FALSE)</f>
        <v>0.18</v>
      </c>
    </row>
    <row r="59" spans="1:5" ht="14.25">
      <c r="A59" s="22" t="s">
        <v>327</v>
      </c>
      <c r="B59" s="20">
        <v>1.02</v>
      </c>
      <c r="C59" s="3">
        <v>1.1694063926940639</v>
      </c>
      <c r="D59" s="3">
        <v>1.1921232876712329</v>
      </c>
      <c r="E59" s="20">
        <f>VLOOKUP(A59,'Realization Rates_Tracker'!$G$8:$L$47,6,FALSE)</f>
        <v>0.03</v>
      </c>
    </row>
    <row r="60" spans="1:5" ht="14.25">
      <c r="A60" s="22" t="s">
        <v>329</v>
      </c>
      <c r="B60" s="20">
        <v>1.01</v>
      </c>
      <c r="C60" s="3">
        <v>2.756050228310502</v>
      </c>
      <c r="D60" s="3">
        <v>2.7949771689497718</v>
      </c>
      <c r="E60" s="20">
        <f>VLOOKUP(A60,'Realization Rates_Tracker'!$G$8:$L$47,6,FALSE)</f>
        <v>0.07</v>
      </c>
    </row>
    <row r="61" spans="1:4" ht="14.25">
      <c r="A61" s="22" t="s">
        <v>45</v>
      </c>
      <c r="B61" s="20">
        <v>10.58</v>
      </c>
      <c r="C61" s="3">
        <v>59.283789954337905</v>
      </c>
      <c r="D61" s="3">
        <v>57.794178082191785</v>
      </c>
    </row>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spans="1:2" ht="14.25">
      <c r="A81" s="21" t="s">
        <v>5</v>
      </c>
      <c r="B81" s="3" t="s">
        <v>44</v>
      </c>
    </row>
    <row r="82" spans="1:2" ht="14.25">
      <c r="A82" s="21" t="s">
        <v>358</v>
      </c>
      <c r="B82" s="3" t="s">
        <v>20</v>
      </c>
    </row>
    <row r="83" ht="14.25"/>
    <row r="84" spans="1:39" ht="15">
      <c r="A84" s="21" t="s">
        <v>46</v>
      </c>
      <c r="B84" s="3" t="s">
        <v>374</v>
      </c>
      <c r="C84" s="3" t="s">
        <v>351</v>
      </c>
      <c r="D84" s="3" t="s">
        <v>299</v>
      </c>
      <c r="E84" s="21" t="s">
        <v>70</v>
      </c>
      <c r="AJ84" s="3" t="s">
        <v>379</v>
      </c>
      <c r="AK84" s="20">
        <f>AK85-AM85</f>
        <v>-0.5</v>
      </c>
      <c r="AM84" s="1" t="s">
        <v>380</v>
      </c>
    </row>
    <row r="85" spans="1:39" ht="15">
      <c r="A85" s="22" t="s">
        <v>334</v>
      </c>
      <c r="B85" s="20">
        <v>0.56</v>
      </c>
      <c r="C85" s="3">
        <v>0.5291026255707763</v>
      </c>
      <c r="D85" s="3">
        <v>0.2939383561643836</v>
      </c>
      <c r="E85" s="20">
        <f>VLOOKUP(A85,'Realization Rates_Tracker'!$G$8:$L$47,6,FALSE)</f>
        <v>0.07</v>
      </c>
      <c r="AJ85" s="1" t="s">
        <v>382</v>
      </c>
      <c r="AK85" s="20">
        <v>0.5</v>
      </c>
      <c r="AM85" s="20">
        <v>1</v>
      </c>
    </row>
    <row r="86" spans="1:37" ht="14.25">
      <c r="A86" s="22" t="s">
        <v>454</v>
      </c>
      <c r="B86" s="20">
        <v>0.34</v>
      </c>
      <c r="C86" s="3">
        <v>0.030588571044856298</v>
      </c>
      <c r="D86" s="3">
        <v>0.010400114155251142</v>
      </c>
      <c r="E86" s="20" t="e">
        <f>VLOOKUP(A86,'Realization Rates_Tracker'!$G$8:$L$47,6,FALSE)</f>
        <v>#N/A</v>
      </c>
      <c r="AJ86" s="3" t="s">
        <v>381</v>
      </c>
      <c r="AK86" s="20">
        <f>AK85+AM85</f>
        <v>1.5</v>
      </c>
    </row>
    <row r="87" spans="1:5" ht="14.25">
      <c r="A87" s="22" t="s">
        <v>333</v>
      </c>
      <c r="B87" s="20">
        <v>0.62</v>
      </c>
      <c r="C87" s="3">
        <v>0.283845205479452</v>
      </c>
      <c r="D87" s="3">
        <v>0.1751027397260274</v>
      </c>
      <c r="E87" s="20">
        <f>VLOOKUP(A87,'Realization Rates_Tracker'!$G$8:$L$47,6,FALSE)</f>
        <v>0.1</v>
      </c>
    </row>
    <row r="88" spans="1:5" ht="14.25">
      <c r="A88" s="22" t="s">
        <v>455</v>
      </c>
      <c r="B88" s="20">
        <v>0.63</v>
      </c>
      <c r="C88" s="3">
        <v>0.130561716315141</v>
      </c>
      <c r="D88" s="3">
        <v>0.08225388127853882</v>
      </c>
      <c r="E88" s="20" t="e">
        <f>VLOOKUP(A88,'Realization Rates_Tracker'!$G$8:$L$47,6,FALSE)</f>
        <v>#N/A</v>
      </c>
    </row>
    <row r="89" spans="1:5" ht="14.25">
      <c r="A89" s="22" t="s">
        <v>330</v>
      </c>
      <c r="B89" s="20">
        <v>0.503</v>
      </c>
      <c r="C89" s="3">
        <v>0.3250417808219178</v>
      </c>
      <c r="D89" s="3">
        <v>0.16348173515981734</v>
      </c>
      <c r="E89" s="20">
        <f>VLOOKUP(A89,'Realization Rates_Tracker'!$G$8:$L$47,6,FALSE)</f>
        <v>0.092</v>
      </c>
    </row>
    <row r="90" spans="1:5" ht="14.25">
      <c r="A90" s="22" t="s">
        <v>453</v>
      </c>
      <c r="B90" s="20">
        <v>0.69</v>
      </c>
      <c r="C90" s="3">
        <v>0.011697935278935874</v>
      </c>
      <c r="D90" s="3">
        <v>0.008071575342465753</v>
      </c>
      <c r="E90" s="20" t="e">
        <f>VLOOKUP(A90,'Realization Rates_Tracker'!$G$8:$L$47,6,FALSE)</f>
        <v>#N/A</v>
      </c>
    </row>
    <row r="91" spans="1:5" ht="14.25">
      <c r="A91" s="22" t="s">
        <v>331</v>
      </c>
      <c r="B91" s="20">
        <v>0.843</v>
      </c>
      <c r="C91" s="3">
        <v>0.401962100456621</v>
      </c>
      <c r="D91" s="3">
        <v>0.33906392694063925</v>
      </c>
      <c r="E91" s="20">
        <f>VLOOKUP(A91,'Realization Rates_Tracker'!$G$8:$L$47,6,FALSE)</f>
        <v>0.099</v>
      </c>
    </row>
    <row r="92" spans="1:5" ht="14.25">
      <c r="A92" s="22" t="s">
        <v>452</v>
      </c>
      <c r="B92" s="20">
        <v>0.44</v>
      </c>
      <c r="C92" s="3">
        <v>0.10215597758405977</v>
      </c>
      <c r="D92" s="3">
        <v>0.0449486301369863</v>
      </c>
      <c r="E92" s="20" t="e">
        <f>VLOOKUP(A92,'Realization Rates_Tracker'!$G$8:$L$47,6,FALSE)</f>
        <v>#N/A</v>
      </c>
    </row>
    <row r="93" spans="1:5" ht="14.25">
      <c r="A93" s="22" t="s">
        <v>458</v>
      </c>
      <c r="B93" s="20">
        <v>2.44</v>
      </c>
      <c r="C93" s="3">
        <v>0.026690152706040873</v>
      </c>
      <c r="D93" s="3">
        <v>0.06512397260273972</v>
      </c>
      <c r="E93" s="20" t="e">
        <f>VLOOKUP(A93,'Realization Rates_Tracker'!$G$8:$L$47,6,FALSE)</f>
        <v>#N/A</v>
      </c>
    </row>
    <row r="94" spans="1:5" ht="14.25">
      <c r="A94" s="22" t="s">
        <v>348</v>
      </c>
      <c r="B94" s="20">
        <v>0.79</v>
      </c>
      <c r="C94" s="3">
        <v>1.6042237442922374</v>
      </c>
      <c r="D94" s="3">
        <v>1.2712328767123289</v>
      </c>
      <c r="E94" s="20" t="str">
        <f>VLOOKUP(A94,'Realization Rates_Tracker'!$G$8:$L$47,6,FALSE)</f>
        <v>N/A</v>
      </c>
    </row>
    <row r="95" spans="1:5" ht="14.25">
      <c r="A95" s="22" t="s">
        <v>319</v>
      </c>
      <c r="B95" s="20">
        <v>0.98</v>
      </c>
      <c r="C95" s="3">
        <v>0.17412397260273973</v>
      </c>
      <c r="D95" s="3">
        <v>0.1704609589041096</v>
      </c>
      <c r="E95" s="20">
        <f>VLOOKUP(A95,'Realization Rates_Tracker'!$G$8:$L$47,6,FALSE)</f>
        <v>0.29</v>
      </c>
    </row>
    <row r="96" spans="1:5" ht="14.25">
      <c r="A96" s="22" t="s">
        <v>335</v>
      </c>
      <c r="B96" s="20">
        <v>0.33</v>
      </c>
      <c r="C96" s="3">
        <v>0.6963906392694064</v>
      </c>
      <c r="D96" s="3">
        <v>0.2274200913242009</v>
      </c>
      <c r="E96" s="20">
        <f>VLOOKUP(A96,'Realization Rates_Tracker'!$G$8:$L$47,6,FALSE)</f>
        <v>0.15</v>
      </c>
    </row>
    <row r="97" spans="1:5" ht="14.25">
      <c r="A97" s="22" t="s">
        <v>332</v>
      </c>
      <c r="B97" s="20">
        <v>-0.262</v>
      </c>
      <c r="C97" s="3">
        <v>0.027906164383561645</v>
      </c>
      <c r="D97" s="3">
        <v>-0.007328767123287672</v>
      </c>
      <c r="E97" s="20">
        <f>VLOOKUP(A97,'Realization Rates_Tracker'!$G$8:$L$47,6,FALSE)</f>
        <v>0.69</v>
      </c>
    </row>
    <row r="98" spans="1:5" ht="14.25">
      <c r="A98" s="22" t="s">
        <v>349</v>
      </c>
      <c r="B98" s="20">
        <v>1.05</v>
      </c>
      <c r="C98" s="3">
        <v>1.0994292237442922</v>
      </c>
      <c r="D98" s="3">
        <v>1.1493150684931508</v>
      </c>
      <c r="E98" s="20" t="str">
        <f>VLOOKUP(A98,'Realization Rates_Tracker'!$G$8:$L$47,6,FALSE)</f>
        <v>N/A</v>
      </c>
    </row>
    <row r="99" spans="1:5" ht="14.25">
      <c r="A99" s="22" t="s">
        <v>457</v>
      </c>
      <c r="B99" s="20">
        <v>0.15</v>
      </c>
      <c r="C99" s="3">
        <v>0.04021917808219178</v>
      </c>
      <c r="D99" s="3">
        <v>0.006032876712328767</v>
      </c>
      <c r="E99" s="20" t="e">
        <f>VLOOKUP(A99,'Realization Rates_Tracker'!$G$8:$L$47,6,FALSE)</f>
        <v>#N/A</v>
      </c>
    </row>
    <row r="100" spans="1:5" ht="14.25">
      <c r="A100" s="22" t="s">
        <v>456</v>
      </c>
      <c r="B100" s="20">
        <v>0.66</v>
      </c>
      <c r="C100" s="3">
        <v>0.020825722983257227</v>
      </c>
      <c r="D100" s="3">
        <v>0.013744977168949771</v>
      </c>
      <c r="E100" s="20" t="e">
        <f>VLOOKUP(A100,'Realization Rates_Tracker'!$G$8:$L$47,6,FALSE)</f>
        <v>#N/A</v>
      </c>
    </row>
    <row r="101" spans="1:5" ht="14.25">
      <c r="A101" s="22" t="s">
        <v>320</v>
      </c>
      <c r="B101" s="20">
        <v>0.68</v>
      </c>
      <c r="C101" s="3">
        <v>0.20764383561643837</v>
      </c>
      <c r="D101" s="3">
        <v>0.1404794520547945</v>
      </c>
      <c r="E101" s="20">
        <f>VLOOKUP(A101,'Realization Rates_Tracker'!$G$8:$L$47,6,FALSE)</f>
        <v>0.18</v>
      </c>
    </row>
    <row r="102" spans="1:4" ht="14.25">
      <c r="A102" s="22" t="s">
        <v>45</v>
      </c>
      <c r="B102" s="20">
        <v>11.444</v>
      </c>
      <c r="C102" s="3">
        <v>5.712408546231926</v>
      </c>
      <c r="D102" s="3">
        <v>4.153742465753425</v>
      </c>
    </row>
    <row r="118" spans="1:2" ht="14.25">
      <c r="A118" s="21" t="s">
        <v>5</v>
      </c>
      <c r="B118" s="3" t="s">
        <v>44</v>
      </c>
    </row>
    <row r="119" spans="1:2" ht="14.25">
      <c r="A119" s="21" t="s">
        <v>358</v>
      </c>
      <c r="B119" s="3" t="s">
        <v>58</v>
      </c>
    </row>
    <row r="121" spans="1:5" ht="14.25">
      <c r="A121" s="21" t="s">
        <v>46</v>
      </c>
      <c r="B121" s="3" t="s">
        <v>374</v>
      </c>
      <c r="C121" s="3" t="s">
        <v>351</v>
      </c>
      <c r="D121" s="3" t="s">
        <v>299</v>
      </c>
      <c r="E121" s="3" t="s">
        <v>70</v>
      </c>
    </row>
    <row r="122" spans="1:5" ht="14.25">
      <c r="A122" s="22" t="s">
        <v>346</v>
      </c>
      <c r="B122" s="20">
        <v>0.42</v>
      </c>
      <c r="C122" s="3">
        <v>0.02</v>
      </c>
      <c r="D122" s="3">
        <v>0.01</v>
      </c>
      <c r="E122" s="20" t="str">
        <f>VLOOKUP(A122,'Realization Rates_Tracker'!$G$8:$L$47,6,FALSE)</f>
        <v>N/A</v>
      </c>
    </row>
    <row r="123" spans="1:5" ht="14.25">
      <c r="A123" s="22" t="s">
        <v>344</v>
      </c>
      <c r="B123" s="20">
        <v>0.78</v>
      </c>
      <c r="C123" s="3">
        <v>0.25</v>
      </c>
      <c r="D123" s="3">
        <v>0.2</v>
      </c>
      <c r="E123" s="20" t="str">
        <f>VLOOKUP(A123,'Realization Rates_Tracker'!$G$8:$L$47,6,FALSE)</f>
        <v>N/A</v>
      </c>
    </row>
    <row r="124" spans="1:5" ht="14.25">
      <c r="A124" s="22" t="s">
        <v>345</v>
      </c>
      <c r="B124" s="20">
        <v>0.57</v>
      </c>
      <c r="C124" s="3">
        <v>0.07</v>
      </c>
      <c r="D124" s="3">
        <v>0.04</v>
      </c>
      <c r="E124" s="20" t="str">
        <f>VLOOKUP(A124,'Realization Rates_Tracker'!$G$8:$L$47,6,FALSE)</f>
        <v>N/A</v>
      </c>
    </row>
    <row r="125" spans="1:5" ht="14.25">
      <c r="A125" s="22" t="s">
        <v>347</v>
      </c>
      <c r="B125" s="20">
        <v>0.37</v>
      </c>
      <c r="C125" s="3">
        <v>0.9799999999999999</v>
      </c>
      <c r="D125" s="3">
        <v>0.36</v>
      </c>
      <c r="E125" s="20" t="str">
        <f>VLOOKUP(A125,'Realization Rates_Tracker'!$G$8:$L$47,6,FALSE)</f>
        <v>N/A</v>
      </c>
    </row>
    <row r="126" spans="1:5" ht="14.25">
      <c r="A126" s="22" t="s">
        <v>45</v>
      </c>
      <c r="B126" s="20">
        <v>2.14</v>
      </c>
      <c r="C126" s="3">
        <v>1.3199999999999998</v>
      </c>
      <c r="D126" s="3">
        <v>0.61</v>
      </c>
      <c r="E126" s="20"/>
    </row>
    <row r="127" ht="14.25">
      <c r="E127" s="20"/>
    </row>
    <row r="128" ht="14.25">
      <c r="E128" s="20"/>
    </row>
  </sheetData>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81D9235763F34DBB802621D575EC54" ma:contentTypeVersion="13" ma:contentTypeDescription="Create a new document." ma:contentTypeScope="" ma:versionID="2dee7ccb7bf80772f52ffbb66981705f">
  <xsd:schema xmlns:xsd="http://www.w3.org/2001/XMLSchema" xmlns:xs="http://www.w3.org/2001/XMLSchema" xmlns:p="http://schemas.microsoft.com/office/2006/metadata/properties" xmlns:ns2="25fe632e-9fc7-4fe6-88f4-07d11f251d71" xmlns:ns3="f5d9467f-025c-4e13-ab54-6342383ba291" targetNamespace="http://schemas.microsoft.com/office/2006/metadata/properties" ma:root="true" ma:fieldsID="702546bce1ef595c39da92d39d140cb8" ns2:_="" ns3:_="">
    <xsd:import namespace="25fe632e-9fc7-4fe6-88f4-07d11f251d71"/>
    <xsd:import namespace="f5d9467f-025c-4e13-ab54-6342383ba2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fe632e-9fc7-4fe6-88f4-07d11f251d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10cb02f-c1fb-4143-8d68-018d574f63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d9467f-025c-4e13-ab54-6342383ba29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e8db266-0720-476f-b4bc-c922e488b395}" ma:internalName="TaxCatchAll" ma:showField="CatchAllData" ma:web="f5d9467f-025c-4e13-ab54-6342383ba2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d9467f-025c-4e13-ab54-6342383ba291" xsi:nil="true"/>
    <lcf76f155ced4ddcb4097134ff3c332f xmlns="25fe632e-9fc7-4fe6-88f4-07d11f251d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4FCDB5F-643A-4D7F-B323-151F1293B9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fe632e-9fc7-4fe6-88f4-07d11f251d71"/>
    <ds:schemaRef ds:uri="f5d9467f-025c-4e13-ab54-6342383ba2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DABC42-2F3B-4E53-BB07-98554A0F3949}">
  <ds:schemaRefs>
    <ds:schemaRef ds:uri="http://schemas.microsoft.com/sharepoint/v3/contenttype/forms"/>
  </ds:schemaRefs>
</ds:datastoreItem>
</file>

<file path=customXml/itemProps3.xml><?xml version="1.0" encoding="utf-8"?>
<ds:datastoreItem xmlns:ds="http://schemas.openxmlformats.org/officeDocument/2006/customXml" ds:itemID="{B847A8F8-3574-4F90-98AB-88F097267B87}">
  <ds:schemaRefs>
    <ds:schemaRef ds:uri="f5d9467f-025c-4e13-ab54-6342383ba291"/>
    <ds:schemaRef ds:uri="http://purl.org/dc/elements/1.1/"/>
    <ds:schemaRef ds:uri="http://schemas.openxmlformats.org/package/2006/metadata/core-properties"/>
    <ds:schemaRef ds:uri="25fe632e-9fc7-4fe6-88f4-07d11f251d71"/>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Steward</dc:creator>
  <cp:keywords/>
  <dc:description/>
  <cp:lastModifiedBy>Francisco,Michele M (CONTR) - PEJB-6</cp:lastModifiedBy>
  <dcterms:created xsi:type="dcterms:W3CDTF">2020-04-16T15:02:21Z</dcterms:created>
  <dcterms:modified xsi:type="dcterms:W3CDTF">2023-06-22T19:26:21Z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0x010100F681D9235763F34DBB802621D575EC54</vt:lpwstr>
  </property>
  <property fmtid="{D5CDD505-2E9C-101B-9397-08002B2CF9AE}" pid="3" name="_Coverage">
    <vt:lpwstr/>
  </property>
  <property fmtid="{D5CDD505-2E9C-101B-9397-08002B2CF9AE}" pid="4" name="_Format">
    <vt:lpwstr/>
  </property>
  <property fmtid="{D5CDD505-2E9C-101B-9397-08002B2CF9AE}" pid="5" name="Order">
    <vt:r8>32000</vt:r8>
  </property>
  <property fmtid="{D5CDD505-2E9C-101B-9397-08002B2CF9AE}" pid="6" name="_Relation">
    <vt:lpwstr/>
  </property>
  <property fmtid="{D5CDD505-2E9C-101B-9397-08002B2CF9AE}" pid="7" name="_Contributor">
    <vt:lpwstr/>
  </property>
  <property fmtid="{D5CDD505-2E9C-101B-9397-08002B2CF9AE}" pid="8" name="Language">
    <vt:lpwstr/>
  </property>
  <property fmtid="{D5CDD505-2E9C-101B-9397-08002B2CF9AE}" pid="9" name="xd_Signature">
    <vt:bool>false</vt:bool>
  </property>
  <property fmtid="{D5CDD505-2E9C-101B-9397-08002B2CF9AE}" pid="10" name="xd_ProgID">
    <vt:lpwstr/>
  </property>
  <property fmtid="{D5CDD505-2E9C-101B-9397-08002B2CF9AE}" pid="11" name="_Source">
    <vt:lpwstr/>
  </property>
  <property fmtid="{D5CDD505-2E9C-101B-9397-08002B2CF9AE}" pid="12" name="Tags">
    <vt:lpwstr/>
  </property>
  <property fmtid="{D5CDD505-2E9C-101B-9397-08002B2CF9AE}" pid="13" name="_Identifier">
    <vt:lpwstr/>
  </property>
  <property fmtid="{D5CDD505-2E9C-101B-9397-08002B2CF9AE}" pid="14" name="_ResourceType">
    <vt:lpwstr/>
  </property>
  <property fmtid="{D5CDD505-2E9C-101B-9397-08002B2CF9AE}" pid="15" name="_SourceUrl">
    <vt:lpwstr/>
  </property>
  <property fmtid="{D5CDD505-2E9C-101B-9397-08002B2CF9AE}" pid="16" name="_SharedFileIndex">
    <vt:lpwstr/>
  </property>
  <property fmtid="{D5CDD505-2E9C-101B-9397-08002B2CF9AE}" pid="17" name="TaxCatchAll">
    <vt:lpwstr/>
  </property>
  <property fmtid="{D5CDD505-2E9C-101B-9397-08002B2CF9AE}" pid="18" name="_Publisher">
    <vt:lpwstr/>
  </property>
  <property fmtid="{D5CDD505-2E9C-101B-9397-08002B2CF9AE}" pid="19" name="TemplateUrl">
    <vt:lpwstr/>
  </property>
  <property fmtid="{D5CDD505-2E9C-101B-9397-08002B2CF9AE}" pid="20" name="pb95b497b12c48a38c5a5dfead4fe67f">
    <vt:lpwstr/>
  </property>
  <property fmtid="{D5CDD505-2E9C-101B-9397-08002B2CF9AE}" pid="21" name="MediaServiceImageTags">
    <vt:lpwstr/>
  </property>
</Properties>
</file>